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09\"/>
    </mc:Choice>
  </mc:AlternateContent>
  <xr:revisionPtr revIDLastSave="0" documentId="13_ncr:1_{7106E6CC-568E-4C96-877D-B115F49D36E9}" xr6:coauthVersionLast="47" xr6:coauthVersionMax="47" xr10:uidLastSave="{00000000-0000-0000-0000-000000000000}"/>
  <bookViews>
    <workbookView xWindow="38280" yWindow="-120" windowWidth="29040" windowHeight="15720" activeTab="1" xr2:uid="{A68C946A-13C5-4FAC-8C79-ED24B6539CD3}"/>
  </bookViews>
  <sheets>
    <sheet name="Gider Miktar" sheetId="1" r:id="rId1"/>
    <sheet name="AKARYAKIT DAĞITIMI" sheetId="17" r:id="rId2"/>
    <sheet name="BETON  POMPA" sheetId="16" r:id="rId3"/>
    <sheet name="BETON NAKLİ" sheetId="15" r:id="rId4"/>
    <sheet name="BETON SANTRALİ" sheetId="14" r:id="rId5"/>
    <sheet name="KIRMATAŞ" sheetId="13" r:id="rId6"/>
    <sheet name="SU TEMİNİ" sheetId="10" r:id="rId7"/>
    <sheet name="TAŞ" sheetId="12" state="hidden" r:id="rId8"/>
    <sheet name="M2" sheetId="5" r:id="rId9"/>
    <sheet name="L4" sheetId="3" r:id="rId10"/>
  </sheets>
  <definedNames>
    <definedName name="_xlnm._FilterDatabase" localSheetId="1" hidden="1">'AKARYAKIT DAĞITIMI'!$B$1:$B$517</definedName>
    <definedName name="_xlnm._FilterDatabase" localSheetId="2" hidden="1">'BETON  POMPA'!$A$1:$BX$18</definedName>
    <definedName name="_xlnm._FilterDatabase" localSheetId="3" hidden="1">'BETON NAKLİ'!$A$1:$BX$40</definedName>
    <definedName name="_xlnm._FilterDatabase" localSheetId="4" hidden="1">'BETON SANTRALİ'!$A$1:$BX$41</definedName>
    <definedName name="_xlnm._FilterDatabase" localSheetId="0" hidden="1">'Gider Miktar'!$A$1:$BX$521</definedName>
    <definedName name="_xlnm._FilterDatabase" localSheetId="5" hidden="1">KIRMATAŞ!$A$1:$BX$1</definedName>
    <definedName name="ExternalData_4" localSheetId="8" hidden="1">'M2'!$H$3:$I$100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69" i="17" l="1"/>
  <c r="AY69" i="17"/>
  <c r="AX69" i="17"/>
  <c r="AW69" i="17"/>
  <c r="AV69" i="17"/>
  <c r="AU69" i="17"/>
  <c r="AT69" i="17"/>
  <c r="AS69" i="17"/>
  <c r="AR69" i="17"/>
  <c r="AQ69" i="17"/>
  <c r="AP69" i="17"/>
  <c r="AO69" i="17"/>
  <c r="AN69" i="17"/>
  <c r="AM69" i="17"/>
  <c r="AL69" i="17"/>
  <c r="AK69" i="17"/>
  <c r="AJ69" i="17"/>
  <c r="AI69" i="17"/>
  <c r="AH69" i="17"/>
  <c r="AG69" i="17"/>
  <c r="AF69" i="17"/>
  <c r="AE69" i="17"/>
  <c r="AD69" i="17"/>
  <c r="AC69" i="17"/>
  <c r="AB69" i="17"/>
  <c r="AA69" i="17"/>
  <c r="Z69" i="17"/>
  <c r="Y69" i="17"/>
  <c r="X69" i="17"/>
  <c r="W69" i="17"/>
  <c r="V69" i="17"/>
  <c r="U69" i="17"/>
  <c r="T69" i="17"/>
  <c r="S69" i="17"/>
  <c r="R69" i="17"/>
  <c r="Q69" i="17"/>
  <c r="P69" i="17"/>
  <c r="O69" i="17"/>
  <c r="N69" i="17"/>
  <c r="BC69" i="17"/>
  <c r="BB69" i="17"/>
  <c r="BA69" i="17"/>
  <c r="BF69" i="17"/>
  <c r="BD69" i="17"/>
  <c r="BL69" i="17"/>
  <c r="BK69" i="17"/>
  <c r="BJ69" i="17"/>
  <c r="BQ69" i="17" l="1"/>
  <c r="BS69" i="17"/>
  <c r="BH69" i="17"/>
  <c r="BO69" i="17"/>
  <c r="BP69" i="17"/>
  <c r="BR69" i="17"/>
  <c r="BT69" i="17"/>
  <c r="BI69" i="17"/>
  <c r="BU69" i="17"/>
  <c r="BW69" i="17"/>
  <c r="BX69" i="17"/>
  <c r="BG69" i="17"/>
  <c r="BE69" i="17"/>
  <c r="BV69" i="17"/>
  <c r="BM69" i="17"/>
  <c r="BN69" i="17"/>
  <c r="K9" i="1" l="1"/>
  <c r="AS230" i="1" l="1"/>
  <c r="BQ228" i="1"/>
  <c r="BG217" i="1"/>
  <c r="BV187" i="1"/>
  <c r="BU184" i="1"/>
  <c r="BI161" i="1"/>
  <c r="BX160" i="1"/>
  <c r="CB232" i="1"/>
  <c r="CB233" i="1"/>
  <c r="CB234" i="1"/>
  <c r="CB235" i="1"/>
  <c r="CB236" i="1"/>
  <c r="CB237" i="1"/>
  <c r="CB238" i="1"/>
  <c r="CB239" i="1"/>
  <c r="CB240" i="1"/>
  <c r="CB241" i="1"/>
  <c r="CB242"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353" i="1"/>
  <c r="CB354" i="1"/>
  <c r="CB355" i="1"/>
  <c r="CB356" i="1"/>
  <c r="CB357" i="1"/>
  <c r="CB358" i="1"/>
  <c r="CB359" i="1"/>
  <c r="CB360" i="1"/>
  <c r="CB361" i="1"/>
  <c r="CB362" i="1"/>
  <c r="CB363" i="1"/>
  <c r="CB364" i="1"/>
  <c r="CB365" i="1"/>
  <c r="CB366" i="1"/>
  <c r="CB367" i="1"/>
  <c r="CB368" i="1"/>
  <c r="CB369" i="1"/>
  <c r="CB370" i="1"/>
  <c r="CB371" i="1"/>
  <c r="CB372" i="1"/>
  <c r="CB373" i="1"/>
  <c r="CB374" i="1"/>
  <c r="CB375" i="1"/>
  <c r="CB376" i="1"/>
  <c r="CB377" i="1"/>
  <c r="CB378" i="1"/>
  <c r="CB379" i="1"/>
  <c r="CB380" i="1"/>
  <c r="CB381" i="1"/>
  <c r="CB382" i="1"/>
  <c r="CB383" i="1"/>
  <c r="CB384" i="1"/>
  <c r="CB385" i="1"/>
  <c r="CB386" i="1"/>
  <c r="CB387" i="1"/>
  <c r="CB388" i="1"/>
  <c r="CB389" i="1"/>
  <c r="CB390" i="1"/>
  <c r="CB391" i="1"/>
  <c r="CB392" i="1"/>
  <c r="CB393" i="1"/>
  <c r="CB394" i="1"/>
  <c r="CB395" i="1"/>
  <c r="CB396" i="1"/>
  <c r="CB397" i="1"/>
  <c r="CB398" i="1"/>
  <c r="CB399" i="1"/>
  <c r="CB400" i="1"/>
  <c r="CB401" i="1"/>
  <c r="CB402" i="1"/>
  <c r="CB403" i="1"/>
  <c r="CB404" i="1"/>
  <c r="CB405" i="1"/>
  <c r="CB406" i="1"/>
  <c r="CB407" i="1"/>
  <c r="CB408" i="1"/>
  <c r="CB409" i="1"/>
  <c r="CB410" i="1"/>
  <c r="CB411" i="1"/>
  <c r="CB412" i="1"/>
  <c r="CB413" i="1"/>
  <c r="CB414" i="1"/>
  <c r="CB415" i="1"/>
  <c r="CB416" i="1"/>
  <c r="CB417" i="1"/>
  <c r="CB418" i="1"/>
  <c r="CB419" i="1"/>
  <c r="CB420" i="1"/>
  <c r="CB421" i="1"/>
  <c r="CB422" i="1"/>
  <c r="CB423" i="1"/>
  <c r="CB424" i="1"/>
  <c r="CB425" i="1"/>
  <c r="CB426" i="1"/>
  <c r="CB427" i="1"/>
  <c r="CB428" i="1"/>
  <c r="CB429" i="1"/>
  <c r="CB430" i="1"/>
  <c r="CB431" i="1"/>
  <c r="CB432" i="1"/>
  <c r="CB433" i="1"/>
  <c r="CB434" i="1"/>
  <c r="CB435" i="1"/>
  <c r="CB436" i="1"/>
  <c r="CB437" i="1"/>
  <c r="CB438" i="1"/>
  <c r="CB439" i="1"/>
  <c r="CB440" i="1"/>
  <c r="CB441" i="1"/>
  <c r="CB442" i="1"/>
  <c r="CB443" i="1"/>
  <c r="CB444" i="1"/>
  <c r="CB445" i="1"/>
  <c r="CB446" i="1"/>
  <c r="CB447" i="1"/>
  <c r="CB448" i="1"/>
  <c r="CB449" i="1"/>
  <c r="CB450" i="1"/>
  <c r="CB451" i="1"/>
  <c r="CB452" i="1"/>
  <c r="CB453" i="1"/>
  <c r="CB454" i="1"/>
  <c r="CB455" i="1"/>
  <c r="CB456" i="1"/>
  <c r="CB457" i="1"/>
  <c r="CB458" i="1"/>
  <c r="CB459" i="1"/>
  <c r="CB460" i="1"/>
  <c r="CB461" i="1"/>
  <c r="CB462" i="1"/>
  <c r="CB463" i="1"/>
  <c r="CB464" i="1"/>
  <c r="CB465" i="1"/>
  <c r="CB466" i="1"/>
  <c r="CB467" i="1"/>
  <c r="CB468" i="1"/>
  <c r="CB469" i="1"/>
  <c r="CB470" i="1"/>
  <c r="CB471" i="1"/>
  <c r="CB472" i="1"/>
  <c r="CB473" i="1"/>
  <c r="CB474" i="1"/>
  <c r="CB475" i="1"/>
  <c r="CB476" i="1"/>
  <c r="CB477" i="1"/>
  <c r="CB478" i="1"/>
  <c r="CB479" i="1"/>
  <c r="CB480" i="1"/>
  <c r="CB481" i="1"/>
  <c r="CB482" i="1"/>
  <c r="CB483" i="1"/>
  <c r="CB484" i="1"/>
  <c r="CB485" i="1"/>
  <c r="CB486" i="1"/>
  <c r="CB487" i="1"/>
  <c r="CB488" i="1"/>
  <c r="CB489" i="1"/>
  <c r="CB490" i="1"/>
  <c r="CB491" i="1"/>
  <c r="CB492" i="1"/>
  <c r="CB493" i="1"/>
  <c r="CB494" i="1"/>
  <c r="CB495" i="1"/>
  <c r="CB496" i="1"/>
  <c r="CB497" i="1"/>
  <c r="CB498" i="1"/>
  <c r="CB499" i="1"/>
  <c r="CB500" i="1"/>
  <c r="CB501" i="1"/>
  <c r="CB502" i="1"/>
  <c r="CB503" i="1"/>
  <c r="CB504" i="1"/>
  <c r="CB505" i="1"/>
  <c r="CB506" i="1"/>
  <c r="CB507" i="1"/>
  <c r="CB508" i="1"/>
  <c r="CB509" i="1"/>
  <c r="CB510" i="1"/>
  <c r="CB511" i="1"/>
  <c r="CB512" i="1"/>
  <c r="CB513" i="1"/>
  <c r="CB514" i="1"/>
  <c r="CB515" i="1"/>
  <c r="CB516" i="1"/>
  <c r="CB517" i="1"/>
  <c r="CB518" i="1"/>
  <c r="CB519" i="1"/>
  <c r="CB520" i="1"/>
  <c r="CB521" i="1"/>
  <c r="BX231" i="1"/>
  <c r="BW231" i="1"/>
  <c r="BV231" i="1"/>
  <c r="BU231" i="1"/>
  <c r="BT231" i="1"/>
  <c r="BS231" i="1"/>
  <c r="BR231" i="1"/>
  <c r="BQ231" i="1"/>
  <c r="BP231" i="1"/>
  <c r="BO231" i="1"/>
  <c r="BN231" i="1"/>
  <c r="BM231" i="1"/>
  <c r="BE231" i="1"/>
  <c r="BB231" i="1"/>
  <c r="BA231" i="1"/>
  <c r="AZ231" i="1"/>
  <c r="AY231" i="1"/>
  <c r="AX231" i="1"/>
  <c r="AW231" i="1"/>
  <c r="AV231" i="1"/>
  <c r="AU231" i="1"/>
  <c r="AT231" i="1"/>
  <c r="AS231" i="1"/>
  <c r="AR231" i="1"/>
  <c r="AQ231" i="1"/>
  <c r="AP231" i="1"/>
  <c r="AO231" i="1"/>
  <c r="AG231" i="1"/>
  <c r="AD231" i="1"/>
  <c r="AC231" i="1"/>
  <c r="AB231" i="1"/>
  <c r="AA231" i="1"/>
  <c r="Z231" i="1"/>
  <c r="Y231" i="1"/>
  <c r="X231" i="1"/>
  <c r="W231" i="1"/>
  <c r="V231" i="1"/>
  <c r="U231" i="1"/>
  <c r="T231" i="1"/>
  <c r="S231" i="1"/>
  <c r="R231" i="1"/>
  <c r="Q231" i="1"/>
  <c r="BT230" i="1"/>
  <c r="BS230" i="1"/>
  <c r="BR230" i="1"/>
  <c r="BQ230" i="1"/>
  <c r="BP230" i="1"/>
  <c r="BO230" i="1"/>
  <c r="BN230" i="1"/>
  <c r="BM230" i="1"/>
  <c r="BL230" i="1"/>
  <c r="BK230" i="1"/>
  <c r="BJ230" i="1"/>
  <c r="BI230" i="1"/>
  <c r="BH230" i="1"/>
  <c r="BG230" i="1"/>
  <c r="AY230" i="1"/>
  <c r="AU230" i="1"/>
  <c r="AT230" i="1"/>
  <c r="AR230" i="1"/>
  <c r="AQ230" i="1"/>
  <c r="AP230" i="1"/>
  <c r="AO230" i="1"/>
  <c r="AM230" i="1"/>
  <c r="AL230" i="1"/>
  <c r="AK230" i="1"/>
  <c r="AJ230" i="1"/>
  <c r="AI230" i="1"/>
  <c r="X230" i="1"/>
  <c r="W230" i="1"/>
  <c r="V230" i="1"/>
  <c r="U230" i="1"/>
  <c r="T230" i="1"/>
  <c r="S230" i="1"/>
  <c r="R230" i="1"/>
  <c r="Q230" i="1"/>
  <c r="P230" i="1"/>
  <c r="N230" i="1"/>
  <c r="BQ229" i="1"/>
  <c r="BN229" i="1"/>
  <c r="BM229" i="1"/>
  <c r="BL229" i="1"/>
  <c r="BK229" i="1"/>
  <c r="BJ229" i="1"/>
  <c r="BI229" i="1"/>
  <c r="BH229" i="1"/>
  <c r="BG229" i="1"/>
  <c r="BF229" i="1"/>
  <c r="BE229" i="1"/>
  <c r="BD229" i="1"/>
  <c r="BC229" i="1"/>
  <c r="BB229" i="1"/>
  <c r="BA229" i="1"/>
  <c r="U229" i="1"/>
  <c r="R229" i="1"/>
  <c r="Q229" i="1"/>
  <c r="P229" i="1"/>
  <c r="O229" i="1"/>
  <c r="N229" i="1"/>
  <c r="BX228" i="1"/>
  <c r="BW228" i="1"/>
  <c r="BV228" i="1"/>
  <c r="BU228" i="1"/>
  <c r="BT228" i="1"/>
  <c r="BS228" i="1"/>
  <c r="BR228" i="1"/>
  <c r="BK228" i="1"/>
  <c r="BH228" i="1"/>
  <c r="BG228" i="1"/>
  <c r="BF228" i="1"/>
  <c r="BE228" i="1"/>
  <c r="BD228" i="1"/>
  <c r="BC228" i="1"/>
  <c r="BB228" i="1"/>
  <c r="BA228" i="1"/>
  <c r="AZ228" i="1"/>
  <c r="AY228" i="1"/>
  <c r="AX228" i="1"/>
  <c r="AW228" i="1"/>
  <c r="AV228" i="1"/>
  <c r="AU228" i="1"/>
  <c r="AT228" i="1"/>
  <c r="AM228" i="1"/>
  <c r="AJ228" i="1"/>
  <c r="AI228" i="1"/>
  <c r="AH228" i="1"/>
  <c r="AG228" i="1"/>
  <c r="AF228" i="1"/>
  <c r="AE228" i="1"/>
  <c r="AD228" i="1"/>
  <c r="AC228" i="1"/>
  <c r="AB228" i="1"/>
  <c r="AA228" i="1"/>
  <c r="Z228" i="1"/>
  <c r="Y228" i="1"/>
  <c r="X228" i="1"/>
  <c r="W228" i="1"/>
  <c r="V228" i="1"/>
  <c r="O228" i="1"/>
  <c r="BX227"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BX226"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BX225"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X224" i="1"/>
  <c r="W224" i="1"/>
  <c r="V224" i="1"/>
  <c r="U224" i="1"/>
  <c r="T224" i="1"/>
  <c r="S224" i="1"/>
  <c r="R224" i="1"/>
  <c r="Q224" i="1"/>
  <c r="P224" i="1"/>
  <c r="O224" i="1"/>
  <c r="N224" i="1"/>
  <c r="BX223"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X223" i="1"/>
  <c r="W223" i="1"/>
  <c r="V223" i="1"/>
  <c r="U223" i="1"/>
  <c r="T223" i="1"/>
  <c r="S223" i="1"/>
  <c r="R223" i="1"/>
  <c r="Q223" i="1"/>
  <c r="P223" i="1"/>
  <c r="O223" i="1"/>
  <c r="N223"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BQ221" i="1"/>
  <c r="BN221" i="1"/>
  <c r="BM221" i="1"/>
  <c r="BL221" i="1"/>
  <c r="BK221" i="1"/>
  <c r="BJ221" i="1"/>
  <c r="BI221" i="1"/>
  <c r="BH221" i="1"/>
  <c r="BG221" i="1"/>
  <c r="BF221" i="1"/>
  <c r="BE221" i="1"/>
  <c r="BD221" i="1"/>
  <c r="BC221" i="1"/>
  <c r="BB221" i="1"/>
  <c r="AK221" i="1"/>
  <c r="U221" i="1"/>
  <c r="R221" i="1"/>
  <c r="Q221" i="1"/>
  <c r="P221" i="1"/>
  <c r="O221" i="1"/>
  <c r="N221"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X220" i="1"/>
  <c r="W220" i="1"/>
  <c r="V220" i="1"/>
  <c r="U220" i="1"/>
  <c r="T220" i="1"/>
  <c r="S220" i="1"/>
  <c r="R220" i="1"/>
  <c r="Q220" i="1"/>
  <c r="P220" i="1"/>
  <c r="O220" i="1"/>
  <c r="N220" i="1"/>
  <c r="BX219"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BP218" i="1"/>
  <c r="BM218" i="1"/>
  <c r="BL218" i="1"/>
  <c r="BK218" i="1"/>
  <c r="BJ218" i="1"/>
  <c r="BI218" i="1"/>
  <c r="BH218" i="1"/>
  <c r="BG218" i="1"/>
  <c r="BF218" i="1"/>
  <c r="BA218" i="1"/>
  <c r="AZ218" i="1"/>
  <c r="AY218" i="1"/>
  <c r="AV218" i="1"/>
  <c r="AU218" i="1"/>
  <c r="AT218" i="1"/>
  <c r="AL218" i="1"/>
  <c r="X218" i="1"/>
  <c r="W218" i="1"/>
  <c r="V218" i="1"/>
  <c r="U218" i="1"/>
  <c r="T218" i="1"/>
  <c r="S218" i="1"/>
  <c r="R218" i="1"/>
  <c r="Q218" i="1"/>
  <c r="P218" i="1"/>
  <c r="BL217" i="1"/>
  <c r="BK217" i="1"/>
  <c r="BJ217" i="1"/>
  <c r="BI217" i="1"/>
  <c r="BH217" i="1"/>
  <c r="BF217" i="1"/>
  <c r="BE217" i="1"/>
  <c r="BD217" i="1"/>
  <c r="BC217" i="1"/>
  <c r="BB217" i="1"/>
  <c r="BA217" i="1"/>
  <c r="W217" i="1"/>
  <c r="V217" i="1"/>
  <c r="U217" i="1"/>
  <c r="R217" i="1"/>
  <c r="Q217" i="1"/>
  <c r="P217" i="1"/>
  <c r="BH216" i="1"/>
  <c r="BC216" i="1"/>
  <c r="BB216" i="1"/>
  <c r="BA216" i="1"/>
  <c r="AZ216" i="1"/>
  <c r="AD216" i="1"/>
  <c r="Y216" i="1"/>
  <c r="X216" i="1"/>
  <c r="W216" i="1"/>
  <c r="V216" i="1"/>
  <c r="BX215" i="1"/>
  <c r="BW215" i="1"/>
  <c r="BV215" i="1"/>
  <c r="BU215" i="1"/>
  <c r="BT215" i="1"/>
  <c r="BS215" i="1"/>
  <c r="BR215" i="1"/>
  <c r="BQ215" i="1"/>
  <c r="BP215" i="1"/>
  <c r="BO215" i="1"/>
  <c r="BN215" i="1"/>
  <c r="BM215" i="1"/>
  <c r="BL215" i="1"/>
  <c r="BG215" i="1"/>
  <c r="BF215" i="1"/>
  <c r="BE215" i="1"/>
  <c r="BB215" i="1"/>
  <c r="BA215" i="1"/>
  <c r="AZ215" i="1"/>
  <c r="AY215" i="1"/>
  <c r="AX215" i="1"/>
  <c r="AW215" i="1"/>
  <c r="AV215" i="1"/>
  <c r="AU215" i="1"/>
  <c r="AT215" i="1"/>
  <c r="AS215" i="1"/>
  <c r="AR215" i="1"/>
  <c r="AQ215" i="1"/>
  <c r="AP215" i="1"/>
  <c r="AO215" i="1"/>
  <c r="AN215" i="1"/>
  <c r="AI215" i="1"/>
  <c r="AH215" i="1"/>
  <c r="AG215" i="1"/>
  <c r="X215" i="1"/>
  <c r="W215" i="1"/>
  <c r="V215" i="1"/>
  <c r="U215" i="1"/>
  <c r="T215" i="1"/>
  <c r="S215" i="1"/>
  <c r="R215" i="1"/>
  <c r="Q215" i="1"/>
  <c r="P215" i="1"/>
  <c r="BX214" i="1"/>
  <c r="BT214" i="1"/>
  <c r="BS214" i="1"/>
  <c r="BR214" i="1"/>
  <c r="BQ214" i="1"/>
  <c r="BP214" i="1"/>
  <c r="BO214" i="1"/>
  <c r="BN214" i="1"/>
  <c r="BM214" i="1"/>
  <c r="BL214" i="1"/>
  <c r="BK214" i="1"/>
  <c r="BJ214" i="1"/>
  <c r="BI214" i="1"/>
  <c r="BH214" i="1"/>
  <c r="BG214" i="1"/>
  <c r="BF214" i="1"/>
  <c r="X214" i="1"/>
  <c r="W214" i="1"/>
  <c r="V214" i="1"/>
  <c r="Q214" i="1"/>
  <c r="P214" i="1"/>
  <c r="N214" i="1"/>
  <c r="BX213" i="1"/>
  <c r="BS213" i="1"/>
  <c r="BR213" i="1"/>
  <c r="BQ213" i="1"/>
  <c r="BN213" i="1"/>
  <c r="BL213" i="1"/>
  <c r="BK213" i="1"/>
  <c r="BJ213" i="1"/>
  <c r="BI213" i="1"/>
  <c r="BH213" i="1"/>
  <c r="BG213" i="1"/>
  <c r="BF213" i="1"/>
  <c r="AN213" i="1"/>
  <c r="AM213" i="1"/>
  <c r="AL213" i="1"/>
  <c r="AK213" i="1"/>
  <c r="AJ213" i="1"/>
  <c r="AH213" i="1"/>
  <c r="AG213" i="1"/>
  <c r="AF213" i="1"/>
  <c r="AE213" i="1"/>
  <c r="AD213" i="1"/>
  <c r="AC213" i="1"/>
  <c r="AB213" i="1"/>
  <c r="BX212" i="1"/>
  <c r="BW212" i="1"/>
  <c r="BV212" i="1"/>
  <c r="BU212" i="1"/>
  <c r="BT212" i="1"/>
  <c r="BR212" i="1"/>
  <c r="BM212" i="1"/>
  <c r="BL212" i="1"/>
  <c r="BK212" i="1"/>
  <c r="BH212" i="1"/>
  <c r="BG212" i="1"/>
  <c r="BF212" i="1"/>
  <c r="AT212" i="1"/>
  <c r="AO212" i="1"/>
  <c r="AN212" i="1"/>
  <c r="AM212" i="1"/>
  <c r="AJ212" i="1"/>
  <c r="AH212" i="1"/>
  <c r="AG212" i="1"/>
  <c r="AF212" i="1"/>
  <c r="AE212" i="1"/>
  <c r="AD212" i="1"/>
  <c r="AC212" i="1"/>
  <c r="AB212" i="1"/>
  <c r="BT211" i="1"/>
  <c r="BP211" i="1"/>
  <c r="BO211" i="1"/>
  <c r="BN211" i="1"/>
  <c r="BM211" i="1"/>
  <c r="BL211" i="1"/>
  <c r="AP211" i="1"/>
  <c r="AH211" i="1"/>
  <c r="AG211" i="1"/>
  <c r="AD211" i="1"/>
  <c r="AC211" i="1"/>
  <c r="AB211" i="1"/>
  <c r="BT210" i="1"/>
  <c r="BP210" i="1"/>
  <c r="BO210" i="1"/>
  <c r="BN210" i="1"/>
  <c r="BM210" i="1"/>
  <c r="BL210" i="1"/>
  <c r="AP210" i="1"/>
  <c r="AL210" i="1"/>
  <c r="AK210" i="1"/>
  <c r="AJ210" i="1"/>
  <c r="AH210" i="1"/>
  <c r="AK209" i="1"/>
  <c r="AJ209" i="1"/>
  <c r="AH209" i="1"/>
  <c r="BX207" i="1"/>
  <c r="BW207" i="1"/>
  <c r="BV207" i="1"/>
  <c r="BU207" i="1"/>
  <c r="BT207" i="1"/>
  <c r="BS207" i="1"/>
  <c r="BR207" i="1"/>
  <c r="BQ207" i="1"/>
  <c r="BP207" i="1"/>
  <c r="BO207" i="1"/>
  <c r="BN207" i="1"/>
  <c r="BM207" i="1"/>
  <c r="BL207" i="1"/>
  <c r="BG207" i="1"/>
  <c r="BF207" i="1"/>
  <c r="BE207" i="1"/>
  <c r="BB207" i="1"/>
  <c r="BA207" i="1"/>
  <c r="AZ207" i="1"/>
  <c r="AY207" i="1"/>
  <c r="AX207" i="1"/>
  <c r="AW207" i="1"/>
  <c r="AV207" i="1"/>
  <c r="AU207" i="1"/>
  <c r="AT207" i="1"/>
  <c r="AS207" i="1"/>
  <c r="AR207" i="1"/>
  <c r="AQ207" i="1"/>
  <c r="AP207" i="1"/>
  <c r="AO207" i="1"/>
  <c r="AN207" i="1"/>
  <c r="AI207" i="1"/>
  <c r="AH207" i="1"/>
  <c r="AG207" i="1"/>
  <c r="AD207" i="1"/>
  <c r="AC207" i="1"/>
  <c r="AB207" i="1"/>
  <c r="AA207" i="1"/>
  <c r="Z207" i="1"/>
  <c r="Y207" i="1"/>
  <c r="X207" i="1"/>
  <c r="W207" i="1"/>
  <c r="V207" i="1"/>
  <c r="U207" i="1"/>
  <c r="T207" i="1"/>
  <c r="S207" i="1"/>
  <c r="R207" i="1"/>
  <c r="Q207" i="1"/>
  <c r="P207" i="1"/>
  <c r="BX206" i="1"/>
  <c r="BW206" i="1"/>
  <c r="BT206" i="1"/>
  <c r="BS206" i="1"/>
  <c r="BR206" i="1"/>
  <c r="BQ206" i="1"/>
  <c r="BP206" i="1"/>
  <c r="BO206" i="1"/>
  <c r="BN206" i="1"/>
  <c r="BM206" i="1"/>
  <c r="BL206" i="1"/>
  <c r="BK206" i="1"/>
  <c r="BJ206" i="1"/>
  <c r="BI206" i="1"/>
  <c r="BH206" i="1"/>
  <c r="BG206" i="1"/>
  <c r="BF206" i="1"/>
  <c r="BA206" i="1"/>
  <c r="AZ206" i="1"/>
  <c r="AY206" i="1"/>
  <c r="AV206" i="1"/>
  <c r="AU206" i="1"/>
  <c r="AT206" i="1"/>
  <c r="AS206" i="1"/>
  <c r="AR206" i="1"/>
  <c r="AQ206" i="1"/>
  <c r="AP206" i="1"/>
  <c r="AO206" i="1"/>
  <c r="AN206" i="1"/>
  <c r="AM206" i="1"/>
  <c r="AL206" i="1"/>
  <c r="AK206" i="1"/>
  <c r="AJ206" i="1"/>
  <c r="AI206" i="1"/>
  <c r="AH206" i="1"/>
  <c r="X206" i="1"/>
  <c r="W206" i="1"/>
  <c r="V206" i="1"/>
  <c r="U206" i="1"/>
  <c r="T206" i="1"/>
  <c r="S206" i="1"/>
  <c r="R206" i="1"/>
  <c r="Q206" i="1"/>
  <c r="P206" i="1"/>
  <c r="O206" i="1"/>
  <c r="N206" i="1"/>
  <c r="BX205" i="1"/>
  <c r="BS205" i="1"/>
  <c r="BR205" i="1"/>
  <c r="BQ205" i="1"/>
  <c r="BN205" i="1"/>
  <c r="BM205" i="1"/>
  <c r="BL205" i="1"/>
  <c r="BK205" i="1"/>
  <c r="BJ205" i="1"/>
  <c r="BI205" i="1"/>
  <c r="BH205" i="1"/>
  <c r="BG205" i="1"/>
  <c r="BF205" i="1"/>
  <c r="BE205" i="1"/>
  <c r="BD205" i="1"/>
  <c r="BC205" i="1"/>
  <c r="BB205" i="1"/>
  <c r="BA205" i="1"/>
  <c r="AZ205" i="1"/>
  <c r="W205" i="1"/>
  <c r="V205" i="1"/>
  <c r="U205" i="1"/>
  <c r="R205" i="1"/>
  <c r="Q205" i="1"/>
  <c r="P205" i="1"/>
  <c r="O205" i="1"/>
  <c r="N205"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BX203"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N203"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X202" i="1"/>
  <c r="W202" i="1"/>
  <c r="V202" i="1"/>
  <c r="U202" i="1"/>
  <c r="T202" i="1"/>
  <c r="S202" i="1"/>
  <c r="R202" i="1"/>
  <c r="Q202" i="1"/>
  <c r="P202" i="1"/>
  <c r="O202" i="1"/>
  <c r="N202" i="1"/>
  <c r="BX201"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X200"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X200" i="1"/>
  <c r="W200" i="1"/>
  <c r="V200" i="1"/>
  <c r="U200" i="1"/>
  <c r="T200" i="1"/>
  <c r="S200" i="1"/>
  <c r="R200" i="1"/>
  <c r="Q200" i="1"/>
  <c r="P200" i="1"/>
  <c r="O200" i="1"/>
  <c r="N200" i="1"/>
  <c r="BX199"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X199" i="1"/>
  <c r="W199" i="1"/>
  <c r="V199" i="1"/>
  <c r="U199" i="1"/>
  <c r="T199" i="1"/>
  <c r="S199" i="1"/>
  <c r="R199" i="1"/>
  <c r="Q199" i="1"/>
  <c r="P199" i="1"/>
  <c r="O199" i="1"/>
  <c r="N199"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BX197" i="1"/>
  <c r="BV197" i="1"/>
  <c r="BU197" i="1"/>
  <c r="BS197" i="1"/>
  <c r="BR197" i="1"/>
  <c r="BQ197" i="1"/>
  <c r="BP197" i="1"/>
  <c r="BO197" i="1"/>
  <c r="BN197" i="1"/>
  <c r="BM197" i="1"/>
  <c r="BL197" i="1"/>
  <c r="BK197" i="1"/>
  <c r="BJ197" i="1"/>
  <c r="BI197" i="1"/>
  <c r="BH197" i="1"/>
  <c r="BG197" i="1"/>
  <c r="BF197" i="1"/>
  <c r="BE197" i="1"/>
  <c r="BD197" i="1"/>
  <c r="BC197" i="1"/>
  <c r="BB197" i="1"/>
  <c r="BA197" i="1"/>
  <c r="AZ197" i="1"/>
  <c r="AX197" i="1"/>
  <c r="AW197" i="1"/>
  <c r="AU197" i="1"/>
  <c r="AT197" i="1"/>
  <c r="AS197" i="1"/>
  <c r="AR197" i="1"/>
  <c r="AQ197" i="1"/>
  <c r="AP197" i="1"/>
  <c r="AO197" i="1"/>
  <c r="AN197" i="1"/>
  <c r="AM197" i="1"/>
  <c r="AL197" i="1"/>
  <c r="AK197" i="1"/>
  <c r="AJ197" i="1"/>
  <c r="AI197" i="1"/>
  <c r="AH197" i="1"/>
  <c r="AG197" i="1"/>
  <c r="W197" i="1"/>
  <c r="V197" i="1"/>
  <c r="U197" i="1"/>
  <c r="T197" i="1"/>
  <c r="S197" i="1"/>
  <c r="R197" i="1"/>
  <c r="Q197" i="1"/>
  <c r="P197" i="1"/>
  <c r="O197" i="1"/>
  <c r="N197" i="1"/>
  <c r="BX196"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X196" i="1"/>
  <c r="W196" i="1"/>
  <c r="V196" i="1"/>
  <c r="U196" i="1"/>
  <c r="T196" i="1"/>
  <c r="S196" i="1"/>
  <c r="R196" i="1"/>
  <c r="Q196" i="1"/>
  <c r="P196" i="1"/>
  <c r="O196" i="1"/>
  <c r="N196" i="1"/>
  <c r="BX195"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BX194" i="1"/>
  <c r="BW194" i="1"/>
  <c r="BV194" i="1"/>
  <c r="BU194" i="1"/>
  <c r="BT194" i="1"/>
  <c r="BS194" i="1"/>
  <c r="BR194" i="1"/>
  <c r="BQ194" i="1"/>
  <c r="BP194" i="1"/>
  <c r="BO194" i="1"/>
  <c r="BN194" i="1"/>
  <c r="BM194" i="1"/>
  <c r="BL194" i="1"/>
  <c r="BK194" i="1"/>
  <c r="BJ194" i="1"/>
  <c r="BI194" i="1"/>
  <c r="BH194" i="1"/>
  <c r="BG194" i="1"/>
  <c r="BF194" i="1"/>
  <c r="BE194" i="1"/>
  <c r="BD194" i="1"/>
  <c r="BC194" i="1"/>
  <c r="BA194" i="1"/>
  <c r="AZ194" i="1"/>
  <c r="AY194" i="1"/>
  <c r="AX194" i="1"/>
  <c r="AW194" i="1"/>
  <c r="AV194" i="1"/>
  <c r="AU194" i="1"/>
  <c r="AT194" i="1"/>
  <c r="AS194" i="1"/>
  <c r="AR194" i="1"/>
  <c r="AQ194" i="1"/>
  <c r="AP194" i="1"/>
  <c r="AO194" i="1"/>
  <c r="AN194" i="1"/>
  <c r="AM194" i="1"/>
  <c r="AL194" i="1"/>
  <c r="AK194" i="1"/>
  <c r="AJ194" i="1"/>
  <c r="AI194" i="1"/>
  <c r="AH194" i="1"/>
  <c r="AG194" i="1"/>
  <c r="X194" i="1"/>
  <c r="W194" i="1"/>
  <c r="V194" i="1"/>
  <c r="U194" i="1"/>
  <c r="T194" i="1"/>
  <c r="S194" i="1"/>
  <c r="R194" i="1"/>
  <c r="Q194" i="1"/>
  <c r="P194" i="1"/>
  <c r="O194" i="1"/>
  <c r="N194" i="1"/>
  <c r="BX193" i="1"/>
  <c r="BW193" i="1"/>
  <c r="BV193" i="1"/>
  <c r="BU193" i="1"/>
  <c r="BS193" i="1"/>
  <c r="BR193" i="1"/>
  <c r="BQ193" i="1"/>
  <c r="BP193" i="1"/>
  <c r="BO193" i="1"/>
  <c r="BN193" i="1"/>
  <c r="BM193" i="1"/>
  <c r="BL193" i="1"/>
  <c r="BK193" i="1"/>
  <c r="BJ193" i="1"/>
  <c r="BI193" i="1"/>
  <c r="BH193" i="1"/>
  <c r="BG193" i="1"/>
  <c r="BF193" i="1"/>
  <c r="BE193" i="1"/>
  <c r="BD193" i="1"/>
  <c r="BC193" i="1"/>
  <c r="BB193" i="1"/>
  <c r="AZ193" i="1"/>
  <c r="W193" i="1"/>
  <c r="V193" i="1"/>
  <c r="U193" i="1"/>
  <c r="T193" i="1"/>
  <c r="S193" i="1"/>
  <c r="R193" i="1"/>
  <c r="Q193" i="1"/>
  <c r="P193" i="1"/>
  <c r="O193" i="1"/>
  <c r="N193" i="1"/>
  <c r="BX192" i="1"/>
  <c r="BW192" i="1"/>
  <c r="BV192" i="1"/>
  <c r="BU192" i="1"/>
  <c r="BT192" i="1"/>
  <c r="BS192" i="1"/>
  <c r="BF192" i="1"/>
  <c r="BE192" i="1"/>
  <c r="BD192" i="1"/>
  <c r="BC192" i="1"/>
  <c r="BB192" i="1"/>
  <c r="AZ192" i="1"/>
  <c r="AY192" i="1"/>
  <c r="AX192" i="1"/>
  <c r="AW192" i="1"/>
  <c r="AV192" i="1"/>
  <c r="AU192" i="1"/>
  <c r="AT192" i="1"/>
  <c r="AG192" i="1"/>
  <c r="AF192" i="1"/>
  <c r="AE192" i="1"/>
  <c r="AD192" i="1"/>
  <c r="AC192" i="1"/>
  <c r="AA192" i="1"/>
  <c r="Z192" i="1"/>
  <c r="Y192" i="1"/>
  <c r="X192" i="1"/>
  <c r="W192" i="1"/>
  <c r="V192" i="1"/>
  <c r="U192" i="1"/>
  <c r="BX191" i="1"/>
  <c r="BW191" i="1"/>
  <c r="BV191" i="1"/>
  <c r="BU191" i="1"/>
  <c r="BT191" i="1"/>
  <c r="BS191" i="1"/>
  <c r="BR191" i="1"/>
  <c r="BQ191" i="1"/>
  <c r="BP191" i="1"/>
  <c r="BO191" i="1"/>
  <c r="BN191" i="1"/>
  <c r="BM191" i="1"/>
  <c r="BL191" i="1"/>
  <c r="BK191" i="1"/>
  <c r="BJ191" i="1"/>
  <c r="BI191" i="1"/>
  <c r="BG191" i="1"/>
  <c r="BF191" i="1"/>
  <c r="BE191" i="1"/>
  <c r="BD191" i="1"/>
  <c r="BC191" i="1"/>
  <c r="BB191" i="1"/>
  <c r="BA191" i="1"/>
  <c r="AZ191" i="1"/>
  <c r="AY191" i="1"/>
  <c r="AX191" i="1"/>
  <c r="X191" i="1"/>
  <c r="W191" i="1"/>
  <c r="V191" i="1"/>
  <c r="U191" i="1"/>
  <c r="T191" i="1"/>
  <c r="S191" i="1"/>
  <c r="R191" i="1"/>
  <c r="Q191" i="1"/>
  <c r="P191" i="1"/>
  <c r="O191" i="1"/>
  <c r="N191" i="1"/>
  <c r="BX190" i="1"/>
  <c r="BW190" i="1"/>
  <c r="BV190" i="1"/>
  <c r="BU190" i="1"/>
  <c r="BT190" i="1"/>
  <c r="BS190" i="1"/>
  <c r="BR190" i="1"/>
  <c r="BQ190" i="1"/>
  <c r="BP190" i="1"/>
  <c r="BO190" i="1"/>
  <c r="BN190" i="1"/>
  <c r="BM190" i="1"/>
  <c r="BL190" i="1"/>
  <c r="BK190" i="1"/>
  <c r="BJ190" i="1"/>
  <c r="BI190" i="1"/>
  <c r="BH190" i="1"/>
  <c r="BG190" i="1"/>
  <c r="BF190" i="1"/>
  <c r="BE190" i="1"/>
  <c r="BD190" i="1"/>
  <c r="BC190" i="1"/>
  <c r="BA190" i="1"/>
  <c r="AZ190" i="1"/>
  <c r="AY190" i="1"/>
  <c r="AX190" i="1"/>
  <c r="X190" i="1"/>
  <c r="W190" i="1"/>
  <c r="V190" i="1"/>
  <c r="U190" i="1"/>
  <c r="T190" i="1"/>
  <c r="S190" i="1"/>
  <c r="R190" i="1"/>
  <c r="Q190" i="1"/>
  <c r="P190" i="1"/>
  <c r="O190" i="1"/>
  <c r="N190" i="1"/>
  <c r="BX189" i="1"/>
  <c r="BW189" i="1"/>
  <c r="BV189" i="1"/>
  <c r="BU189" i="1"/>
  <c r="BS189" i="1"/>
  <c r="BR189" i="1"/>
  <c r="BQ189" i="1"/>
  <c r="BP189" i="1"/>
  <c r="BO189" i="1"/>
  <c r="BM189" i="1"/>
  <c r="BL189" i="1"/>
  <c r="BK189" i="1"/>
  <c r="BJ189" i="1"/>
  <c r="BI189" i="1"/>
  <c r="BH189" i="1"/>
  <c r="BG189" i="1"/>
  <c r="BF189" i="1"/>
  <c r="BE189" i="1"/>
  <c r="BD189" i="1"/>
  <c r="BC189" i="1"/>
  <c r="BB189" i="1"/>
  <c r="BA189" i="1"/>
  <c r="AZ189" i="1"/>
  <c r="AY189" i="1"/>
  <c r="AX189" i="1"/>
  <c r="W189" i="1"/>
  <c r="V189" i="1"/>
  <c r="U189" i="1"/>
  <c r="T189" i="1"/>
  <c r="S189" i="1"/>
  <c r="R189" i="1"/>
  <c r="Q189" i="1"/>
  <c r="O189" i="1"/>
  <c r="N189" i="1"/>
  <c r="BX188" i="1"/>
  <c r="BW188" i="1"/>
  <c r="BV188" i="1"/>
  <c r="BU188" i="1"/>
  <c r="BT188" i="1"/>
  <c r="BS188" i="1"/>
  <c r="BR188" i="1"/>
  <c r="BQ188" i="1"/>
  <c r="BP188" i="1"/>
  <c r="BO188" i="1"/>
  <c r="BM188" i="1"/>
  <c r="BL188" i="1"/>
  <c r="BK188" i="1"/>
  <c r="BJ188" i="1"/>
  <c r="BI188" i="1"/>
  <c r="BH188" i="1"/>
  <c r="BG188" i="1"/>
  <c r="BF188" i="1"/>
  <c r="BD188" i="1"/>
  <c r="BC188" i="1"/>
  <c r="BB188" i="1"/>
  <c r="BA188" i="1"/>
  <c r="AZ188" i="1"/>
  <c r="AY188" i="1"/>
  <c r="AX188" i="1"/>
  <c r="AW188" i="1"/>
  <c r="AV188" i="1"/>
  <c r="AU188" i="1"/>
  <c r="AT188" i="1"/>
  <c r="AS188" i="1"/>
  <c r="AR188" i="1"/>
  <c r="AQ188" i="1"/>
  <c r="AO188" i="1"/>
  <c r="AN188" i="1"/>
  <c r="AM188" i="1"/>
  <c r="AL188" i="1"/>
  <c r="AK188" i="1"/>
  <c r="AJ188" i="1"/>
  <c r="AI188" i="1"/>
  <c r="AH188" i="1"/>
  <c r="AG188" i="1"/>
  <c r="AE188" i="1"/>
  <c r="AD188" i="1"/>
  <c r="AC188" i="1"/>
  <c r="AB188" i="1"/>
  <c r="AA188" i="1"/>
  <c r="Z188" i="1"/>
  <c r="Y188" i="1"/>
  <c r="X188" i="1"/>
  <c r="W188" i="1"/>
  <c r="V188" i="1"/>
  <c r="U188" i="1"/>
  <c r="T188" i="1"/>
  <c r="S188" i="1"/>
  <c r="Q188" i="1"/>
  <c r="P188" i="1"/>
  <c r="O188" i="1"/>
  <c r="N188" i="1"/>
  <c r="BX187" i="1"/>
  <c r="BW187" i="1"/>
  <c r="BO187" i="1"/>
  <c r="BK187" i="1"/>
  <c r="BJ187" i="1"/>
  <c r="BI187" i="1"/>
  <c r="BH187" i="1"/>
  <c r="BG187" i="1"/>
  <c r="BF187" i="1"/>
  <c r="BE187" i="1"/>
  <c r="BD187" i="1"/>
  <c r="BC187" i="1"/>
  <c r="BB187" i="1"/>
  <c r="BA187" i="1"/>
  <c r="AZ187" i="1"/>
  <c r="AY187" i="1"/>
  <c r="S187" i="1"/>
  <c r="O187" i="1"/>
  <c r="N187" i="1"/>
  <c r="BX186" i="1"/>
  <c r="BW186" i="1"/>
  <c r="BV186" i="1"/>
  <c r="BU186" i="1"/>
  <c r="BT186" i="1"/>
  <c r="BS186" i="1"/>
  <c r="BR186" i="1"/>
  <c r="BQ186" i="1"/>
  <c r="BI186" i="1"/>
  <c r="BE186" i="1"/>
  <c r="BD186" i="1"/>
  <c r="BC186" i="1"/>
  <c r="BB186" i="1"/>
  <c r="BA186" i="1"/>
  <c r="AZ186" i="1"/>
  <c r="AY186" i="1"/>
  <c r="AX186" i="1"/>
  <c r="X186" i="1"/>
  <c r="W186" i="1"/>
  <c r="V186" i="1"/>
  <c r="U186" i="1"/>
  <c r="BW185" i="1"/>
  <c r="BV185" i="1"/>
  <c r="BU185" i="1"/>
  <c r="BT185" i="1"/>
  <c r="BS185" i="1"/>
  <c r="BR185" i="1"/>
  <c r="BQ185" i="1"/>
  <c r="BP185" i="1"/>
  <c r="BO185" i="1"/>
  <c r="BN185" i="1"/>
  <c r="BM185" i="1"/>
  <c r="BL185" i="1"/>
  <c r="BK185" i="1"/>
  <c r="BC185" i="1"/>
  <c r="AY185" i="1"/>
  <c r="AX185" i="1"/>
  <c r="X185" i="1"/>
  <c r="W185" i="1"/>
  <c r="V185" i="1"/>
  <c r="U185" i="1"/>
  <c r="T185" i="1"/>
  <c r="S185" i="1"/>
  <c r="R185" i="1"/>
  <c r="Q185" i="1"/>
  <c r="P185" i="1"/>
  <c r="O185" i="1"/>
  <c r="AP184" i="1"/>
  <c r="BX183"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X183" i="1"/>
  <c r="W183" i="1"/>
  <c r="V183" i="1"/>
  <c r="U183" i="1"/>
  <c r="T183" i="1"/>
  <c r="S183" i="1"/>
  <c r="R183" i="1"/>
  <c r="Q183" i="1"/>
  <c r="P183" i="1"/>
  <c r="O183" i="1"/>
  <c r="N183" i="1"/>
  <c r="BX182"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X182" i="1"/>
  <c r="W182" i="1"/>
  <c r="V182" i="1"/>
  <c r="U182" i="1"/>
  <c r="T182" i="1"/>
  <c r="S182" i="1"/>
  <c r="R182" i="1"/>
  <c r="Q182" i="1"/>
  <c r="P182" i="1"/>
  <c r="O182" i="1"/>
  <c r="N182"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X181" i="1"/>
  <c r="W181" i="1"/>
  <c r="V181" i="1"/>
  <c r="U181" i="1"/>
  <c r="T181" i="1"/>
  <c r="S181" i="1"/>
  <c r="R181" i="1"/>
  <c r="Q181" i="1"/>
  <c r="P181" i="1"/>
  <c r="O181" i="1"/>
  <c r="N181" i="1"/>
  <c r="BX180"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N180" i="1"/>
  <c r="BX179"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X179" i="1"/>
  <c r="W179" i="1"/>
  <c r="V179" i="1"/>
  <c r="U179" i="1"/>
  <c r="T179" i="1"/>
  <c r="S179" i="1"/>
  <c r="R179" i="1"/>
  <c r="Q179" i="1"/>
  <c r="P179" i="1"/>
  <c r="O179" i="1"/>
  <c r="N179" i="1"/>
  <c r="BX178"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X178" i="1"/>
  <c r="W178" i="1"/>
  <c r="V178" i="1"/>
  <c r="U178" i="1"/>
  <c r="T178" i="1"/>
  <c r="S178" i="1"/>
  <c r="R178" i="1"/>
  <c r="Q178" i="1"/>
  <c r="P178" i="1"/>
  <c r="O178" i="1"/>
  <c r="N178"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X177" i="1"/>
  <c r="W177" i="1"/>
  <c r="V177" i="1"/>
  <c r="U177" i="1"/>
  <c r="T177" i="1"/>
  <c r="S177" i="1"/>
  <c r="R177" i="1"/>
  <c r="Q177" i="1"/>
  <c r="P177" i="1"/>
  <c r="O177" i="1"/>
  <c r="N177" i="1"/>
  <c r="BX176" i="1"/>
  <c r="BW176" i="1"/>
  <c r="BV176" i="1"/>
  <c r="BU176" i="1"/>
  <c r="BT176"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X175"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X175" i="1"/>
  <c r="W175" i="1"/>
  <c r="V175" i="1"/>
  <c r="U175" i="1"/>
  <c r="T175" i="1"/>
  <c r="S175" i="1"/>
  <c r="R175" i="1"/>
  <c r="Q175" i="1"/>
  <c r="P175" i="1"/>
  <c r="O175" i="1"/>
  <c r="N175" i="1"/>
  <c r="BX174"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X174" i="1"/>
  <c r="W174" i="1"/>
  <c r="V174" i="1"/>
  <c r="U174" i="1"/>
  <c r="T174" i="1"/>
  <c r="S174" i="1"/>
  <c r="R174" i="1"/>
  <c r="Q174" i="1"/>
  <c r="P174" i="1"/>
  <c r="O174" i="1"/>
  <c r="N174" i="1"/>
  <c r="BX173"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X172" i="1"/>
  <c r="W172" i="1"/>
  <c r="V172" i="1"/>
  <c r="U172" i="1"/>
  <c r="T172" i="1"/>
  <c r="S172" i="1"/>
  <c r="R172" i="1"/>
  <c r="Q172" i="1"/>
  <c r="P172" i="1"/>
  <c r="O172" i="1"/>
  <c r="N172" i="1"/>
  <c r="BX171"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X171" i="1"/>
  <c r="W171" i="1"/>
  <c r="V171" i="1"/>
  <c r="U171" i="1"/>
  <c r="T171" i="1"/>
  <c r="S171" i="1"/>
  <c r="R171" i="1"/>
  <c r="Q171" i="1"/>
  <c r="P171" i="1"/>
  <c r="O171" i="1"/>
  <c r="N171" i="1"/>
  <c r="BX170"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BX169"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X169" i="1"/>
  <c r="W169" i="1"/>
  <c r="V169" i="1"/>
  <c r="U169" i="1"/>
  <c r="T169" i="1"/>
  <c r="S169" i="1"/>
  <c r="R169" i="1"/>
  <c r="Q169" i="1"/>
  <c r="P169" i="1"/>
  <c r="O169" i="1"/>
  <c r="N169" i="1"/>
  <c r="BX168" i="1"/>
  <c r="BW168" i="1"/>
  <c r="BV168" i="1"/>
  <c r="BU168" i="1"/>
  <c r="BT168" i="1"/>
  <c r="BS168" i="1"/>
  <c r="BR168" i="1"/>
  <c r="BQ168" i="1"/>
  <c r="BP168" i="1"/>
  <c r="BO168" i="1"/>
  <c r="BN168" i="1"/>
  <c r="BM168" i="1"/>
  <c r="BL168" i="1"/>
  <c r="BK168" i="1"/>
  <c r="BJ168" i="1"/>
  <c r="BI168" i="1"/>
  <c r="BH168" i="1"/>
  <c r="BG168" i="1"/>
  <c r="BF168" i="1"/>
  <c r="BE168" i="1"/>
  <c r="BD168" i="1"/>
  <c r="BB168" i="1"/>
  <c r="BA168" i="1"/>
  <c r="X168" i="1"/>
  <c r="W168" i="1"/>
  <c r="V168" i="1"/>
  <c r="U168" i="1"/>
  <c r="T168" i="1"/>
  <c r="S168" i="1"/>
  <c r="R168" i="1"/>
  <c r="Q168" i="1"/>
  <c r="P168" i="1"/>
  <c r="O168" i="1"/>
  <c r="N168" i="1"/>
  <c r="BX167"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BX166"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X166" i="1"/>
  <c r="W166" i="1"/>
  <c r="V166" i="1"/>
  <c r="U166" i="1"/>
  <c r="T166" i="1"/>
  <c r="S166" i="1"/>
  <c r="R166" i="1"/>
  <c r="Q166" i="1"/>
  <c r="P166" i="1"/>
  <c r="O166" i="1"/>
  <c r="N166"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X165" i="1"/>
  <c r="W165" i="1"/>
  <c r="V165" i="1"/>
  <c r="U165" i="1"/>
  <c r="T165" i="1"/>
  <c r="S165" i="1"/>
  <c r="R165" i="1"/>
  <c r="Q165" i="1"/>
  <c r="P165" i="1"/>
  <c r="O165" i="1"/>
  <c r="N165" i="1"/>
  <c r="BX164"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N164" i="1"/>
  <c r="BX163"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X163" i="1"/>
  <c r="W163" i="1"/>
  <c r="V163" i="1"/>
  <c r="U163" i="1"/>
  <c r="T163" i="1"/>
  <c r="S163" i="1"/>
  <c r="R163" i="1"/>
  <c r="Q163" i="1"/>
  <c r="P163" i="1"/>
  <c r="O163" i="1"/>
  <c r="N163" i="1"/>
  <c r="BX162" i="1"/>
  <c r="BW162" i="1"/>
  <c r="BV162" i="1"/>
  <c r="BU162" i="1"/>
  <c r="BT162" i="1"/>
  <c r="BS162" i="1"/>
  <c r="BR162" i="1"/>
  <c r="BQ162" i="1"/>
  <c r="BP162" i="1"/>
  <c r="BN162" i="1"/>
  <c r="BM162" i="1"/>
  <c r="BL162" i="1"/>
  <c r="BK162" i="1"/>
  <c r="BJ162" i="1"/>
  <c r="BI162" i="1"/>
  <c r="BH162" i="1"/>
  <c r="BG162" i="1"/>
  <c r="BF162" i="1"/>
  <c r="BE162" i="1"/>
  <c r="BD162" i="1"/>
  <c r="BC162" i="1"/>
  <c r="BB162" i="1"/>
  <c r="BA162" i="1"/>
  <c r="X162" i="1"/>
  <c r="W162" i="1"/>
  <c r="V162" i="1"/>
  <c r="U162" i="1"/>
  <c r="T162" i="1"/>
  <c r="R162" i="1"/>
  <c r="Q162" i="1"/>
  <c r="P162" i="1"/>
  <c r="O162" i="1"/>
  <c r="N162" i="1"/>
  <c r="BX161" i="1"/>
  <c r="BW161" i="1"/>
  <c r="BV161" i="1"/>
  <c r="BU161" i="1"/>
  <c r="BT161" i="1"/>
  <c r="BS161" i="1"/>
  <c r="BR161" i="1"/>
  <c r="BQ161" i="1"/>
  <c r="BP161" i="1"/>
  <c r="BO161" i="1"/>
  <c r="BN161" i="1"/>
  <c r="BM161" i="1"/>
  <c r="BL161" i="1"/>
  <c r="BK161" i="1"/>
  <c r="BJ161" i="1"/>
  <c r="BH161" i="1"/>
  <c r="BG161" i="1"/>
  <c r="BF161" i="1"/>
  <c r="BE161" i="1"/>
  <c r="BD161" i="1"/>
  <c r="BC161" i="1"/>
  <c r="BB161" i="1"/>
  <c r="BA161" i="1"/>
  <c r="X161" i="1"/>
  <c r="W161" i="1"/>
  <c r="V161" i="1"/>
  <c r="U161" i="1"/>
  <c r="T161" i="1"/>
  <c r="S161" i="1"/>
  <c r="R161" i="1"/>
  <c r="Q161" i="1"/>
  <c r="P161" i="1"/>
  <c r="O161" i="1"/>
  <c r="N161" i="1"/>
  <c r="BA160" i="1"/>
  <c r="AC160" i="1"/>
  <c r="BX159"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X159" i="1"/>
  <c r="W159" i="1"/>
  <c r="V159" i="1"/>
  <c r="U159" i="1"/>
  <c r="T159" i="1"/>
  <c r="S159" i="1"/>
  <c r="R159" i="1"/>
  <c r="Q159" i="1"/>
  <c r="P159" i="1"/>
  <c r="O159" i="1"/>
  <c r="N159" i="1"/>
  <c r="BX158"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X158" i="1"/>
  <c r="W158" i="1"/>
  <c r="V158" i="1"/>
  <c r="U158" i="1"/>
  <c r="T158" i="1"/>
  <c r="S158" i="1"/>
  <c r="R158" i="1"/>
  <c r="Q158" i="1"/>
  <c r="P158" i="1"/>
  <c r="O158" i="1"/>
  <c r="N158" i="1"/>
  <c r="BX157"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X156" i="1"/>
  <c r="W156" i="1"/>
  <c r="V156" i="1"/>
  <c r="U156" i="1"/>
  <c r="T156" i="1"/>
  <c r="S156" i="1"/>
  <c r="R156" i="1"/>
  <c r="Q156" i="1"/>
  <c r="P156" i="1"/>
  <c r="O156" i="1"/>
  <c r="N156"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X155" i="1"/>
  <c r="W155" i="1"/>
  <c r="V155" i="1"/>
  <c r="U155" i="1"/>
  <c r="T155" i="1"/>
  <c r="S155" i="1"/>
  <c r="R155" i="1"/>
  <c r="Q155" i="1"/>
  <c r="P155" i="1"/>
  <c r="O155" i="1"/>
  <c r="N155"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X154" i="1"/>
  <c r="W154" i="1"/>
  <c r="V154" i="1"/>
  <c r="U154" i="1"/>
  <c r="T154" i="1"/>
  <c r="S154" i="1"/>
  <c r="R154" i="1"/>
  <c r="Q154" i="1"/>
  <c r="P154" i="1"/>
  <c r="O154" i="1"/>
  <c r="N154" i="1"/>
  <c r="BX153"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BX152"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X152" i="1"/>
  <c r="W152" i="1"/>
  <c r="V152" i="1"/>
  <c r="U152" i="1"/>
  <c r="T152" i="1"/>
  <c r="S152" i="1"/>
  <c r="R152" i="1"/>
  <c r="Q152" i="1"/>
  <c r="P152" i="1"/>
  <c r="O152" i="1"/>
  <c r="N152" i="1"/>
  <c r="BX151"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X151" i="1"/>
  <c r="W151" i="1"/>
  <c r="V151" i="1"/>
  <c r="U151" i="1"/>
  <c r="T151" i="1"/>
  <c r="S151" i="1"/>
  <c r="R151" i="1"/>
  <c r="Q151" i="1"/>
  <c r="P151" i="1"/>
  <c r="O151" i="1"/>
  <c r="N151" i="1"/>
  <c r="BX150"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X150" i="1"/>
  <c r="W150" i="1"/>
  <c r="V150" i="1"/>
  <c r="U150" i="1"/>
  <c r="T150" i="1"/>
  <c r="S150" i="1"/>
  <c r="R150" i="1"/>
  <c r="Q150" i="1"/>
  <c r="P150" i="1"/>
  <c r="O150" i="1"/>
  <c r="N150" i="1"/>
  <c r="AD160" i="1" l="1"/>
  <c r="BB160" i="1"/>
  <c r="AQ184" i="1"/>
  <c r="BJ185" i="1"/>
  <c r="N185" i="1"/>
  <c r="BI185" i="1"/>
  <c r="BH185" i="1"/>
  <c r="BG185" i="1"/>
  <c r="BF185" i="1"/>
  <c r="BE185" i="1"/>
  <c r="BD185" i="1"/>
  <c r="BB185" i="1"/>
  <c r="BA185" i="1"/>
  <c r="BX185" i="1"/>
  <c r="AZ185" i="1"/>
  <c r="BW209" i="1"/>
  <c r="AY209" i="1"/>
  <c r="BV209" i="1"/>
  <c r="AX209" i="1"/>
  <c r="BU209" i="1"/>
  <c r="AW209" i="1"/>
  <c r="BT209" i="1"/>
  <c r="AV209" i="1"/>
  <c r="X209" i="1"/>
  <c r="BP209" i="1"/>
  <c r="AR209" i="1"/>
  <c r="T209" i="1"/>
  <c r="BO209" i="1"/>
  <c r="AQ209" i="1"/>
  <c r="S209" i="1"/>
  <c r="BK209" i="1"/>
  <c r="AG209" i="1"/>
  <c r="BJ209" i="1"/>
  <c r="BI209" i="1"/>
  <c r="BH209" i="1"/>
  <c r="BG209" i="1"/>
  <c r="BF209" i="1"/>
  <c r="BE209" i="1"/>
  <c r="W209" i="1"/>
  <c r="BD209" i="1"/>
  <c r="V209" i="1"/>
  <c r="BC209" i="1"/>
  <c r="U209" i="1"/>
  <c r="BB209" i="1"/>
  <c r="R209" i="1"/>
  <c r="BA209" i="1"/>
  <c r="Q209" i="1"/>
  <c r="AZ209" i="1"/>
  <c r="P209" i="1"/>
  <c r="AU209" i="1"/>
  <c r="O209" i="1"/>
  <c r="AT209" i="1"/>
  <c r="N209" i="1"/>
  <c r="AS209" i="1"/>
  <c r="AO209" i="1"/>
  <c r="BX209" i="1"/>
  <c r="AN209" i="1"/>
  <c r="BS209" i="1"/>
  <c r="AM209" i="1"/>
  <c r="AR184" i="1"/>
  <c r="AI209" i="1"/>
  <c r="BO162" i="1"/>
  <c r="S162" i="1"/>
  <c r="BP186" i="1"/>
  <c r="T186" i="1"/>
  <c r="BO186" i="1"/>
  <c r="S186" i="1"/>
  <c r="BN186" i="1"/>
  <c r="R186" i="1"/>
  <c r="BM186" i="1"/>
  <c r="Q186" i="1"/>
  <c r="BL186" i="1"/>
  <c r="P186" i="1"/>
  <c r="BK186" i="1"/>
  <c r="O186" i="1"/>
  <c r="BJ186" i="1"/>
  <c r="N186" i="1"/>
  <c r="BH186" i="1"/>
  <c r="BG186" i="1"/>
  <c r="BF186" i="1"/>
  <c r="BE210" i="1"/>
  <c r="AG210" i="1"/>
  <c r="BD210" i="1"/>
  <c r="AF210" i="1"/>
  <c r="BC210" i="1"/>
  <c r="AE210" i="1"/>
  <c r="BB210" i="1"/>
  <c r="AD210" i="1"/>
  <c r="BV210" i="1"/>
  <c r="AX210" i="1"/>
  <c r="Z210" i="1"/>
  <c r="BU210" i="1"/>
  <c r="AW210" i="1"/>
  <c r="Y210" i="1"/>
  <c r="BK210" i="1"/>
  <c r="AC210" i="1"/>
  <c r="BJ210" i="1"/>
  <c r="AB210" i="1"/>
  <c r="BI210" i="1"/>
  <c r="AA210" i="1"/>
  <c r="BH210" i="1"/>
  <c r="X210" i="1"/>
  <c r="BG210" i="1"/>
  <c r="W210" i="1"/>
  <c r="BF210" i="1"/>
  <c r="V210" i="1"/>
  <c r="BA210" i="1"/>
  <c r="U210" i="1"/>
  <c r="AZ210" i="1"/>
  <c r="T210" i="1"/>
  <c r="AY210" i="1"/>
  <c r="S210" i="1"/>
  <c r="AV210" i="1"/>
  <c r="R210" i="1"/>
  <c r="AU210" i="1"/>
  <c r="Q210" i="1"/>
  <c r="AT210" i="1"/>
  <c r="P210" i="1"/>
  <c r="AS210" i="1"/>
  <c r="O210" i="1"/>
  <c r="BX210" i="1"/>
  <c r="AR210" i="1"/>
  <c r="N210" i="1"/>
  <c r="BW210" i="1"/>
  <c r="AQ210" i="1"/>
  <c r="BS210" i="1"/>
  <c r="AO210" i="1"/>
  <c r="BR210" i="1"/>
  <c r="AN210" i="1"/>
  <c r="BQ210" i="1"/>
  <c r="AM210" i="1"/>
  <c r="AG160" i="1"/>
  <c r="BE160" i="1"/>
  <c r="AW184" i="1"/>
  <c r="AH160" i="1"/>
  <c r="BF160" i="1"/>
  <c r="BE184" i="1"/>
  <c r="AL209" i="1"/>
  <c r="AE160" i="1"/>
  <c r="BC160" i="1"/>
  <c r="N184" i="1"/>
  <c r="BF184" i="1"/>
  <c r="AP209" i="1"/>
  <c r="AJ160" i="1"/>
  <c r="BH160" i="1"/>
  <c r="O184" i="1"/>
  <c r="BG184" i="1"/>
  <c r="BL209" i="1"/>
  <c r="AK160" i="1"/>
  <c r="BI160" i="1"/>
  <c r="P184" i="1"/>
  <c r="BH184" i="1"/>
  <c r="BM209" i="1"/>
  <c r="BC168" i="1"/>
  <c r="BN192" i="1"/>
  <c r="AP192" i="1"/>
  <c r="R192" i="1"/>
  <c r="BR192" i="1"/>
  <c r="AS192" i="1"/>
  <c r="T192" i="1"/>
  <c r="BQ192" i="1"/>
  <c r="AR192" i="1"/>
  <c r="S192" i="1"/>
  <c r="BP192" i="1"/>
  <c r="AQ192" i="1"/>
  <c r="Q192" i="1"/>
  <c r="BO192" i="1"/>
  <c r="AO192" i="1"/>
  <c r="P192" i="1"/>
  <c r="BM192" i="1"/>
  <c r="AN192" i="1"/>
  <c r="O192" i="1"/>
  <c r="BL192" i="1"/>
  <c r="AM192" i="1"/>
  <c r="N192" i="1"/>
  <c r="BK192" i="1"/>
  <c r="AL192" i="1"/>
  <c r="BJ192" i="1"/>
  <c r="AK192" i="1"/>
  <c r="BI192" i="1"/>
  <c r="AJ192" i="1"/>
  <c r="BH192" i="1"/>
  <c r="AI192" i="1"/>
  <c r="BG192" i="1"/>
  <c r="AH192" i="1"/>
  <c r="BA192" i="1"/>
  <c r="AB192" i="1"/>
  <c r="BQ216" i="1"/>
  <c r="AS216" i="1"/>
  <c r="U216" i="1"/>
  <c r="BP216" i="1"/>
  <c r="AR216" i="1"/>
  <c r="T216" i="1"/>
  <c r="BO216" i="1"/>
  <c r="AQ216" i="1"/>
  <c r="S216" i="1"/>
  <c r="BN216" i="1"/>
  <c r="AP216" i="1"/>
  <c r="R216" i="1"/>
  <c r="BJ216" i="1"/>
  <c r="AL216" i="1"/>
  <c r="N216" i="1"/>
  <c r="BI216" i="1"/>
  <c r="AK216" i="1"/>
  <c r="AY216" i="1"/>
  <c r="Q216" i="1"/>
  <c r="AX216" i="1"/>
  <c r="P216" i="1"/>
  <c r="AW216" i="1"/>
  <c r="O216" i="1"/>
  <c r="AV216" i="1"/>
  <c r="AU216" i="1"/>
  <c r="BX216" i="1"/>
  <c r="AT216" i="1"/>
  <c r="BW216" i="1"/>
  <c r="AO216" i="1"/>
  <c r="BV216" i="1"/>
  <c r="AN216" i="1"/>
  <c r="BU216" i="1"/>
  <c r="AM216" i="1"/>
  <c r="BT216" i="1"/>
  <c r="AJ216" i="1"/>
  <c r="BS216" i="1"/>
  <c r="AI216" i="1"/>
  <c r="BR216" i="1"/>
  <c r="AH216" i="1"/>
  <c r="BM216" i="1"/>
  <c r="AG216" i="1"/>
  <c r="BL216" i="1"/>
  <c r="AF216" i="1"/>
  <c r="BK216" i="1"/>
  <c r="AE216" i="1"/>
  <c r="BG216" i="1"/>
  <c r="AC216" i="1"/>
  <c r="BF216" i="1"/>
  <c r="AB216" i="1"/>
  <c r="BE216" i="1"/>
  <c r="AA216" i="1"/>
  <c r="BD216" i="1"/>
  <c r="Z216" i="1"/>
  <c r="AI160" i="1"/>
  <c r="BG160" i="1"/>
  <c r="N160" i="1"/>
  <c r="AL160" i="1"/>
  <c r="BJ160" i="1"/>
  <c r="Q184" i="1"/>
  <c r="BI184" i="1"/>
  <c r="BN209" i="1"/>
  <c r="AF160" i="1"/>
  <c r="BD160" i="1"/>
  <c r="O160" i="1"/>
  <c r="AM160" i="1"/>
  <c r="BK160" i="1"/>
  <c r="R184" i="1"/>
  <c r="BJ184" i="1"/>
  <c r="BQ209" i="1"/>
  <c r="P160" i="1"/>
  <c r="AN160" i="1"/>
  <c r="BL160" i="1"/>
  <c r="S184" i="1"/>
  <c r="BK184" i="1"/>
  <c r="BR209" i="1"/>
  <c r="Q160" i="1"/>
  <c r="AO160" i="1"/>
  <c r="BM160" i="1"/>
  <c r="T184" i="1"/>
  <c r="BL184" i="1"/>
  <c r="R160" i="1"/>
  <c r="AP160" i="1"/>
  <c r="BN160" i="1"/>
  <c r="U184" i="1"/>
  <c r="BM184" i="1"/>
  <c r="S160" i="1"/>
  <c r="AQ160" i="1"/>
  <c r="BO160" i="1"/>
  <c r="Y184" i="1"/>
  <c r="BN184" i="1"/>
  <c r="AI210" i="1"/>
  <c r="AS184" i="1"/>
  <c r="T160" i="1"/>
  <c r="AR160" i="1"/>
  <c r="BP160" i="1"/>
  <c r="AG184" i="1"/>
  <c r="BO184" i="1"/>
  <c r="U160" i="1"/>
  <c r="AS160" i="1"/>
  <c r="BQ160" i="1"/>
  <c r="AH184" i="1"/>
  <c r="BP184" i="1"/>
  <c r="BQ208" i="1"/>
  <c r="U208" i="1"/>
  <c r="BP208" i="1"/>
  <c r="T208" i="1"/>
  <c r="BO208" i="1"/>
  <c r="S208" i="1"/>
  <c r="BN208" i="1"/>
  <c r="R208" i="1"/>
  <c r="BJ208" i="1"/>
  <c r="N208" i="1"/>
  <c r="BI208" i="1"/>
  <c r="BM208" i="1"/>
  <c r="BL208" i="1"/>
  <c r="BK208" i="1"/>
  <c r="BH208" i="1"/>
  <c r="BG208" i="1"/>
  <c r="BF208" i="1"/>
  <c r="BE208" i="1"/>
  <c r="BD208" i="1"/>
  <c r="BC208" i="1"/>
  <c r="BB208" i="1"/>
  <c r="X208" i="1"/>
  <c r="BA208" i="1"/>
  <c r="W208" i="1"/>
  <c r="AZ208" i="1"/>
  <c r="V208" i="1"/>
  <c r="Q208" i="1"/>
  <c r="P208" i="1"/>
  <c r="O208" i="1"/>
  <c r="BX208" i="1"/>
  <c r="BW208" i="1"/>
  <c r="V160" i="1"/>
  <c r="AT160" i="1"/>
  <c r="BR160" i="1"/>
  <c r="AI184" i="1"/>
  <c r="BQ184" i="1"/>
  <c r="W160" i="1"/>
  <c r="AU160" i="1"/>
  <c r="BS160" i="1"/>
  <c r="AJ184" i="1"/>
  <c r="BD184" i="1"/>
  <c r="AF184" i="1"/>
  <c r="BC184" i="1"/>
  <c r="AE184" i="1"/>
  <c r="BB184" i="1"/>
  <c r="AD184" i="1"/>
  <c r="BA184" i="1"/>
  <c r="AC184" i="1"/>
  <c r="BX184" i="1"/>
  <c r="AZ184" i="1"/>
  <c r="AB184" i="1"/>
  <c r="BW184" i="1"/>
  <c r="AY184" i="1"/>
  <c r="AA184" i="1"/>
  <c r="BV184" i="1"/>
  <c r="AX184" i="1"/>
  <c r="Z184" i="1"/>
  <c r="BT184" i="1"/>
  <c r="AV184" i="1"/>
  <c r="X184" i="1"/>
  <c r="BS184" i="1"/>
  <c r="AU184" i="1"/>
  <c r="W184" i="1"/>
  <c r="BR184" i="1"/>
  <c r="AT184" i="1"/>
  <c r="V184" i="1"/>
  <c r="X160" i="1"/>
  <c r="AV160" i="1"/>
  <c r="BT160" i="1"/>
  <c r="AK184" i="1"/>
  <c r="BR208" i="1"/>
  <c r="Y160" i="1"/>
  <c r="AW160" i="1"/>
  <c r="BU160" i="1"/>
  <c r="AL184" i="1"/>
  <c r="BS208" i="1"/>
  <c r="Z160" i="1"/>
  <c r="AX160" i="1"/>
  <c r="BV160" i="1"/>
  <c r="AM184" i="1"/>
  <c r="BT208" i="1"/>
  <c r="AA160" i="1"/>
  <c r="AY160" i="1"/>
  <c r="BW160" i="1"/>
  <c r="AN184" i="1"/>
  <c r="BU208" i="1"/>
  <c r="AB160" i="1"/>
  <c r="AZ160" i="1"/>
  <c r="AO184" i="1"/>
  <c r="BV208" i="1"/>
  <c r="BK211" i="1"/>
  <c r="AM211" i="1"/>
  <c r="O211" i="1"/>
  <c r="BJ211" i="1"/>
  <c r="AL211" i="1"/>
  <c r="N211" i="1"/>
  <c r="BI211" i="1"/>
  <c r="AK211" i="1"/>
  <c r="BH211" i="1"/>
  <c r="AJ211" i="1"/>
  <c r="BD211" i="1"/>
  <c r="AF211" i="1"/>
  <c r="BC211" i="1"/>
  <c r="AE211" i="1"/>
  <c r="BN188" i="1"/>
  <c r="AP188" i="1"/>
  <c r="R188" i="1"/>
  <c r="BQ212" i="1"/>
  <c r="AS212" i="1"/>
  <c r="U212" i="1"/>
  <c r="BP212" i="1"/>
  <c r="AR212" i="1"/>
  <c r="T212" i="1"/>
  <c r="BO212" i="1"/>
  <c r="AQ212" i="1"/>
  <c r="S212" i="1"/>
  <c r="BN212" i="1"/>
  <c r="AP212" i="1"/>
  <c r="R212" i="1"/>
  <c r="BJ212" i="1"/>
  <c r="AL212" i="1"/>
  <c r="N212" i="1"/>
  <c r="BI212" i="1"/>
  <c r="AK212" i="1"/>
  <c r="AI211" i="1"/>
  <c r="BQ211" i="1"/>
  <c r="BT189" i="1"/>
  <c r="X189" i="1"/>
  <c r="BW213" i="1"/>
  <c r="AY213" i="1"/>
  <c r="AA213" i="1"/>
  <c r="BV213" i="1"/>
  <c r="AX213" i="1"/>
  <c r="Z213" i="1"/>
  <c r="BU213" i="1"/>
  <c r="AW213" i="1"/>
  <c r="Y213" i="1"/>
  <c r="BT213" i="1"/>
  <c r="AV213" i="1"/>
  <c r="X213" i="1"/>
  <c r="BP213" i="1"/>
  <c r="AR213" i="1"/>
  <c r="T213" i="1"/>
  <c r="BO213" i="1"/>
  <c r="AQ213" i="1"/>
  <c r="S213" i="1"/>
  <c r="AN211" i="1"/>
  <c r="BR211" i="1"/>
  <c r="BB190" i="1"/>
  <c r="BE214" i="1"/>
  <c r="BD214" i="1"/>
  <c r="BC214" i="1"/>
  <c r="BB214" i="1"/>
  <c r="BV214" i="1"/>
  <c r="BU214" i="1"/>
  <c r="AO211" i="1"/>
  <c r="BS211" i="1"/>
  <c r="AI212" i="1"/>
  <c r="BS212" i="1"/>
  <c r="AI213" i="1"/>
  <c r="BM213" i="1"/>
  <c r="BH191" i="1"/>
  <c r="BK215" i="1"/>
  <c r="AM215" i="1"/>
  <c r="O215" i="1"/>
  <c r="BJ215" i="1"/>
  <c r="AL215" i="1"/>
  <c r="N215" i="1"/>
  <c r="BI215" i="1"/>
  <c r="AK215" i="1"/>
  <c r="BH215" i="1"/>
  <c r="AJ215" i="1"/>
  <c r="BD215" i="1"/>
  <c r="BC215" i="1"/>
  <c r="AQ211" i="1"/>
  <c r="BU211" i="1"/>
  <c r="BT193" i="1"/>
  <c r="X193" i="1"/>
  <c r="BW217" i="1"/>
  <c r="BV217" i="1"/>
  <c r="BU217" i="1"/>
  <c r="BT217" i="1"/>
  <c r="X217" i="1"/>
  <c r="BP217" i="1"/>
  <c r="T217" i="1"/>
  <c r="BO217" i="1"/>
  <c r="S217" i="1"/>
  <c r="AR211" i="1"/>
  <c r="BV211" i="1"/>
  <c r="BB194" i="1"/>
  <c r="BE218" i="1"/>
  <c r="BD218" i="1"/>
  <c r="BC218" i="1"/>
  <c r="BB218" i="1"/>
  <c r="BV218" i="1"/>
  <c r="AX218" i="1"/>
  <c r="BU218" i="1"/>
  <c r="AW218" i="1"/>
  <c r="AS211" i="1"/>
  <c r="BW211" i="1"/>
  <c r="P211" i="1"/>
  <c r="AT211" i="1"/>
  <c r="BX211" i="1"/>
  <c r="P187" i="1"/>
  <c r="BL187" i="1"/>
  <c r="Q211" i="1"/>
  <c r="AU211" i="1"/>
  <c r="AU212" i="1"/>
  <c r="AO213" i="1"/>
  <c r="BM217" i="1"/>
  <c r="BW197" i="1"/>
  <c r="AY197" i="1"/>
  <c r="BT197" i="1"/>
  <c r="AV197" i="1"/>
  <c r="X197" i="1"/>
  <c r="BX221" i="1"/>
  <c r="AZ221" i="1"/>
  <c r="BW221" i="1"/>
  <c r="AY221" i="1"/>
  <c r="BV221" i="1"/>
  <c r="AX221" i="1"/>
  <c r="BU221" i="1"/>
  <c r="AW221" i="1"/>
  <c r="BT221" i="1"/>
  <c r="AV221" i="1"/>
  <c r="X221" i="1"/>
  <c r="BS221" i="1"/>
  <c r="AU221" i="1"/>
  <c r="W221" i="1"/>
  <c r="BR221" i="1"/>
  <c r="AT221" i="1"/>
  <c r="V221" i="1"/>
  <c r="BP221" i="1"/>
  <c r="AR221" i="1"/>
  <c r="T221" i="1"/>
  <c r="BO221" i="1"/>
  <c r="AQ221" i="1"/>
  <c r="S221" i="1"/>
  <c r="Q187" i="1"/>
  <c r="BM187" i="1"/>
  <c r="R211" i="1"/>
  <c r="AV211" i="1"/>
  <c r="AV212" i="1"/>
  <c r="AP213" i="1"/>
  <c r="BN217" i="1"/>
  <c r="AJ218" i="1"/>
  <c r="BN218" i="1"/>
  <c r="R187" i="1"/>
  <c r="BN187" i="1"/>
  <c r="S211" i="1"/>
  <c r="AW211" i="1"/>
  <c r="O212" i="1"/>
  <c r="AW212" i="1"/>
  <c r="AS213" i="1"/>
  <c r="BW214" i="1"/>
  <c r="BQ217" i="1"/>
  <c r="AK218" i="1"/>
  <c r="BO218" i="1"/>
  <c r="AJ221" i="1"/>
  <c r="AN230" i="1"/>
  <c r="BW230" i="1"/>
  <c r="T211" i="1"/>
  <c r="AX211" i="1"/>
  <c r="P212" i="1"/>
  <c r="AX212" i="1"/>
  <c r="N213" i="1"/>
  <c r="AT213" i="1"/>
  <c r="BR217" i="1"/>
  <c r="T187" i="1"/>
  <c r="BP187" i="1"/>
  <c r="U211" i="1"/>
  <c r="AY211" i="1"/>
  <c r="Q212" i="1"/>
  <c r="AY212" i="1"/>
  <c r="O213" i="1"/>
  <c r="AU213" i="1"/>
  <c r="O214" i="1"/>
  <c r="BS217" i="1"/>
  <c r="AM218" i="1"/>
  <c r="BQ218" i="1"/>
  <c r="AL221" i="1"/>
  <c r="U187" i="1"/>
  <c r="BQ187" i="1"/>
  <c r="V211" i="1"/>
  <c r="AZ211" i="1"/>
  <c r="V212" i="1"/>
  <c r="AZ212" i="1"/>
  <c r="P213" i="1"/>
  <c r="AZ213" i="1"/>
  <c r="BX217" i="1"/>
  <c r="AN218" i="1"/>
  <c r="BR218" i="1"/>
  <c r="AM221" i="1"/>
  <c r="V187" i="1"/>
  <c r="BR187" i="1"/>
  <c r="W211" i="1"/>
  <c r="BA211" i="1"/>
  <c r="W212" i="1"/>
  <c r="BA212" i="1"/>
  <c r="Q213" i="1"/>
  <c r="BA213" i="1"/>
  <c r="AO218" i="1"/>
  <c r="BS218" i="1"/>
  <c r="AN221" i="1"/>
  <c r="W187" i="1"/>
  <c r="BS187" i="1"/>
  <c r="X211" i="1"/>
  <c r="BB211" i="1"/>
  <c r="X212" i="1"/>
  <c r="BB212" i="1"/>
  <c r="R213" i="1"/>
  <c r="BB213" i="1"/>
  <c r="R214" i="1"/>
  <c r="AP218" i="1"/>
  <c r="BT218" i="1"/>
  <c r="AO221" i="1"/>
  <c r="X187" i="1"/>
  <c r="BT187" i="1"/>
  <c r="Y211" i="1"/>
  <c r="BE211" i="1"/>
  <c r="Y212" i="1"/>
  <c r="BC212" i="1"/>
  <c r="U213" i="1"/>
  <c r="BC213" i="1"/>
  <c r="S214" i="1"/>
  <c r="AQ218" i="1"/>
  <c r="BW218" i="1"/>
  <c r="AP221" i="1"/>
  <c r="BW205" i="1"/>
  <c r="BV205" i="1"/>
  <c r="BU205" i="1"/>
  <c r="BT205" i="1"/>
  <c r="X205" i="1"/>
  <c r="BP205" i="1"/>
  <c r="T205" i="1"/>
  <c r="BO205" i="1"/>
  <c r="S205" i="1"/>
  <c r="BX229" i="1"/>
  <c r="AZ229" i="1"/>
  <c r="BW229" i="1"/>
  <c r="BV229" i="1"/>
  <c r="BU229" i="1"/>
  <c r="BT229" i="1"/>
  <c r="X229" i="1"/>
  <c r="BS229" i="1"/>
  <c r="W229" i="1"/>
  <c r="BR229" i="1"/>
  <c r="V229" i="1"/>
  <c r="BP229" i="1"/>
  <c r="T229" i="1"/>
  <c r="BO229" i="1"/>
  <c r="S229" i="1"/>
  <c r="BU187" i="1"/>
  <c r="AF188" i="1"/>
  <c r="BE188" i="1"/>
  <c r="P189" i="1"/>
  <c r="BN189" i="1"/>
  <c r="BA193" i="1"/>
  <c r="Z211" i="1"/>
  <c r="BF211" i="1"/>
  <c r="Z212" i="1"/>
  <c r="BD212" i="1"/>
  <c r="V213" i="1"/>
  <c r="BD213" i="1"/>
  <c r="T214" i="1"/>
  <c r="AZ214" i="1"/>
  <c r="N217" i="1"/>
  <c r="N218" i="1"/>
  <c r="AR218" i="1"/>
  <c r="BX218" i="1"/>
  <c r="AS221" i="1"/>
  <c r="BE206" i="1"/>
  <c r="AG206" i="1"/>
  <c r="BD206" i="1"/>
  <c r="BC206" i="1"/>
  <c r="BB206" i="1"/>
  <c r="BV206" i="1"/>
  <c r="AX206" i="1"/>
  <c r="BU206" i="1"/>
  <c r="AW206" i="1"/>
  <c r="BF230" i="1"/>
  <c r="AH230" i="1"/>
  <c r="BE230" i="1"/>
  <c r="AG230" i="1"/>
  <c r="BD230" i="1"/>
  <c r="BC230" i="1"/>
  <c r="BB230" i="1"/>
  <c r="BA230" i="1"/>
  <c r="BX230" i="1"/>
  <c r="AZ230" i="1"/>
  <c r="BV230" i="1"/>
  <c r="AX230" i="1"/>
  <c r="BU230" i="1"/>
  <c r="AW230" i="1"/>
  <c r="AX187" i="1"/>
  <c r="AA211" i="1"/>
  <c r="BG211" i="1"/>
  <c r="AA212" i="1"/>
  <c r="BE212" i="1"/>
  <c r="W213" i="1"/>
  <c r="BE213" i="1"/>
  <c r="U214" i="1"/>
  <c r="BA214" i="1"/>
  <c r="O217" i="1"/>
  <c r="O218" i="1"/>
  <c r="AS218" i="1"/>
  <c r="BA221" i="1"/>
  <c r="O230" i="1"/>
  <c r="AV230" i="1"/>
  <c r="BK207" i="1"/>
  <c r="AM207" i="1"/>
  <c r="O207" i="1"/>
  <c r="BJ207" i="1"/>
  <c r="AL207" i="1"/>
  <c r="N207" i="1"/>
  <c r="BI207" i="1"/>
  <c r="AK207" i="1"/>
  <c r="BH207" i="1"/>
  <c r="AJ207" i="1"/>
  <c r="BD207" i="1"/>
  <c r="AF207" i="1"/>
  <c r="BC207" i="1"/>
  <c r="AE207" i="1"/>
  <c r="BL231" i="1"/>
  <c r="AN231" i="1"/>
  <c r="P231" i="1"/>
  <c r="BK231" i="1"/>
  <c r="AM231" i="1"/>
  <c r="O231" i="1"/>
  <c r="BJ231" i="1"/>
  <c r="AL231" i="1"/>
  <c r="N231" i="1"/>
  <c r="BI231" i="1"/>
  <c r="AK231" i="1"/>
  <c r="BH231" i="1"/>
  <c r="AJ231" i="1"/>
  <c r="BG231" i="1"/>
  <c r="AI231" i="1"/>
  <c r="BF231" i="1"/>
  <c r="AH231" i="1"/>
  <c r="BD231" i="1"/>
  <c r="AF231" i="1"/>
  <c r="BC231" i="1"/>
  <c r="AE231" i="1"/>
  <c r="AK228" i="1"/>
  <c r="BI228" i="1"/>
  <c r="N228" i="1"/>
  <c r="AL228" i="1"/>
  <c r="BJ228" i="1"/>
  <c r="P228" i="1"/>
  <c r="AN228" i="1"/>
  <c r="BL228" i="1"/>
  <c r="Q228" i="1"/>
  <c r="AO228" i="1"/>
  <c r="BM228" i="1"/>
  <c r="R228" i="1"/>
  <c r="AP228" i="1"/>
  <c r="BN228" i="1"/>
  <c r="S228" i="1"/>
  <c r="AQ228" i="1"/>
  <c r="BO228" i="1"/>
  <c r="T228" i="1"/>
  <c r="AR228" i="1"/>
  <c r="BP228" i="1"/>
  <c r="U228" i="1"/>
  <c r="AS228" i="1"/>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A2" i="1"/>
  <c r="CA3" i="1"/>
  <c r="CA4" i="1"/>
  <c r="CA5" i="1"/>
  <c r="CA6" i="1"/>
  <c r="CA7" i="1"/>
  <c r="CA8" i="1"/>
  <c r="CA9" i="1"/>
  <c r="CA10" i="1"/>
  <c r="CA11" i="1"/>
  <c r="CA12" i="1"/>
  <c r="CA13" i="1"/>
  <c r="CA14" i="1"/>
  <c r="CA15" i="1"/>
  <c r="CA16" i="1"/>
  <c r="CA17" i="1"/>
  <c r="CA18" i="1"/>
  <c r="CA19" i="1"/>
  <c r="CA20" i="1"/>
  <c r="CA21" i="1"/>
  <c r="CA22" i="1"/>
  <c r="CA23" i="1"/>
  <c r="CA50" i="1"/>
  <c r="CA25" i="1"/>
  <c r="CA26" i="1"/>
  <c r="CA27" i="1"/>
  <c r="CA28" i="1"/>
  <c r="CA158" i="1" s="1"/>
  <c r="CA29" i="1"/>
  <c r="CA159" i="1" s="1"/>
  <c r="CA30" i="1"/>
  <c r="CA160" i="1" s="1"/>
  <c r="CA31" i="1"/>
  <c r="CA32" i="1"/>
  <c r="CA161" i="1" s="1"/>
  <c r="CA33" i="1"/>
  <c r="CA34" i="1"/>
  <c r="CA35" i="1"/>
  <c r="CA36" i="1"/>
  <c r="CA37" i="1"/>
  <c r="CA38" i="1"/>
  <c r="CA39" i="1"/>
  <c r="CA162" i="1" s="1"/>
  <c r="CA40" i="1"/>
  <c r="CA163" i="1" s="1"/>
  <c r="CA41" i="1"/>
  <c r="CA42" i="1"/>
  <c r="CA43" i="1"/>
  <c r="CA44" i="1"/>
  <c r="CA45" i="1"/>
  <c r="CA164" i="1" s="1"/>
  <c r="CA46" i="1"/>
  <c r="CA47" i="1"/>
  <c r="CA48" i="1"/>
  <c r="CA49" i="1"/>
  <c r="CA24" i="1"/>
  <c r="CA51" i="1"/>
  <c r="CA52" i="1"/>
  <c r="CA53" i="1"/>
  <c r="CA54" i="1"/>
  <c r="CA168" i="1" s="1"/>
  <c r="CA55" i="1"/>
  <c r="CA56" i="1"/>
  <c r="CA57" i="1"/>
  <c r="CA58" i="1"/>
  <c r="CA59" i="1"/>
  <c r="CA60" i="1"/>
  <c r="CA61" i="1"/>
  <c r="CA169" i="1" s="1"/>
  <c r="CA62" i="1"/>
  <c r="CA170" i="1" s="1"/>
  <c r="CA63" i="1"/>
  <c r="CA154" i="1" s="1"/>
  <c r="CA64" i="1"/>
  <c r="CA155" i="1" s="1"/>
  <c r="CA65" i="1"/>
  <c r="CA156" i="1" s="1"/>
  <c r="CA66" i="1"/>
  <c r="CA157" i="1" s="1"/>
  <c r="CA67" i="1"/>
  <c r="CA68" i="1"/>
  <c r="CA69" i="1"/>
  <c r="CA177" i="1" s="1"/>
  <c r="CA70" i="1"/>
  <c r="CA178" i="1" s="1"/>
  <c r="CA71" i="1"/>
  <c r="CA179" i="1" s="1"/>
  <c r="CA72" i="1"/>
  <c r="CA180" i="1" s="1"/>
  <c r="CA73" i="1"/>
  <c r="CA74" i="1"/>
  <c r="CA165" i="1" s="1"/>
  <c r="CA75" i="1"/>
  <c r="CA166" i="1" s="1"/>
  <c r="CA76" i="1"/>
  <c r="CA167" i="1" s="1"/>
  <c r="CA77" i="1"/>
  <c r="CA78" i="1"/>
  <c r="CA79" i="1"/>
  <c r="CA80" i="1"/>
  <c r="CA171" i="1" s="1"/>
  <c r="CA81" i="1"/>
  <c r="CA172" i="1" s="1"/>
  <c r="CA82" i="1"/>
  <c r="CA173" i="1" s="1"/>
  <c r="CA83" i="1"/>
  <c r="CA174" i="1" s="1"/>
  <c r="CA84" i="1"/>
  <c r="CA175" i="1" s="1"/>
  <c r="CA85" i="1"/>
  <c r="CA176" i="1" s="1"/>
  <c r="CA86" i="1"/>
  <c r="CA87" i="1"/>
  <c r="CA88" i="1"/>
  <c r="CA89" i="1"/>
  <c r="CA90" i="1"/>
  <c r="CA181" i="1" s="1"/>
  <c r="CA91" i="1"/>
  <c r="CA182" i="1" s="1"/>
  <c r="CA92" i="1"/>
  <c r="CA183" i="1" s="1"/>
  <c r="CA93" i="1"/>
  <c r="CA184" i="1" s="1"/>
  <c r="CA94" i="1"/>
  <c r="CA185" i="1" s="1"/>
  <c r="CA95" i="1"/>
  <c r="CA186" i="1" s="1"/>
  <c r="CA96" i="1"/>
  <c r="CA187" i="1" s="1"/>
  <c r="CA97" i="1"/>
  <c r="CA188" i="1" s="1"/>
  <c r="CA98" i="1"/>
  <c r="CA189" i="1" s="1"/>
  <c r="CA99" i="1"/>
  <c r="CA190" i="1" s="1"/>
  <c r="CA100" i="1"/>
  <c r="CA191" i="1" s="1"/>
  <c r="CA101" i="1"/>
  <c r="CA192" i="1" s="1"/>
  <c r="CA102" i="1"/>
  <c r="CA103" i="1"/>
  <c r="CA193" i="1" s="1"/>
  <c r="CA104" i="1"/>
  <c r="CA194" i="1" s="1"/>
  <c r="CA105" i="1"/>
  <c r="CA196" i="1" s="1"/>
  <c r="CA106" i="1"/>
  <c r="CA197" i="1" s="1"/>
  <c r="CA107" i="1"/>
  <c r="CA198" i="1" s="1"/>
  <c r="CA108" i="1"/>
  <c r="CA199" i="1" s="1"/>
  <c r="CA109" i="1"/>
  <c r="CA200" i="1" s="1"/>
  <c r="CA110" i="1"/>
  <c r="CA201" i="1" s="1"/>
  <c r="CA111" i="1"/>
  <c r="CA202" i="1" s="1"/>
  <c r="CA112" i="1"/>
  <c r="CA203" i="1" s="1"/>
  <c r="CA113" i="1"/>
  <c r="CA204" i="1" s="1"/>
  <c r="CA114" i="1"/>
  <c r="CA205" i="1" s="1"/>
  <c r="CA115" i="1"/>
  <c r="CA206" i="1" s="1"/>
  <c r="CA116" i="1"/>
  <c r="CA207" i="1" s="1"/>
  <c r="CA117" i="1"/>
  <c r="CA195" i="1" s="1"/>
  <c r="CA118" i="1"/>
  <c r="CA119" i="1"/>
  <c r="CA208" i="1" s="1"/>
  <c r="CA120" i="1"/>
  <c r="CA211" i="1" s="1"/>
  <c r="CA121" i="1"/>
  <c r="CA212" i="1" s="1"/>
  <c r="CA122" i="1"/>
  <c r="CA213" i="1" s="1"/>
  <c r="CA123" i="1"/>
  <c r="CA214" i="1" s="1"/>
  <c r="CA124" i="1"/>
  <c r="CA215" i="1" s="1"/>
  <c r="CA125" i="1"/>
  <c r="CA216" i="1" s="1"/>
  <c r="CA126" i="1"/>
  <c r="CA217" i="1" s="1"/>
  <c r="CA127" i="1"/>
  <c r="CA218" i="1" s="1"/>
  <c r="CA128" i="1"/>
  <c r="CA219" i="1" s="1"/>
  <c r="CA129" i="1"/>
  <c r="CA209" i="1" s="1"/>
  <c r="CA130" i="1"/>
  <c r="CA210" i="1" s="1"/>
  <c r="CA131" i="1"/>
  <c r="CA132" i="1"/>
  <c r="CA220" i="1" s="1"/>
  <c r="CA133" i="1"/>
  <c r="CA221" i="1" s="1"/>
  <c r="CA134" i="1"/>
  <c r="CA222" i="1" s="1"/>
  <c r="CA135" i="1"/>
  <c r="CA226" i="1" s="1"/>
  <c r="CA136" i="1"/>
  <c r="CA227" i="1" s="1"/>
  <c r="CA137" i="1"/>
  <c r="CA228" i="1" s="1"/>
  <c r="CA138" i="1"/>
  <c r="CA139" i="1"/>
  <c r="CA140" i="1"/>
  <c r="CA141" i="1"/>
  <c r="CA142" i="1"/>
  <c r="CA223" i="1" s="1"/>
  <c r="CA143" i="1"/>
  <c r="CA224" i="1" s="1"/>
  <c r="CA144" i="1"/>
  <c r="CA225" i="1" s="1"/>
  <c r="CA145" i="1"/>
  <c r="CA146" i="1"/>
  <c r="CA229" i="1" s="1"/>
  <c r="CA147" i="1"/>
  <c r="CA230" i="1" s="1"/>
  <c r="CA148" i="1"/>
  <c r="CA231" i="1" s="1"/>
  <c r="CA149" i="1"/>
  <c r="CA232" i="1"/>
  <c r="CA233" i="1"/>
  <c r="CA234" i="1"/>
  <c r="CA235" i="1"/>
  <c r="CA236" i="1"/>
  <c r="CA237" i="1"/>
  <c r="CA239" i="1"/>
  <c r="CA240" i="1"/>
  <c r="CA241" i="1"/>
  <c r="CA242"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CA521"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BZ2" i="1"/>
  <c r="BZ13" i="1"/>
  <c r="BZ14" i="1"/>
  <c r="BZ16" i="1"/>
  <c r="BZ19" i="1"/>
  <c r="BZ20" i="1"/>
  <c r="BZ8" i="1"/>
  <c r="BZ23" i="1"/>
  <c r="BZ31" i="1"/>
  <c r="BZ49" i="1"/>
  <c r="BZ12" i="1"/>
  <c r="BZ24" i="1"/>
  <c r="BZ53" i="1"/>
  <c r="BZ15" i="1"/>
  <c r="BZ67" i="1"/>
  <c r="BZ17" i="1"/>
  <c r="BZ18" i="1"/>
  <c r="BZ68" i="1"/>
  <c r="BZ73" i="1"/>
  <c r="BZ21" i="1"/>
  <c r="BZ22" i="1"/>
  <c r="BZ77" i="1"/>
  <c r="BZ50" i="1"/>
  <c r="BZ25" i="1"/>
  <c r="BZ26" i="1"/>
  <c r="BZ27" i="1"/>
  <c r="BZ78" i="1"/>
  <c r="BZ79" i="1"/>
  <c r="BZ86" i="1"/>
  <c r="BZ87" i="1"/>
  <c r="BZ88" i="1"/>
  <c r="BZ33" i="1"/>
  <c r="BZ34" i="1"/>
  <c r="BZ35" i="1"/>
  <c r="BZ36" i="1"/>
  <c r="BZ37" i="1"/>
  <c r="BZ38" i="1"/>
  <c r="BZ89" i="1"/>
  <c r="BZ102" i="1"/>
  <c r="BZ41" i="1"/>
  <c r="BZ42" i="1"/>
  <c r="BZ43" i="1"/>
  <c r="BZ44" i="1"/>
  <c r="BZ118" i="1"/>
  <c r="BZ46" i="1"/>
  <c r="BZ47" i="1"/>
  <c r="BZ48" i="1"/>
  <c r="BZ131" i="1"/>
  <c r="BZ141" i="1"/>
  <c r="BZ51" i="1"/>
  <c r="BZ52" i="1"/>
  <c r="BZ145" i="1"/>
  <c r="BZ149" i="1"/>
  <c r="BZ55" i="1"/>
  <c r="BZ56" i="1"/>
  <c r="BZ57" i="1"/>
  <c r="BZ58" i="1"/>
  <c r="BZ59" i="1"/>
  <c r="BZ60" i="1"/>
  <c r="BZ3" i="1"/>
  <c r="BZ4" i="1"/>
  <c r="BZ63" i="1"/>
  <c r="BZ154" i="1" s="1"/>
  <c r="BZ64" i="1"/>
  <c r="BZ155" i="1" s="1"/>
  <c r="BZ65" i="1"/>
  <c r="BZ156" i="1" s="1"/>
  <c r="BZ66" i="1"/>
  <c r="BZ157" i="1" s="1"/>
  <c r="BZ28" i="1"/>
  <c r="BZ158" i="1" s="1"/>
  <c r="BZ29" i="1"/>
  <c r="BZ159" i="1" s="1"/>
  <c r="BZ30" i="1"/>
  <c r="BZ160" i="1" s="1"/>
  <c r="BZ32" i="1"/>
  <c r="BZ161" i="1" s="1"/>
  <c r="BZ39" i="1"/>
  <c r="BZ162" i="1" s="1"/>
  <c r="BZ40" i="1"/>
  <c r="BZ163" i="1" s="1"/>
  <c r="BZ45" i="1"/>
  <c r="BZ164" i="1" s="1"/>
  <c r="BZ74" i="1"/>
  <c r="BZ165" i="1" s="1"/>
  <c r="BZ75" i="1"/>
  <c r="BZ166" i="1" s="1"/>
  <c r="BZ76" i="1"/>
  <c r="BZ167" i="1" s="1"/>
  <c r="BZ54" i="1"/>
  <c r="BZ168" i="1" s="1"/>
  <c r="BZ61" i="1"/>
  <c r="BZ169" i="1" s="1"/>
  <c r="BZ62" i="1"/>
  <c r="BZ170" i="1" s="1"/>
  <c r="BZ80" i="1"/>
  <c r="BZ171" i="1" s="1"/>
  <c r="BZ81" i="1"/>
  <c r="BZ172" i="1" s="1"/>
  <c r="BZ82" i="1"/>
  <c r="BZ173" i="1" s="1"/>
  <c r="BZ83" i="1"/>
  <c r="BZ174" i="1" s="1"/>
  <c r="BZ84" i="1"/>
  <c r="BZ175" i="1" s="1"/>
  <c r="BZ85" i="1"/>
  <c r="BZ176" i="1" s="1"/>
  <c r="BZ69" i="1"/>
  <c r="BZ177" i="1" s="1"/>
  <c r="BZ70" i="1"/>
  <c r="BZ178" i="1" s="1"/>
  <c r="BZ71" i="1"/>
  <c r="BZ179" i="1" s="1"/>
  <c r="BZ72" i="1"/>
  <c r="BZ180" i="1" s="1"/>
  <c r="BZ90" i="1"/>
  <c r="BZ181" i="1" s="1"/>
  <c r="BZ91" i="1"/>
  <c r="BZ182" i="1" s="1"/>
  <c r="BZ92" i="1"/>
  <c r="BZ183" i="1" s="1"/>
  <c r="BZ93" i="1"/>
  <c r="BZ184" i="1" s="1"/>
  <c r="BZ94" i="1"/>
  <c r="BZ185" i="1" s="1"/>
  <c r="BZ95" i="1"/>
  <c r="BZ186" i="1" s="1"/>
  <c r="BZ96" i="1"/>
  <c r="BZ187" i="1" s="1"/>
  <c r="BZ97" i="1"/>
  <c r="BZ188" i="1" s="1"/>
  <c r="BZ98" i="1"/>
  <c r="BZ189" i="1" s="1"/>
  <c r="BZ99" i="1"/>
  <c r="BZ190" i="1" s="1"/>
  <c r="BZ100" i="1"/>
  <c r="BZ191" i="1" s="1"/>
  <c r="BZ101" i="1"/>
  <c r="BZ192" i="1" s="1"/>
  <c r="BZ103" i="1"/>
  <c r="BZ193" i="1" s="1"/>
  <c r="BZ104" i="1"/>
  <c r="BZ194" i="1" s="1"/>
  <c r="BZ117" i="1"/>
  <c r="BZ195" i="1" s="1"/>
  <c r="BZ105" i="1"/>
  <c r="BZ196" i="1" s="1"/>
  <c r="BZ106" i="1"/>
  <c r="BZ197" i="1" s="1"/>
  <c r="BZ107" i="1"/>
  <c r="BZ198" i="1" s="1"/>
  <c r="BZ108" i="1"/>
  <c r="BZ199" i="1" s="1"/>
  <c r="BZ109" i="1"/>
  <c r="BZ200" i="1" s="1"/>
  <c r="BZ110" i="1"/>
  <c r="BZ201" i="1" s="1"/>
  <c r="BZ111" i="1"/>
  <c r="BZ202" i="1" s="1"/>
  <c r="BZ112" i="1"/>
  <c r="BZ203" i="1" s="1"/>
  <c r="BZ113" i="1"/>
  <c r="BZ204" i="1" s="1"/>
  <c r="BZ114" i="1"/>
  <c r="BZ205" i="1" s="1"/>
  <c r="BZ115" i="1"/>
  <c r="BZ206" i="1" s="1"/>
  <c r="BZ116" i="1"/>
  <c r="BZ207" i="1" s="1"/>
  <c r="BZ119" i="1"/>
  <c r="BZ208" i="1" s="1"/>
  <c r="BZ129" i="1"/>
  <c r="BZ209" i="1" s="1"/>
  <c r="BZ130" i="1"/>
  <c r="BZ210" i="1" s="1"/>
  <c r="BZ120" i="1"/>
  <c r="BZ211" i="1" s="1"/>
  <c r="BZ121" i="1"/>
  <c r="BZ212" i="1" s="1"/>
  <c r="BZ122" i="1"/>
  <c r="BZ213" i="1" s="1"/>
  <c r="BZ123" i="1"/>
  <c r="BZ214" i="1" s="1"/>
  <c r="BZ124" i="1"/>
  <c r="BZ215" i="1" s="1"/>
  <c r="BZ125" i="1"/>
  <c r="BZ216" i="1" s="1"/>
  <c r="BZ126" i="1"/>
  <c r="BZ217" i="1" s="1"/>
  <c r="BZ127" i="1"/>
  <c r="BZ218" i="1" s="1"/>
  <c r="BZ128" i="1"/>
  <c r="BZ219" i="1" s="1"/>
  <c r="BZ132" i="1"/>
  <c r="BZ220" i="1" s="1"/>
  <c r="BZ133" i="1"/>
  <c r="BZ221" i="1" s="1"/>
  <c r="BZ134" i="1"/>
  <c r="BZ222" i="1" s="1"/>
  <c r="BZ142" i="1"/>
  <c r="BZ223" i="1" s="1"/>
  <c r="BZ143" i="1"/>
  <c r="BZ224" i="1" s="1"/>
  <c r="BZ144" i="1"/>
  <c r="BZ225" i="1" s="1"/>
  <c r="BZ135" i="1"/>
  <c r="BZ226" i="1" s="1"/>
  <c r="BZ136" i="1"/>
  <c r="BZ227" i="1" s="1"/>
  <c r="BZ137" i="1"/>
  <c r="BZ228" i="1" s="1"/>
  <c r="BZ138" i="1"/>
  <c r="BZ139" i="1"/>
  <c r="BZ140" i="1"/>
  <c r="BZ146" i="1"/>
  <c r="BZ229" i="1" s="1"/>
  <c r="BZ147" i="1"/>
  <c r="BZ230" i="1" s="1"/>
  <c r="BZ148" i="1"/>
  <c r="BZ231" i="1" s="1"/>
  <c r="BZ5" i="1"/>
  <c r="BZ6" i="1"/>
  <c r="BZ7" i="1"/>
  <c r="BZ153" i="1" s="1"/>
  <c r="BZ9" i="1"/>
  <c r="BZ10" i="1"/>
  <c r="BZ11" i="1"/>
  <c r="BZ232" i="1"/>
  <c r="BZ233" i="1"/>
  <c r="BZ234" i="1"/>
  <c r="BZ235" i="1"/>
  <c r="BZ236" i="1"/>
  <c r="BZ239" i="1"/>
  <c r="BZ240" i="1"/>
  <c r="BZ241" i="1"/>
  <c r="BZ242"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59" i="1"/>
  <c r="BZ360" i="1"/>
  <c r="BZ361" i="1"/>
  <c r="BZ362" i="1"/>
  <c r="BZ363" i="1"/>
  <c r="BZ364" i="1"/>
  <c r="BZ365" i="1"/>
  <c r="BZ366" i="1"/>
  <c r="BZ367" i="1"/>
  <c r="BZ368" i="1"/>
  <c r="BZ369" i="1"/>
  <c r="BZ370" i="1"/>
  <c r="BZ371" i="1"/>
  <c r="BZ372" i="1"/>
  <c r="BZ373" i="1"/>
  <c r="BZ374" i="1"/>
  <c r="BZ375" i="1"/>
  <c r="BZ376" i="1"/>
  <c r="BZ377" i="1"/>
  <c r="BZ378" i="1"/>
  <c r="BZ379" i="1"/>
  <c r="BZ380" i="1"/>
  <c r="BZ381" i="1"/>
  <c r="BZ382" i="1"/>
  <c r="BZ383" i="1"/>
  <c r="BZ384" i="1"/>
  <c r="BZ385" i="1"/>
  <c r="BZ386" i="1"/>
  <c r="BZ387" i="1"/>
  <c r="BZ388" i="1"/>
  <c r="BZ389" i="1"/>
  <c r="BZ390" i="1"/>
  <c r="BZ391" i="1"/>
  <c r="BZ392" i="1"/>
  <c r="BZ393" i="1"/>
  <c r="BZ394" i="1"/>
  <c r="BZ395" i="1"/>
  <c r="BZ396" i="1"/>
  <c r="BZ397" i="1"/>
  <c r="BZ398" i="1"/>
  <c r="BZ399" i="1"/>
  <c r="BZ400" i="1"/>
  <c r="BZ401" i="1"/>
  <c r="BZ402" i="1"/>
  <c r="BZ403" i="1"/>
  <c r="BZ404" i="1"/>
  <c r="BZ405" i="1"/>
  <c r="BZ406" i="1"/>
  <c r="BZ407" i="1"/>
  <c r="BZ408" i="1"/>
  <c r="BZ409" i="1"/>
  <c r="BZ410" i="1"/>
  <c r="BZ411" i="1"/>
  <c r="BZ412" i="1"/>
  <c r="BZ413" i="1"/>
  <c r="BZ414" i="1"/>
  <c r="BZ415" i="1"/>
  <c r="BZ416" i="1"/>
  <c r="BZ417" i="1"/>
  <c r="BZ418" i="1"/>
  <c r="BZ419" i="1"/>
  <c r="BZ420" i="1"/>
  <c r="BZ421" i="1"/>
  <c r="BZ422" i="1"/>
  <c r="BZ423" i="1"/>
  <c r="BZ424" i="1"/>
  <c r="BZ425" i="1"/>
  <c r="BZ426" i="1"/>
  <c r="BZ427" i="1"/>
  <c r="BZ428" i="1"/>
  <c r="BZ429" i="1"/>
  <c r="BZ430" i="1"/>
  <c r="BZ431" i="1"/>
  <c r="BZ432" i="1"/>
  <c r="BZ433" i="1"/>
  <c r="BZ434" i="1"/>
  <c r="BZ435" i="1"/>
  <c r="BZ436" i="1"/>
  <c r="BZ437" i="1"/>
  <c r="BZ438" i="1"/>
  <c r="BZ439" i="1"/>
  <c r="BZ440" i="1"/>
  <c r="BZ441" i="1"/>
  <c r="BZ442" i="1"/>
  <c r="BZ443" i="1"/>
  <c r="BZ444" i="1"/>
  <c r="BZ445" i="1"/>
  <c r="BZ446" i="1"/>
  <c r="BZ447" i="1"/>
  <c r="BZ448" i="1"/>
  <c r="BZ449" i="1"/>
  <c r="BZ450" i="1"/>
  <c r="BZ451" i="1"/>
  <c r="BZ452" i="1"/>
  <c r="BZ453" i="1"/>
  <c r="BZ454" i="1"/>
  <c r="BZ455" i="1"/>
  <c r="BZ456" i="1"/>
  <c r="BZ457" i="1"/>
  <c r="BZ458" i="1"/>
  <c r="BZ459" i="1"/>
  <c r="BZ460" i="1"/>
  <c r="BZ461" i="1"/>
  <c r="BZ462" i="1"/>
  <c r="BZ463" i="1"/>
  <c r="BZ464" i="1"/>
  <c r="BZ465" i="1"/>
  <c r="BZ466" i="1"/>
  <c r="BZ467" i="1"/>
  <c r="BZ468" i="1"/>
  <c r="BZ469" i="1"/>
  <c r="BZ470" i="1"/>
  <c r="BZ471" i="1"/>
  <c r="BZ472" i="1"/>
  <c r="BZ473" i="1"/>
  <c r="BZ474" i="1"/>
  <c r="BZ475" i="1"/>
  <c r="BZ476" i="1"/>
  <c r="BZ477" i="1"/>
  <c r="BZ478" i="1"/>
  <c r="BZ479" i="1"/>
  <c r="BZ480" i="1"/>
  <c r="BZ481" i="1"/>
  <c r="BZ482" i="1"/>
  <c r="BZ483" i="1"/>
  <c r="BZ484" i="1"/>
  <c r="BZ485" i="1"/>
  <c r="BZ486" i="1"/>
  <c r="BZ487" i="1"/>
  <c r="BZ488" i="1"/>
  <c r="BZ489" i="1"/>
  <c r="BZ490" i="1"/>
  <c r="BZ491" i="1"/>
  <c r="BZ492" i="1"/>
  <c r="BZ493" i="1"/>
  <c r="BZ494" i="1"/>
  <c r="BZ495" i="1"/>
  <c r="BZ496" i="1"/>
  <c r="BZ497" i="1"/>
  <c r="BZ498" i="1"/>
  <c r="BZ499" i="1"/>
  <c r="BZ500" i="1"/>
  <c r="BZ501" i="1"/>
  <c r="BZ502" i="1"/>
  <c r="BZ503" i="1"/>
  <c r="BZ504" i="1"/>
  <c r="BZ505" i="1"/>
  <c r="BZ506" i="1"/>
  <c r="BZ507" i="1"/>
  <c r="BZ508" i="1"/>
  <c r="BZ509" i="1"/>
  <c r="BZ510" i="1"/>
  <c r="BZ511" i="1"/>
  <c r="BZ512" i="1"/>
  <c r="BZ513" i="1"/>
  <c r="BZ514" i="1"/>
  <c r="BZ515" i="1"/>
  <c r="BZ516" i="1"/>
  <c r="BZ517" i="1"/>
  <c r="BZ518" i="1"/>
  <c r="BZ519" i="1"/>
  <c r="BZ520" i="1"/>
  <c r="BZ521"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BY5" i="1"/>
  <c r="BY63" i="1"/>
  <c r="BY154" i="1" s="1"/>
  <c r="BY20" i="1"/>
  <c r="BY23" i="1"/>
  <c r="BY74" i="1"/>
  <c r="BY165" i="1" s="1"/>
  <c r="BY54" i="1"/>
  <c r="BY168" i="1" s="1"/>
  <c r="BY80" i="1"/>
  <c r="BY171" i="1" s="1"/>
  <c r="BY83" i="1"/>
  <c r="BY174" i="1" s="1"/>
  <c r="BY28" i="1"/>
  <c r="BY158" i="1" s="1"/>
  <c r="BY90" i="1"/>
  <c r="BY181" i="1" s="1"/>
  <c r="BY94" i="1"/>
  <c r="BY185" i="1" s="1"/>
  <c r="BY98" i="1"/>
  <c r="BY189" i="1" s="1"/>
  <c r="BY103" i="1"/>
  <c r="BY193" i="1" s="1"/>
  <c r="BY105" i="1"/>
  <c r="BY196" i="1" s="1"/>
  <c r="BY108" i="1"/>
  <c r="BY199" i="1" s="1"/>
  <c r="BY111" i="1"/>
  <c r="BY202" i="1" s="1"/>
  <c r="BY114" i="1"/>
  <c r="BY205" i="1" s="1"/>
  <c r="BY29" i="1"/>
  <c r="BY159" i="1" s="1"/>
  <c r="BY120" i="1"/>
  <c r="BY211" i="1" s="1"/>
  <c r="BY123" i="1"/>
  <c r="BY214" i="1" s="1"/>
  <c r="BY126" i="1"/>
  <c r="BY217" i="1" s="1"/>
  <c r="BY30" i="1"/>
  <c r="BY160" i="1" s="1"/>
  <c r="BY31" i="1"/>
  <c r="BY135" i="1"/>
  <c r="BY226" i="1" s="1"/>
  <c r="BY138" i="1"/>
  <c r="BY32" i="1"/>
  <c r="BY161" i="1" s="1"/>
  <c r="BY9" i="1"/>
  <c r="BY6" i="1"/>
  <c r="BY64" i="1"/>
  <c r="BY155" i="1" s="1"/>
  <c r="BY39" i="1"/>
  <c r="BY162" i="1" s="1"/>
  <c r="BY40" i="1"/>
  <c r="BY163" i="1" s="1"/>
  <c r="BY75" i="1"/>
  <c r="BY166" i="1" s="1"/>
  <c r="BY61" i="1"/>
  <c r="BY169" i="1" s="1"/>
  <c r="BY81" i="1"/>
  <c r="BY172" i="1" s="1"/>
  <c r="BY84" i="1"/>
  <c r="BY175" i="1" s="1"/>
  <c r="BY45" i="1"/>
  <c r="BY164" i="1" s="1"/>
  <c r="BY91" i="1"/>
  <c r="BY182" i="1" s="1"/>
  <c r="BY95" i="1"/>
  <c r="BY186" i="1" s="1"/>
  <c r="BY99" i="1"/>
  <c r="BY190" i="1" s="1"/>
  <c r="BY104" i="1"/>
  <c r="BY194" i="1" s="1"/>
  <c r="BY106" i="1"/>
  <c r="BY197" i="1" s="1"/>
  <c r="BY109" i="1"/>
  <c r="BY200" i="1" s="1"/>
  <c r="BY112" i="1"/>
  <c r="BY203" i="1" s="1"/>
  <c r="BY115" i="1"/>
  <c r="BY206" i="1" s="1"/>
  <c r="BY49" i="1"/>
  <c r="BY121" i="1"/>
  <c r="BY212" i="1" s="1"/>
  <c r="BY124" i="1"/>
  <c r="BY215" i="1" s="1"/>
  <c r="BY127" i="1"/>
  <c r="BY218" i="1" s="1"/>
  <c r="BY24" i="1"/>
  <c r="BY67" i="1"/>
  <c r="BY136" i="1"/>
  <c r="BY227" i="1" s="1"/>
  <c r="BY139" i="1"/>
  <c r="BY69" i="1"/>
  <c r="BY177" i="1" s="1"/>
  <c r="BY10" i="1"/>
  <c r="BY4" i="1"/>
  <c r="BY3" i="1"/>
  <c r="BY70" i="1"/>
  <c r="BY178" i="1" s="1"/>
  <c r="BY92" i="1"/>
  <c r="BY183" i="1" s="1"/>
  <c r="BY96" i="1"/>
  <c r="BY187" i="1" s="1"/>
  <c r="BY100" i="1"/>
  <c r="BY191" i="1" s="1"/>
  <c r="BY65" i="1"/>
  <c r="BY156" i="1" s="1"/>
  <c r="BY7" i="1"/>
  <c r="BY66" i="1"/>
  <c r="BY157" i="1" s="1"/>
  <c r="BY76" i="1"/>
  <c r="BY167" i="1" s="1"/>
  <c r="BY62" i="1"/>
  <c r="BY170" i="1" s="1"/>
  <c r="BY82" i="1"/>
  <c r="BY173" i="1" s="1"/>
  <c r="BY85" i="1"/>
  <c r="BY176" i="1" s="1"/>
  <c r="BY71" i="1"/>
  <c r="BY179" i="1" s="1"/>
  <c r="BY93" i="1"/>
  <c r="BY184" i="1" s="1"/>
  <c r="BY97" i="1"/>
  <c r="BY188" i="1" s="1"/>
  <c r="BY101" i="1"/>
  <c r="BY192" i="1" s="1"/>
  <c r="BY117" i="1"/>
  <c r="BY195" i="1" s="1"/>
  <c r="BY107" i="1"/>
  <c r="BY198" i="1" s="1"/>
  <c r="BY110" i="1"/>
  <c r="BY201" i="1" s="1"/>
  <c r="BY113" i="1"/>
  <c r="BY204" i="1" s="1"/>
  <c r="BY116" i="1"/>
  <c r="BY207" i="1" s="1"/>
  <c r="BY72" i="1"/>
  <c r="BY180" i="1" s="1"/>
  <c r="BY122" i="1"/>
  <c r="BY213" i="1" s="1"/>
  <c r="BY125" i="1"/>
  <c r="BY216" i="1" s="1"/>
  <c r="BY128" i="1"/>
  <c r="BY219" i="1" s="1"/>
  <c r="BY68" i="1"/>
  <c r="BY73" i="1"/>
  <c r="BY137" i="1"/>
  <c r="BY228" i="1" s="1"/>
  <c r="BY140" i="1"/>
  <c r="BY79" i="1"/>
  <c r="BY11" i="1"/>
  <c r="BY2" i="1"/>
  <c r="BY13" i="1"/>
  <c r="BY14" i="1"/>
  <c r="BY16" i="1"/>
  <c r="BY19" i="1"/>
  <c r="BY86" i="1"/>
  <c r="BY8" i="1"/>
  <c r="BY87" i="1"/>
  <c r="BY88" i="1"/>
  <c r="BY89" i="1"/>
  <c r="BY12" i="1"/>
  <c r="BY119" i="1"/>
  <c r="BY208" i="1" s="1"/>
  <c r="BY53" i="1"/>
  <c r="BY15" i="1"/>
  <c r="BY129" i="1"/>
  <c r="BY209" i="1" s="1"/>
  <c r="BY17" i="1"/>
  <c r="BY18" i="1"/>
  <c r="BY130" i="1"/>
  <c r="BY210" i="1" s="1"/>
  <c r="BY118" i="1"/>
  <c r="BY21" i="1"/>
  <c r="BY22" i="1"/>
  <c r="BY77" i="1"/>
  <c r="BY50" i="1"/>
  <c r="BY25" i="1"/>
  <c r="BY26" i="1"/>
  <c r="BY27" i="1"/>
  <c r="BY78" i="1"/>
  <c r="BY33" i="1"/>
  <c r="BY34" i="1"/>
  <c r="BY35" i="1"/>
  <c r="BY36" i="1"/>
  <c r="BY37" i="1"/>
  <c r="BY38" i="1"/>
  <c r="BY132" i="1"/>
  <c r="BY220" i="1" s="1"/>
  <c r="BY102" i="1"/>
  <c r="BY41" i="1"/>
  <c r="BY42" i="1"/>
  <c r="BY43" i="1"/>
  <c r="BY44" i="1"/>
  <c r="BY133" i="1"/>
  <c r="BY221" i="1" s="1"/>
  <c r="BY46" i="1"/>
  <c r="BY47" i="1"/>
  <c r="BY48" i="1"/>
  <c r="BY134" i="1"/>
  <c r="BY222" i="1" s="1"/>
  <c r="BY131" i="1"/>
  <c r="BY51" i="1"/>
  <c r="BY52" i="1"/>
  <c r="BY142" i="1"/>
  <c r="BY223" i="1" s="1"/>
  <c r="BY149" i="1"/>
  <c r="BY55" i="1"/>
  <c r="BY56" i="1"/>
  <c r="BY57" i="1"/>
  <c r="BY58" i="1"/>
  <c r="BY59" i="1"/>
  <c r="BY60" i="1"/>
  <c r="BY143" i="1"/>
  <c r="BY224" i="1" s="1"/>
  <c r="BY144" i="1"/>
  <c r="BY225" i="1" s="1"/>
  <c r="BY141" i="1"/>
  <c r="BY146" i="1"/>
  <c r="BY229" i="1" s="1"/>
  <c r="BY147" i="1"/>
  <c r="BY230" i="1" s="1"/>
  <c r="BY148" i="1"/>
  <c r="BY231" i="1" s="1"/>
  <c r="BY145" i="1"/>
  <c r="BY233" i="1"/>
  <c r="BY234" i="1"/>
  <c r="BY232" i="1"/>
  <c r="BY235" i="1"/>
  <c r="BY240" i="1"/>
  <c r="BY241" i="1"/>
  <c r="BY242"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8" i="1"/>
  <c r="BY287" i="1"/>
  <c r="BY289" i="1"/>
  <c r="BY290" i="1"/>
  <c r="BY291" i="1"/>
  <c r="BY292" i="1"/>
  <c r="BY293" i="1"/>
  <c r="BY294" i="1"/>
  <c r="BY295" i="1"/>
  <c r="BY298" i="1"/>
  <c r="BY299" i="1"/>
  <c r="BY300" i="1"/>
  <c r="BY301" i="1"/>
  <c r="BY302" i="1"/>
  <c r="BY303" i="1"/>
  <c r="BY304" i="1"/>
  <c r="BY305" i="1"/>
  <c r="BY306" i="1"/>
  <c r="BY307" i="1"/>
  <c r="BY376" i="1"/>
  <c r="BY377" i="1"/>
  <c r="BY378" i="1"/>
  <c r="BY379" i="1"/>
  <c r="BY380" i="1"/>
  <c r="BY381" i="1"/>
  <c r="BY382" i="1"/>
  <c r="BY383" i="1"/>
  <c r="BY384" i="1"/>
  <c r="BY385" i="1"/>
  <c r="BY386" i="1"/>
  <c r="BY387" i="1"/>
  <c r="BY388" i="1"/>
  <c r="BY389" i="1"/>
  <c r="BY390" i="1"/>
  <c r="BY391" i="1"/>
  <c r="BY392" i="1"/>
  <c r="BY393" i="1"/>
  <c r="BY394" i="1"/>
  <c r="BY395" i="1"/>
  <c r="BY396" i="1"/>
  <c r="BY296" i="1"/>
  <c r="BY297" i="1"/>
  <c r="BY342" i="1"/>
  <c r="BY343" i="1"/>
  <c r="BY344" i="1"/>
  <c r="BY345" i="1"/>
  <c r="BY346" i="1"/>
  <c r="BY347" i="1"/>
  <c r="BY348" i="1"/>
  <c r="BY349" i="1"/>
  <c r="BY350" i="1"/>
  <c r="BY351" i="1"/>
  <c r="BY352" i="1"/>
  <c r="BY353" i="1"/>
  <c r="BY354" i="1"/>
  <c r="BY355" i="1"/>
  <c r="BY356" i="1"/>
  <c r="BY357" i="1"/>
  <c r="BY358" i="1"/>
  <c r="BY359" i="1"/>
  <c r="BY360" i="1"/>
  <c r="BY361" i="1"/>
  <c r="BY363" i="1"/>
  <c r="BY362" i="1"/>
  <c r="BY364" i="1"/>
  <c r="BY365" i="1"/>
  <c r="BY366" i="1"/>
  <c r="BY367" i="1"/>
  <c r="BY368" i="1"/>
  <c r="BY369" i="1"/>
  <c r="BY370" i="1"/>
  <c r="BY371" i="1"/>
  <c r="BY372" i="1"/>
  <c r="BY373" i="1"/>
  <c r="BY374" i="1"/>
  <c r="BY375" i="1"/>
  <c r="BY308" i="1"/>
  <c r="BY309" i="1"/>
  <c r="BY310" i="1"/>
  <c r="BY311" i="1"/>
  <c r="BY312" i="1"/>
  <c r="BY313" i="1"/>
  <c r="BY314" i="1"/>
  <c r="BY315" i="1"/>
  <c r="BY316" i="1"/>
  <c r="BY317" i="1"/>
  <c r="BY318" i="1"/>
  <c r="BY319" i="1"/>
  <c r="BY320" i="1"/>
  <c r="BY321" i="1"/>
  <c r="BY322" i="1"/>
  <c r="BY323" i="1"/>
  <c r="BY324" i="1"/>
  <c r="BY325" i="1"/>
  <c r="BY326" i="1"/>
  <c r="BY327" i="1"/>
  <c r="BY329" i="1"/>
  <c r="BY328" i="1"/>
  <c r="BY330" i="1"/>
  <c r="BY331" i="1"/>
  <c r="BY332" i="1"/>
  <c r="BY333" i="1"/>
  <c r="BY334" i="1"/>
  <c r="BY335" i="1"/>
  <c r="BY336" i="1"/>
  <c r="BY337" i="1"/>
  <c r="BY338" i="1"/>
  <c r="BY339" i="1"/>
  <c r="BY340" i="1"/>
  <c r="BY341" i="1"/>
  <c r="BY244" i="1"/>
  <c r="BY245" i="1"/>
  <c r="BY250" i="1"/>
  <c r="BY246" i="1"/>
  <c r="BY248" i="1"/>
  <c r="BY247" i="1"/>
  <c r="BY252" i="1"/>
  <c r="BY253" i="1"/>
  <c r="BY254" i="1"/>
  <c r="BY255" i="1"/>
  <c r="BY258" i="1"/>
  <c r="BY251" i="1"/>
  <c r="BY259" i="1"/>
  <c r="BY256" i="1"/>
  <c r="BY249" i="1"/>
  <c r="BY257" i="1"/>
  <c r="BY260" i="1"/>
  <c r="BY495" i="1"/>
  <c r="BY496" i="1"/>
  <c r="BY497" i="1"/>
  <c r="BY499" i="1"/>
  <c r="BY503" i="1"/>
  <c r="BY500" i="1"/>
  <c r="BY501" i="1"/>
  <c r="BY502" i="1"/>
  <c r="BY504" i="1"/>
  <c r="BY505" i="1"/>
  <c r="BY506" i="1"/>
  <c r="BY507" i="1"/>
  <c r="BY508" i="1"/>
  <c r="BY456" i="1"/>
  <c r="BY410" i="1"/>
  <c r="BY435" i="1"/>
  <c r="BY445" i="1"/>
  <c r="BY440" i="1"/>
  <c r="BY411" i="1"/>
  <c r="BY434" i="1"/>
  <c r="BY481" i="1"/>
  <c r="BY480" i="1"/>
  <c r="BY465" i="1"/>
  <c r="BY466" i="1"/>
  <c r="BY468" i="1"/>
  <c r="BY469" i="1"/>
  <c r="BY470" i="1"/>
  <c r="BY471" i="1"/>
  <c r="BY472" i="1"/>
  <c r="BY473" i="1"/>
  <c r="BY474" i="1"/>
  <c r="BY475" i="1"/>
  <c r="BY476" i="1"/>
  <c r="BY477" i="1"/>
  <c r="BY479" i="1"/>
  <c r="BY467" i="1"/>
  <c r="BY478" i="1"/>
  <c r="BY483" i="1"/>
  <c r="BY484" i="1"/>
  <c r="BY485" i="1"/>
  <c r="BY486" i="1"/>
  <c r="BY487" i="1"/>
  <c r="BY488" i="1"/>
  <c r="BY489" i="1"/>
  <c r="BY490" i="1"/>
  <c r="BY491" i="1"/>
  <c r="BY492" i="1"/>
  <c r="BY493" i="1"/>
  <c r="BY494" i="1"/>
  <c r="BY482" i="1"/>
  <c r="BY464" i="1"/>
  <c r="BY521" i="1"/>
  <c r="BY408" i="1"/>
  <c r="BY451" i="1"/>
  <c r="BY431" i="1"/>
  <c r="BY463" i="1"/>
  <c r="BY454" i="1"/>
  <c r="BY442" i="1"/>
  <c r="BY509" i="1"/>
  <c r="BY510" i="1"/>
  <c r="BY511" i="1"/>
  <c r="BY512" i="1"/>
  <c r="BY513" i="1"/>
  <c r="BY514" i="1"/>
  <c r="BY498" i="1"/>
  <c r="BY436" i="1"/>
  <c r="BY437" i="1"/>
  <c r="BY438" i="1"/>
  <c r="BY443" i="1"/>
  <c r="BY441" i="1"/>
  <c r="BY448" i="1"/>
  <c r="BY453" i="1"/>
  <c r="BY455" i="1"/>
  <c r="BY444" i="1"/>
  <c r="BY400" i="1"/>
  <c r="BY406" i="1"/>
  <c r="BY401" i="1"/>
  <c r="BY397" i="1"/>
  <c r="BY398" i="1"/>
  <c r="BY399" i="1"/>
  <c r="BY405" i="1"/>
  <c r="BY449" i="1"/>
  <c r="BY402" i="1"/>
  <c r="BY403" i="1"/>
  <c r="BY404" i="1"/>
  <c r="BY439" i="1"/>
  <c r="BY452" i="1"/>
  <c r="BY407" i="1"/>
  <c r="BY414" i="1"/>
  <c r="BY432" i="1"/>
  <c r="BY433" i="1"/>
  <c r="BY430" i="1"/>
  <c r="BY412" i="1"/>
  <c r="BY409" i="1"/>
  <c r="BY446" i="1"/>
  <c r="BY450" i="1"/>
  <c r="BY413" i="1"/>
  <c r="BY415" i="1"/>
  <c r="BY416" i="1"/>
  <c r="BY418" i="1"/>
  <c r="BY417" i="1"/>
  <c r="BY419" i="1"/>
  <c r="BY424" i="1"/>
  <c r="BY423" i="1"/>
  <c r="BY425" i="1"/>
  <c r="BY426" i="1"/>
  <c r="BY427" i="1"/>
  <c r="BY428" i="1"/>
  <c r="BY420" i="1"/>
  <c r="BY421" i="1"/>
  <c r="BY429" i="1"/>
  <c r="BY422" i="1"/>
  <c r="BY457" i="1"/>
  <c r="BY458" i="1"/>
  <c r="BY459" i="1"/>
  <c r="BY460" i="1"/>
  <c r="BY462" i="1"/>
  <c r="BY461" i="1"/>
  <c r="BY447" i="1"/>
  <c r="BY515" i="1"/>
  <c r="BY516" i="1"/>
  <c r="BY517" i="1"/>
  <c r="BY518" i="1"/>
  <c r="BY519" i="1"/>
  <c r="BY520" i="1"/>
  <c r="BY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112" i="1"/>
  <c r="BY151" i="1" l="1"/>
  <c r="CA152" i="1"/>
  <c r="CA153" i="1"/>
  <c r="BZ150" i="1"/>
  <c r="BY152" i="1"/>
  <c r="BY150" i="1"/>
  <c r="BZ151" i="1"/>
  <c r="CA150" i="1"/>
  <c r="BY153" i="1"/>
  <c r="CA151" i="1"/>
  <c r="BZ152" i="1"/>
  <c r="K2" i="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100" i="1"/>
  <c r="AV100" i="1" s="1"/>
  <c r="AV191" i="1" s="1"/>
  <c r="K96" i="1"/>
  <c r="AW96" i="1" s="1"/>
  <c r="AW187" i="1" s="1"/>
  <c r="K92" i="1"/>
  <c r="K71" i="1"/>
  <c r="AW71" i="1" s="1"/>
  <c r="AW179" i="1" s="1"/>
  <c r="K3" i="1"/>
  <c r="K4" i="1"/>
  <c r="K10" i="1"/>
  <c r="K147" i="1"/>
  <c r="K139" i="1"/>
  <c r="K136" i="1"/>
  <c r="K143" i="1"/>
  <c r="K133" i="1"/>
  <c r="K127" i="1"/>
  <c r="K124" i="1"/>
  <c r="K109" i="1"/>
  <c r="K91" i="1"/>
  <c r="K81" i="1"/>
  <c r="K39" i="1"/>
  <c r="K64" i="1"/>
  <c r="K146" i="1"/>
  <c r="K138" i="1"/>
  <c r="K135" i="1"/>
  <c r="K142" i="1"/>
  <c r="K132" i="1"/>
  <c r="K126" i="1"/>
  <c r="K123" i="1"/>
  <c r="K120" i="1"/>
  <c r="K119" i="1"/>
  <c r="K114" i="1"/>
  <c r="K111" i="1"/>
  <c r="K108" i="1"/>
  <c r="K105" i="1"/>
  <c r="K103" i="1"/>
  <c r="K98" i="1"/>
  <c r="AW98" i="1" s="1"/>
  <c r="AW189" i="1" s="1"/>
  <c r="K94" i="1"/>
  <c r="AW94" i="1" s="1"/>
  <c r="AW185" i="1" s="1"/>
  <c r="K90" i="1"/>
  <c r="K69" i="1"/>
  <c r="AW69" i="1" s="1"/>
  <c r="AW177" i="1" s="1"/>
  <c r="K83" i="1"/>
  <c r="K54" i="1"/>
  <c r="K74" i="1"/>
  <c r="K32" i="1"/>
  <c r="K28" i="1"/>
  <c r="K63" i="1"/>
  <c r="K5" i="1"/>
  <c r="AU96" i="1" l="1"/>
  <c r="AU187" i="1" s="1"/>
  <c r="AV96" i="1"/>
  <c r="AV187" i="1" s="1"/>
  <c r="AU94" i="1"/>
  <c r="AU185" i="1" s="1"/>
  <c r="AW100" i="1"/>
  <c r="AW191" i="1" s="1"/>
  <c r="AU98" i="1"/>
  <c r="AU189" i="1" s="1"/>
  <c r="AV94" i="1"/>
  <c r="AV185" i="1" s="1"/>
  <c r="AU100" i="1"/>
  <c r="AU191" i="1" s="1"/>
  <c r="AV98" i="1"/>
  <c r="AV189" i="1" s="1"/>
  <c r="AU71" i="1"/>
  <c r="AU179" i="1" s="1"/>
  <c r="AV71" i="1"/>
  <c r="AV179" i="1" s="1"/>
  <c r="AU69" i="1"/>
  <c r="AU177" i="1" s="1"/>
  <c r="AV69" i="1"/>
  <c r="AV177" i="1" s="1"/>
  <c r="L2" i="1"/>
  <c r="AW65" i="1" l="1"/>
  <c r="AW156" i="1" s="1"/>
  <c r="AR96" i="1"/>
  <c r="AR187" i="1" s="1"/>
  <c r="AO92" i="1"/>
  <c r="AO183" i="1" s="1"/>
  <c r="AL71" i="1"/>
  <c r="AL179" i="1" s="1"/>
  <c r="AI3" i="1"/>
  <c r="AF4" i="1"/>
  <c r="AM3" i="1" l="1"/>
  <c r="AL3" i="1"/>
  <c r="AP92" i="1"/>
  <c r="AP183" i="1" s="1"/>
  <c r="AI100" i="1"/>
  <c r="AI191" i="1" s="1"/>
  <c r="AK3" i="1"/>
  <c r="AD92" i="1"/>
  <c r="AD183" i="1" s="1"/>
  <c r="AQ92" i="1"/>
  <c r="AQ183" i="1" s="1"/>
  <c r="AF100" i="1"/>
  <c r="AF191" i="1" s="1"/>
  <c r="AH100" i="1"/>
  <c r="AH191" i="1" s="1"/>
  <c r="AJ100" i="1"/>
  <c r="AJ191" i="1" s="1"/>
  <c r="AN3" i="1"/>
  <c r="AR92" i="1"/>
  <c r="AR183" i="1" s="1"/>
  <c r="AG100" i="1"/>
  <c r="AG191" i="1" s="1"/>
  <c r="AD65" i="1"/>
  <c r="AD156" i="1" s="1"/>
  <c r="AS3" i="1"/>
  <c r="AT3" i="1"/>
  <c r="AN71" i="1"/>
  <c r="AN179" i="1" s="1"/>
  <c r="AK65" i="1"/>
  <c r="AK156" i="1" s="1"/>
  <c r="AR3" i="1"/>
  <c r="AU92" i="1"/>
  <c r="AU183" i="1" s="1"/>
  <c r="AD96" i="1"/>
  <c r="AD187" i="1" s="1"/>
  <c r="AG4" i="1"/>
  <c r="AF65" i="1"/>
  <c r="AF156" i="1" s="1"/>
  <c r="AH65" i="1"/>
  <c r="AH156" i="1" s="1"/>
  <c r="AP71" i="1"/>
  <c r="AP179" i="1" s="1"/>
  <c r="AQ71" i="1"/>
  <c r="AQ179" i="1" s="1"/>
  <c r="AT96" i="1"/>
  <c r="AT187" i="1" s="1"/>
  <c r="AS71" i="1"/>
  <c r="AS179" i="1" s="1"/>
  <c r="AL65" i="1"/>
  <c r="AL156" i="1" s="1"/>
  <c r="AO4" i="1"/>
  <c r="AT71" i="1"/>
  <c r="AT179" i="1" s="1"/>
  <c r="AM65" i="1"/>
  <c r="AM156" i="1" s="1"/>
  <c r="AP3" i="1"/>
  <c r="AT92" i="1"/>
  <c r="AT183" i="1" s="1"/>
  <c r="AK100" i="1"/>
  <c r="AK191" i="1" s="1"/>
  <c r="AQ3" i="1"/>
  <c r="AL100" i="1"/>
  <c r="AL191" i="1" s="1"/>
  <c r="AV92" i="1"/>
  <c r="AV183" i="1" s="1"/>
  <c r="AW92" i="1"/>
  <c r="AW183" i="1" s="1"/>
  <c r="AC96" i="1"/>
  <c r="AC187" i="1" s="1"/>
  <c r="AE96" i="1"/>
  <c r="AE187" i="1" s="1"/>
  <c r="AF96" i="1"/>
  <c r="AF187" i="1" s="1"/>
  <c r="AH96" i="1"/>
  <c r="AH187" i="1" s="1"/>
  <c r="AI96" i="1"/>
  <c r="AI187" i="1" s="1"/>
  <c r="AL4" i="1"/>
  <c r="AR71" i="1"/>
  <c r="AR179" i="1" s="1"/>
  <c r="AN4" i="1"/>
  <c r="AP4" i="1"/>
  <c r="AN65" i="1"/>
  <c r="AN156" i="1" s="1"/>
  <c r="AO3" i="1"/>
  <c r="AU3" i="1"/>
  <c r="AE65" i="1"/>
  <c r="AE156" i="1" s="1"/>
  <c r="AG65" i="1"/>
  <c r="AG156" i="1" s="1"/>
  <c r="AI65" i="1"/>
  <c r="AI156" i="1" s="1"/>
  <c r="AM4" i="1"/>
  <c r="AQ4" i="1"/>
  <c r="AC100" i="1"/>
  <c r="AC191" i="1" s="1"/>
  <c r="AO65" i="1"/>
  <c r="AO156" i="1" s="1"/>
  <c r="AC65" i="1"/>
  <c r="AC156" i="1" s="1"/>
  <c r="AV3" i="1"/>
  <c r="AH4" i="1"/>
  <c r="AG96" i="1"/>
  <c r="AG187" i="1" s="1"/>
  <c r="AJ4" i="1"/>
  <c r="AK4" i="1"/>
  <c r="AJ65" i="1"/>
  <c r="AJ156" i="1" s="1"/>
  <c r="AR4" i="1"/>
  <c r="AD100" i="1"/>
  <c r="AD191" i="1" s="1"/>
  <c r="AP65" i="1"/>
  <c r="AP156" i="1" s="1"/>
  <c r="AS92" i="1"/>
  <c r="AS183" i="1" s="1"/>
  <c r="AM71" i="1"/>
  <c r="AM179" i="1" s="1"/>
  <c r="AI4" i="1"/>
  <c r="AI151" i="1" s="1"/>
  <c r="AO71" i="1"/>
  <c r="AO179" i="1" s="1"/>
  <c r="AS96" i="1"/>
  <c r="AS187" i="1" s="1"/>
  <c r="AJ3" i="1"/>
  <c r="AC92" i="1"/>
  <c r="AC183" i="1" s="1"/>
  <c r="AE100" i="1"/>
  <c r="AE191" i="1" s="1"/>
  <c r="AG92" i="1"/>
  <c r="AG183" i="1" s="1"/>
  <c r="AJ96" i="1"/>
  <c r="AJ187" i="1" s="1"/>
  <c r="AW4" i="1"/>
  <c r="AK96" i="1"/>
  <c r="AK187" i="1" s="1"/>
  <c r="AC3" i="1"/>
  <c r="AC151" i="1" s="1"/>
  <c r="AR65" i="1"/>
  <c r="AR156" i="1" s="1"/>
  <c r="AE3" i="1"/>
  <c r="AQ100" i="1"/>
  <c r="AQ191" i="1" s="1"/>
  <c r="AT65" i="1"/>
  <c r="AT156" i="1" s="1"/>
  <c r="AS4" i="1"/>
  <c r="AW3" i="1"/>
  <c r="AE71" i="1"/>
  <c r="AE179" i="1" s="1"/>
  <c r="AH92" i="1"/>
  <c r="AH183" i="1" s="1"/>
  <c r="AN100" i="1"/>
  <c r="AN191" i="1" s="1"/>
  <c r="AQ65" i="1"/>
  <c r="AQ156" i="1" s="1"/>
  <c r="AF71" i="1"/>
  <c r="AF179" i="1" s="1"/>
  <c r="AI92" i="1"/>
  <c r="AI183" i="1" s="1"/>
  <c r="AO100" i="1"/>
  <c r="AO191" i="1" s="1"/>
  <c r="AG71" i="1"/>
  <c r="AG179" i="1" s="1"/>
  <c r="AP100" i="1"/>
  <c r="AP191" i="1" s="1"/>
  <c r="AK92" i="1"/>
  <c r="AK183" i="1" s="1"/>
  <c r="AC4" i="1"/>
  <c r="AF3" i="1"/>
  <c r="AF151" i="1" s="1"/>
  <c r="AI71" i="1"/>
  <c r="AI179" i="1" s="1"/>
  <c r="AL92" i="1"/>
  <c r="AL183" i="1" s="1"/>
  <c r="AO96" i="1"/>
  <c r="AO187" i="1" s="1"/>
  <c r="AR100" i="1"/>
  <c r="AR191" i="1" s="1"/>
  <c r="AU65" i="1"/>
  <c r="AU156" i="1" s="1"/>
  <c r="AE92" i="1"/>
  <c r="AE183" i="1" s="1"/>
  <c r="AU4" i="1"/>
  <c r="AF92" i="1"/>
  <c r="AF183" i="1" s="1"/>
  <c r="AL96" i="1"/>
  <c r="AL187" i="1" s="1"/>
  <c r="AD3" i="1"/>
  <c r="AS65" i="1"/>
  <c r="AS156" i="1" s="1"/>
  <c r="AD4" i="1"/>
  <c r="AG3" i="1"/>
  <c r="AJ71" i="1"/>
  <c r="AJ179" i="1" s="1"/>
  <c r="AM92" i="1"/>
  <c r="AM183" i="1" s="1"/>
  <c r="AP96" i="1"/>
  <c r="AP187" i="1" s="1"/>
  <c r="AS100" i="1"/>
  <c r="AS191" i="1" s="1"/>
  <c r="AV65" i="1"/>
  <c r="AV156" i="1" s="1"/>
  <c r="AC71" i="1"/>
  <c r="AC179" i="1" s="1"/>
  <c r="AH71" i="1"/>
  <c r="AH179" i="1" s="1"/>
  <c r="AE4" i="1"/>
  <c r="AH3" i="1"/>
  <c r="AK71" i="1"/>
  <c r="AK179" i="1" s="1"/>
  <c r="AN92" i="1"/>
  <c r="AN183" i="1" s="1"/>
  <c r="AQ96" i="1"/>
  <c r="AQ187" i="1" s="1"/>
  <c r="AT100" i="1"/>
  <c r="AT191" i="1" s="1"/>
  <c r="AT4" i="1"/>
  <c r="AV4" i="1"/>
  <c r="AD71" i="1"/>
  <c r="AD179" i="1" s="1"/>
  <c r="AM100" i="1"/>
  <c r="AM191" i="1" s="1"/>
  <c r="AJ92" i="1"/>
  <c r="AJ183" i="1" s="1"/>
  <c r="AM96" i="1"/>
  <c r="AM187" i="1" s="1"/>
  <c r="AN96" i="1"/>
  <c r="AN187" i="1" s="1"/>
  <c r="Y147" i="1"/>
  <c r="Y230" i="1" s="1"/>
  <c r="Y143" i="1"/>
  <c r="Y224" i="1" s="1"/>
  <c r="AF124" i="1"/>
  <c r="AF215" i="1" s="1"/>
  <c r="Y109" i="1"/>
  <c r="Y200" i="1" s="1"/>
  <c r="AF91" i="1"/>
  <c r="AF182" i="1" s="1"/>
  <c r="AF81" i="1"/>
  <c r="AF172" i="1" s="1"/>
  <c r="AF39" i="1"/>
  <c r="AF162" i="1" s="1"/>
  <c r="AF64" i="1"/>
  <c r="AF155" i="1" s="1"/>
  <c r="AW151" i="1" l="1"/>
  <c r="AR151" i="1"/>
  <c r="AT151" i="1"/>
  <c r="AS151" i="1"/>
  <c r="AP151" i="1"/>
  <c r="AD151" i="1"/>
  <c r="AV151" i="1"/>
  <c r="AQ151" i="1"/>
  <c r="AE151" i="1"/>
  <c r="AN151" i="1"/>
  <c r="AK151" i="1"/>
  <c r="AJ151" i="1"/>
  <c r="AO151" i="1"/>
  <c r="AL151" i="1"/>
  <c r="AG151" i="1"/>
  <c r="AU151" i="1"/>
  <c r="AH151" i="1"/>
  <c r="AM151" i="1"/>
  <c r="AC109" i="1"/>
  <c r="AC200" i="1" s="1"/>
  <c r="AE109" i="1"/>
  <c r="AE200" i="1" s="1"/>
  <c r="AF109" i="1"/>
  <c r="AF200" i="1" s="1"/>
  <c r="AA109" i="1"/>
  <c r="AA200" i="1" s="1"/>
  <c r="AD109" i="1"/>
  <c r="AD200" i="1" s="1"/>
  <c r="Z109" i="1"/>
  <c r="Z200" i="1" s="1"/>
  <c r="AB109" i="1"/>
  <c r="AB200" i="1" s="1"/>
  <c r="AC143" i="1"/>
  <c r="AC224" i="1" s="1"/>
  <c r="AD143" i="1"/>
  <c r="AD224" i="1" s="1"/>
  <c r="Z143" i="1"/>
  <c r="Z224" i="1" s="1"/>
  <c r="AA143" i="1"/>
  <c r="AA224" i="1" s="1"/>
  <c r="AE143" i="1"/>
  <c r="AE224" i="1" s="1"/>
  <c r="AB143" i="1"/>
  <c r="AB224" i="1" s="1"/>
  <c r="AF143" i="1"/>
  <c r="AF224" i="1" s="1"/>
  <c r="AC147" i="1"/>
  <c r="AC230" i="1" s="1"/>
  <c r="AD147" i="1"/>
  <c r="AD230" i="1" s="1"/>
  <c r="AF147" i="1"/>
  <c r="AF230" i="1" s="1"/>
  <c r="AE147" i="1"/>
  <c r="AE230" i="1" s="1"/>
  <c r="AB147" i="1"/>
  <c r="AB230" i="1" s="1"/>
  <c r="Z147" i="1"/>
  <c r="Z230" i="1" s="1"/>
  <c r="AA147" i="1"/>
  <c r="AA230" i="1" s="1"/>
  <c r="Y124" i="1"/>
  <c r="Y215" i="1" s="1"/>
  <c r="AA124" i="1"/>
  <c r="AA215" i="1" s="1"/>
  <c r="AB124" i="1"/>
  <c r="AB215" i="1" s="1"/>
  <c r="Z124" i="1"/>
  <c r="Z215" i="1" s="1"/>
  <c r="AC124" i="1"/>
  <c r="AC215" i="1" s="1"/>
  <c r="AD124" i="1"/>
  <c r="AD215" i="1" s="1"/>
  <c r="AE124" i="1"/>
  <c r="AE215" i="1" s="1"/>
  <c r="AT98" i="1"/>
  <c r="AT189" i="1" s="1"/>
  <c r="AT94" i="1"/>
  <c r="AT185" i="1" s="1"/>
  <c r="AT146" i="1"/>
  <c r="AT229" i="1" s="1"/>
  <c r="AT142" i="1"/>
  <c r="AT223" i="1" s="1"/>
  <c r="AT132" i="1"/>
  <c r="AT220" i="1" s="1"/>
  <c r="AT126" i="1"/>
  <c r="AT217" i="1" s="1"/>
  <c r="AT123" i="1"/>
  <c r="AT214" i="1" s="1"/>
  <c r="AT119" i="1"/>
  <c r="AT208" i="1" s="1"/>
  <c r="AT114" i="1"/>
  <c r="AT205" i="1" s="1"/>
  <c r="AT111" i="1"/>
  <c r="AT202" i="1" s="1"/>
  <c r="AT108" i="1"/>
  <c r="AT199" i="1" s="1"/>
  <c r="AT105" i="1"/>
  <c r="AT196" i="1" s="1"/>
  <c r="AT103" i="1"/>
  <c r="AT193" i="1" s="1"/>
  <c r="AT90" i="1"/>
  <c r="AT181" i="1" s="1"/>
  <c r="AT69" i="1"/>
  <c r="AT177" i="1" s="1"/>
  <c r="AT83" i="1"/>
  <c r="AT174" i="1" s="1"/>
  <c r="AT54" i="1"/>
  <c r="AT168" i="1" s="1"/>
  <c r="AT74" i="1"/>
  <c r="AT165" i="1" s="1"/>
  <c r="AT32" i="1"/>
  <c r="AT161" i="1" s="1"/>
  <c r="AT28" i="1"/>
  <c r="AT158" i="1" s="1"/>
  <c r="AS63" i="1"/>
  <c r="AS154" i="1" s="1"/>
  <c r="L5" i="1"/>
  <c r="L109" i="1" l="1"/>
  <c r="L143" i="1"/>
  <c r="L139" i="1"/>
  <c r="L136" i="1"/>
  <c r="L147" i="1"/>
  <c r="L124" i="1"/>
  <c r="AT63" i="1"/>
  <c r="AT154" i="1" s="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E153" i="1"/>
  <c r="C153" i="1"/>
  <c r="E152" i="1"/>
  <c r="C152" i="1"/>
  <c r="E151" i="1"/>
  <c r="C151" i="1"/>
  <c r="E150" i="1" l="1"/>
  <c r="C150" i="1"/>
  <c r="M52" i="1"/>
  <c r="K52" i="1" s="1"/>
  <c r="L52" i="1" s="1"/>
  <c r="M38" i="1"/>
  <c r="K38" i="1" s="1"/>
  <c r="L38" i="1" s="1"/>
  <c r="M68" i="1"/>
  <c r="K68" i="1" s="1"/>
  <c r="L68" i="1" s="1"/>
  <c r="M18" i="1"/>
  <c r="K18" i="1" s="1"/>
  <c r="L18" i="1" s="1"/>
  <c r="M67" i="1"/>
  <c r="K67" i="1" s="1"/>
  <c r="L67" i="1" s="1"/>
  <c r="M53" i="1"/>
  <c r="K53" i="1" s="1"/>
  <c r="L53" i="1" s="1"/>
  <c r="M31" i="1"/>
  <c r="K31" i="1" s="1"/>
  <c r="L31" i="1" s="1"/>
  <c r="M60" i="1"/>
  <c r="K60" i="1" s="1"/>
  <c r="L60" i="1" s="1"/>
  <c r="M59" i="1"/>
  <c r="K59" i="1" s="1"/>
  <c r="L59" i="1" s="1"/>
  <c r="M58" i="1"/>
  <c r="K58" i="1" s="1"/>
  <c r="L58" i="1" s="1"/>
  <c r="M57" i="1"/>
  <c r="K57" i="1" s="1"/>
  <c r="L57" i="1" s="1"/>
  <c r="M56" i="1"/>
  <c r="K56" i="1" s="1"/>
  <c r="L56" i="1" s="1"/>
  <c r="M55" i="1"/>
  <c r="K55" i="1" s="1"/>
  <c r="M149" i="1"/>
  <c r="K149" i="1" s="1"/>
  <c r="L149" i="1" s="1"/>
  <c r="M51" i="1"/>
  <c r="K51" i="1" s="1"/>
  <c r="L51" i="1" s="1"/>
  <c r="M47" i="1"/>
  <c r="K47" i="1" s="1"/>
  <c r="L47" i="1" s="1"/>
  <c r="M89" i="1"/>
  <c r="K89" i="1" s="1"/>
  <c r="L89" i="1" s="1"/>
  <c r="M37" i="1"/>
  <c r="K37" i="1" s="1"/>
  <c r="L37" i="1" s="1"/>
  <c r="M36" i="1"/>
  <c r="K36" i="1" s="1"/>
  <c r="L36" i="1" s="1"/>
  <c r="M35" i="1"/>
  <c r="K35" i="1" s="1"/>
  <c r="L35" i="1" s="1"/>
  <c r="M34" i="1"/>
  <c r="K34" i="1" s="1"/>
  <c r="L34" i="1" s="1"/>
  <c r="M33" i="1"/>
  <c r="K33" i="1" s="1"/>
  <c r="L33" i="1" s="1"/>
  <c r="M88" i="1"/>
  <c r="K88" i="1" s="1"/>
  <c r="L88" i="1" s="1"/>
  <c r="M87" i="1"/>
  <c r="K87" i="1" s="1"/>
  <c r="L87" i="1" s="1"/>
  <c r="M86" i="1"/>
  <c r="K86" i="1" s="1"/>
  <c r="L86" i="1" s="1"/>
  <c r="M79" i="1"/>
  <c r="K79" i="1" s="1"/>
  <c r="L79" i="1" s="1"/>
  <c r="M78" i="1"/>
  <c r="K78" i="1" s="1"/>
  <c r="L78" i="1" s="1"/>
  <c r="M27" i="1"/>
  <c r="K27" i="1" s="1"/>
  <c r="L27" i="1" s="1"/>
  <c r="M25" i="1"/>
  <c r="K25" i="1" s="1"/>
  <c r="L25" i="1" s="1"/>
  <c r="M50" i="1"/>
  <c r="K50" i="1" s="1"/>
  <c r="L50" i="1" s="1"/>
  <c r="M77" i="1"/>
  <c r="K77" i="1" s="1"/>
  <c r="L77" i="1" s="1"/>
  <c r="M22" i="1"/>
  <c r="K22" i="1" s="1"/>
  <c r="L22" i="1" s="1"/>
  <c r="M21" i="1"/>
  <c r="K21" i="1" s="1"/>
  <c r="L21" i="1" s="1"/>
  <c r="M73" i="1"/>
  <c r="K73" i="1" s="1"/>
  <c r="L73" i="1" s="1"/>
  <c r="M17" i="1"/>
  <c r="K17" i="1" s="1"/>
  <c r="L17" i="1" s="1"/>
  <c r="M24" i="1"/>
  <c r="K24" i="1" s="1"/>
  <c r="L24" i="1" s="1"/>
  <c r="M12" i="1"/>
  <c r="K12" i="1" s="1"/>
  <c r="L12" i="1" s="1"/>
  <c r="M49" i="1"/>
  <c r="K49" i="1" s="1"/>
  <c r="L49" i="1" s="1"/>
  <c r="M20" i="1"/>
  <c r="K20" i="1" s="1"/>
  <c r="L20" i="1" s="1"/>
  <c r="M19" i="1"/>
  <c r="K19" i="1" s="1"/>
  <c r="L19" i="1" s="1"/>
  <c r="M16" i="1"/>
  <c r="K16" i="1" s="1"/>
  <c r="L16" i="1" s="1"/>
  <c r="M14" i="1"/>
  <c r="K14" i="1" s="1"/>
  <c r="L14" i="1" s="1"/>
  <c r="M13" i="1"/>
  <c r="K13" i="1" s="1"/>
  <c r="L13" i="1" s="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L55" i="1" l="1"/>
  <c r="AP152" i="1"/>
  <c r="AS152" i="1"/>
  <c r="AO152" i="1"/>
  <c r="AT152" i="1"/>
  <c r="AV152" i="1"/>
  <c r="AD152" i="1"/>
  <c r="AE152" i="1"/>
  <c r="AR152" i="1"/>
  <c r="AW152" i="1"/>
  <c r="AJ152" i="1"/>
  <c r="AQ152" i="1"/>
  <c r="AU152" i="1"/>
  <c r="AL152" i="1"/>
  <c r="Z152" i="1"/>
  <c r="Y152" i="1"/>
  <c r="AG152" i="1"/>
  <c r="AA152" i="1"/>
  <c r="AK152" i="1"/>
  <c r="AB152" i="1"/>
  <c r="AI152" i="1"/>
  <c r="AH152" i="1"/>
  <c r="AF152" i="1"/>
  <c r="AM152" i="1"/>
  <c r="AN152"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M80" i="1"/>
  <c r="K80" i="1" s="1"/>
  <c r="AT80" i="1" s="1"/>
  <c r="AT171" i="1" s="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AA71" i="1" l="1"/>
  <c r="AA179" i="1" s="1"/>
  <c r="Z71" i="1"/>
  <c r="Z179" i="1" s="1"/>
  <c r="AB71" i="1"/>
  <c r="AB179" i="1" s="1"/>
  <c r="Y71" i="1"/>
  <c r="Y179" i="1" s="1"/>
  <c r="AX92" i="1"/>
  <c r="AX183" i="1" s="1"/>
  <c r="Z92" i="1"/>
  <c r="Z183" i="1" s="1"/>
  <c r="AY92" i="1"/>
  <c r="AY183" i="1" s="1"/>
  <c r="Y92" i="1"/>
  <c r="Y183" i="1" s="1"/>
  <c r="AB92" i="1"/>
  <c r="AB183" i="1" s="1"/>
  <c r="AA92" i="1"/>
  <c r="AA183" i="1" s="1"/>
  <c r="AZ92" i="1"/>
  <c r="AZ183" i="1" s="1"/>
  <c r="Y96" i="1"/>
  <c r="Y187" i="1" s="1"/>
  <c r="AA96" i="1"/>
  <c r="AA187" i="1" s="1"/>
  <c r="Z96" i="1"/>
  <c r="Z187" i="1" s="1"/>
  <c r="AB96" i="1"/>
  <c r="AB187" i="1" s="1"/>
  <c r="AB100" i="1"/>
  <c r="AB191" i="1" s="1"/>
  <c r="AA100" i="1"/>
  <c r="AA191" i="1" s="1"/>
  <c r="Z100" i="1"/>
  <c r="Z191" i="1" s="1"/>
  <c r="Y100" i="1"/>
  <c r="Y191" i="1" s="1"/>
  <c r="AZ65" i="1"/>
  <c r="AZ156" i="1" s="1"/>
  <c r="AB65" i="1"/>
  <c r="AB156" i="1" s="1"/>
  <c r="AY65" i="1"/>
  <c r="AY156" i="1" s="1"/>
  <c r="AA65" i="1"/>
  <c r="AA156" i="1" s="1"/>
  <c r="AX65" i="1"/>
  <c r="AX156" i="1" s="1"/>
  <c r="Z65" i="1"/>
  <c r="Z156" i="1" s="1"/>
  <c r="Y65" i="1"/>
  <c r="Y156" i="1" s="1"/>
  <c r="AX40" i="1"/>
  <c r="AX163" i="1" s="1"/>
  <c r="Z40" i="1"/>
  <c r="Z163" i="1" s="1"/>
  <c r="AW40" i="1"/>
  <c r="AW163" i="1" s="1"/>
  <c r="Y40" i="1"/>
  <c r="Y163" i="1" s="1"/>
  <c r="AV40" i="1"/>
  <c r="AV163" i="1" s="1"/>
  <c r="AU40" i="1"/>
  <c r="AU163" i="1" s="1"/>
  <c r="AT40" i="1"/>
  <c r="AT163" i="1" s="1"/>
  <c r="AS40" i="1"/>
  <c r="AS163" i="1" s="1"/>
  <c r="AR40" i="1"/>
  <c r="AR163" i="1" s="1"/>
  <c r="AQ40" i="1"/>
  <c r="AQ163" i="1" s="1"/>
  <c r="AP40" i="1"/>
  <c r="AP163" i="1" s="1"/>
  <c r="AO40" i="1"/>
  <c r="AO163" i="1" s="1"/>
  <c r="AN40" i="1"/>
  <c r="AN163" i="1" s="1"/>
  <c r="AM40" i="1"/>
  <c r="AM163" i="1" s="1"/>
  <c r="AL40" i="1"/>
  <c r="AL163" i="1" s="1"/>
  <c r="AK40" i="1"/>
  <c r="AK163" i="1" s="1"/>
  <c r="AJ40" i="1"/>
  <c r="AJ163" i="1" s="1"/>
  <c r="AI40" i="1"/>
  <c r="AI163" i="1" s="1"/>
  <c r="AH40" i="1"/>
  <c r="AH163" i="1" s="1"/>
  <c r="AG40" i="1"/>
  <c r="AG163" i="1" s="1"/>
  <c r="AF40" i="1"/>
  <c r="AF163" i="1" s="1"/>
  <c r="AE40" i="1"/>
  <c r="AE163" i="1" s="1"/>
  <c r="AD40" i="1"/>
  <c r="AD163" i="1" s="1"/>
  <c r="AC40" i="1"/>
  <c r="AC163" i="1" s="1"/>
  <c r="AZ40" i="1"/>
  <c r="AZ163" i="1" s="1"/>
  <c r="AB40" i="1"/>
  <c r="AB163" i="1" s="1"/>
  <c r="AY40" i="1"/>
  <c r="AY163" i="1" s="1"/>
  <c r="AA40" i="1"/>
  <c r="AA163" i="1" s="1"/>
  <c r="AZ3" i="1"/>
  <c r="AB3" i="1"/>
  <c r="AY3" i="1"/>
  <c r="AA3" i="1"/>
  <c r="AX3" i="1"/>
  <c r="Z3" i="1"/>
  <c r="Y3" i="1"/>
  <c r="AZ4" i="1"/>
  <c r="AB4" i="1"/>
  <c r="Z4" i="1"/>
  <c r="AX4" i="1"/>
  <c r="AA4" i="1"/>
  <c r="Y4" i="1"/>
  <c r="AY4" i="1"/>
  <c r="Z151" i="1" l="1"/>
  <c r="AB151" i="1"/>
  <c r="AZ151" i="1"/>
  <c r="AX151" i="1"/>
  <c r="AY151" i="1"/>
  <c r="Y151" i="1"/>
  <c r="AA151" i="1"/>
  <c r="L71" i="1"/>
  <c r="L3" i="1"/>
  <c r="L40" i="1"/>
  <c r="L92" i="1"/>
  <c r="L4" i="1"/>
  <c r="L96" i="1"/>
  <c r="L100" i="1"/>
  <c r="L65" i="1"/>
  <c r="AK150" i="1" l="1"/>
  <c r="AW150" i="1"/>
  <c r="AJ150" i="1"/>
  <c r="AI150" i="1"/>
  <c r="AD150" i="1"/>
  <c r="Z150" i="1"/>
  <c r="AH150" i="1"/>
  <c r="AX150" i="1"/>
  <c r="AG150" i="1"/>
  <c r="AT150" i="1"/>
  <c r="AF150" i="1"/>
  <c r="AB150" i="1"/>
  <c r="AE150" i="1"/>
  <c r="AV150" i="1"/>
  <c r="AC150" i="1"/>
  <c r="AZ150" i="1"/>
  <c r="AA150" i="1"/>
  <c r="AY150" i="1"/>
  <c r="AR150" i="1"/>
  <c r="AQ150" i="1"/>
  <c r="AL150" i="1"/>
  <c r="AM150" i="1"/>
  <c r="AN150" i="1"/>
  <c r="AP150" i="1"/>
  <c r="AO150" i="1"/>
  <c r="AU150" i="1"/>
  <c r="AS150" i="1"/>
  <c r="M6" i="1"/>
  <c r="K6" i="1" s="1"/>
  <c r="L6" i="1" s="1"/>
  <c r="Y150" i="1" l="1"/>
  <c r="L9" i="1"/>
  <c r="M75" i="1"/>
  <c r="M121" i="1"/>
  <c r="M129" i="1"/>
  <c r="K129" i="1" s="1"/>
  <c r="M115" i="1"/>
  <c r="K115" i="1" s="1"/>
  <c r="M106" i="1"/>
  <c r="K106" i="1" s="1"/>
  <c r="M104" i="1"/>
  <c r="K104" i="1" s="1"/>
  <c r="M99" i="1"/>
  <c r="M70" i="1"/>
  <c r="M95" i="1"/>
  <c r="M84" i="1"/>
  <c r="M61" i="1"/>
  <c r="M29" i="1"/>
  <c r="K121" i="1" l="1"/>
  <c r="K61" i="1"/>
  <c r="AF61" i="1" s="1"/>
  <c r="AF169" i="1" s="1"/>
  <c r="K95" i="1"/>
  <c r="AI95" i="1" s="1"/>
  <c r="AI186" i="1" s="1"/>
  <c r="K99" i="1"/>
  <c r="AA99" i="1" s="1"/>
  <c r="AA190" i="1" s="1"/>
  <c r="K29" i="1"/>
  <c r="AS29" i="1" s="1"/>
  <c r="AS159" i="1" s="1"/>
  <c r="K84" i="1"/>
  <c r="AK84" i="1" s="1"/>
  <c r="AK175" i="1" s="1"/>
  <c r="K70" i="1"/>
  <c r="AP70" i="1" s="1"/>
  <c r="AP178" i="1" s="1"/>
  <c r="K75" i="1"/>
  <c r="AN75" i="1" s="1"/>
  <c r="AN166" i="1" s="1"/>
  <c r="AE104" i="1"/>
  <c r="AE194" i="1" s="1"/>
  <c r="AD104" i="1"/>
  <c r="AD194" i="1" s="1"/>
  <c r="AC104" i="1"/>
  <c r="AC194" i="1" s="1"/>
  <c r="Y104" i="1"/>
  <c r="Y194" i="1" s="1"/>
  <c r="AF104" i="1"/>
  <c r="AF194" i="1" s="1"/>
  <c r="AB104" i="1"/>
  <c r="AB194" i="1" s="1"/>
  <c r="AA104" i="1"/>
  <c r="AA194" i="1" s="1"/>
  <c r="Z104" i="1"/>
  <c r="Z194" i="1" s="1"/>
  <c r="Y129" i="1"/>
  <c r="Y209" i="1" s="1"/>
  <c r="AF129" i="1"/>
  <c r="AF209" i="1" s="1"/>
  <c r="AD129" i="1"/>
  <c r="AD209" i="1" s="1"/>
  <c r="AE129" i="1"/>
  <c r="AE209" i="1" s="1"/>
  <c r="AC129" i="1"/>
  <c r="AC209" i="1" s="1"/>
  <c r="AB129" i="1"/>
  <c r="AB209" i="1" s="1"/>
  <c r="AA129" i="1"/>
  <c r="AA209" i="1" s="1"/>
  <c r="Z129" i="1"/>
  <c r="Z209" i="1" s="1"/>
  <c r="Z106" i="1"/>
  <c r="Z197" i="1" s="1"/>
  <c r="AF106" i="1"/>
  <c r="AF197" i="1" s="1"/>
  <c r="AE106" i="1"/>
  <c r="AE197" i="1" s="1"/>
  <c r="AD106" i="1"/>
  <c r="AD197" i="1" s="1"/>
  <c r="AC106" i="1"/>
  <c r="AC197" i="1" s="1"/>
  <c r="AB106" i="1"/>
  <c r="AB197" i="1" s="1"/>
  <c r="AA106" i="1"/>
  <c r="AA197" i="1" s="1"/>
  <c r="Y106" i="1"/>
  <c r="Y197" i="1" s="1"/>
  <c r="AF115" i="1"/>
  <c r="AF206" i="1" s="1"/>
  <c r="AE115" i="1"/>
  <c r="AE206" i="1" s="1"/>
  <c r="AD115" i="1"/>
  <c r="AD206" i="1" s="1"/>
  <c r="Z115" i="1"/>
  <c r="Z206" i="1" s="1"/>
  <c r="AC115" i="1"/>
  <c r="AC206" i="1" s="1"/>
  <c r="AB115" i="1"/>
  <c r="AB206" i="1" s="1"/>
  <c r="AA115" i="1"/>
  <c r="AA206" i="1" s="1"/>
  <c r="Y115" i="1"/>
  <c r="Y206" i="1" s="1"/>
  <c r="Y39" i="1"/>
  <c r="Y162" i="1" s="1"/>
  <c r="AC152" i="1"/>
  <c r="AZ152" i="1"/>
  <c r="AY152" i="1"/>
  <c r="AX152" i="1"/>
  <c r="AK91" i="1"/>
  <c r="AK182" i="1" s="1"/>
  <c r="AJ91" i="1"/>
  <c r="AJ182" i="1" s="1"/>
  <c r="AI91" i="1"/>
  <c r="AI182" i="1" s="1"/>
  <c r="AH91" i="1"/>
  <c r="AH182" i="1" s="1"/>
  <c r="AG91" i="1"/>
  <c r="AG182" i="1" s="1"/>
  <c r="AU91" i="1"/>
  <c r="AU182" i="1" s="1"/>
  <c r="AS91" i="1"/>
  <c r="AS182" i="1" s="1"/>
  <c r="AR91" i="1"/>
  <c r="AR182" i="1" s="1"/>
  <c r="AP91" i="1"/>
  <c r="AP182" i="1" s="1"/>
  <c r="AN91" i="1"/>
  <c r="AN182" i="1" s="1"/>
  <c r="AL91" i="1"/>
  <c r="AL182" i="1" s="1"/>
  <c r="AE91" i="1"/>
  <c r="AE182" i="1" s="1"/>
  <c r="AT91" i="1"/>
  <c r="AT182" i="1" s="1"/>
  <c r="AQ91" i="1"/>
  <c r="AQ182" i="1" s="1"/>
  <c r="AO91" i="1"/>
  <c r="AO182" i="1" s="1"/>
  <c r="AM91" i="1"/>
  <c r="AM182" i="1" s="1"/>
  <c r="AC91" i="1"/>
  <c r="AC182" i="1" s="1"/>
  <c r="AB91" i="1"/>
  <c r="AB182" i="1" s="1"/>
  <c r="AA91" i="1"/>
  <c r="AA182" i="1" s="1"/>
  <c r="Z91" i="1"/>
  <c r="Z182" i="1" s="1"/>
  <c r="Y91" i="1"/>
  <c r="Y182" i="1" s="1"/>
  <c r="AV91" i="1"/>
  <c r="AV182" i="1" s="1"/>
  <c r="AD91" i="1"/>
  <c r="AD182" i="1" s="1"/>
  <c r="AZ91" i="1"/>
  <c r="AZ182" i="1" s="1"/>
  <c r="AY91" i="1"/>
  <c r="AY182" i="1" s="1"/>
  <c r="AX91" i="1"/>
  <c r="AX182" i="1" s="1"/>
  <c r="AW91" i="1"/>
  <c r="AW182" i="1" s="1"/>
  <c r="AC64" i="1"/>
  <c r="AC155" i="1" s="1"/>
  <c r="AZ64" i="1"/>
  <c r="AZ155" i="1" s="1"/>
  <c r="AB64" i="1"/>
  <c r="AB155" i="1" s="1"/>
  <c r="AY64" i="1"/>
  <c r="AY155" i="1" s="1"/>
  <c r="AA64" i="1"/>
  <c r="AA155" i="1" s="1"/>
  <c r="AX64" i="1"/>
  <c r="AX155" i="1" s="1"/>
  <c r="Z64" i="1"/>
  <c r="Z155" i="1" s="1"/>
  <c r="AW64" i="1"/>
  <c r="AW155" i="1" s="1"/>
  <c r="Y64" i="1"/>
  <c r="Y155" i="1" s="1"/>
  <c r="AK64" i="1"/>
  <c r="AK155" i="1" s="1"/>
  <c r="AI64" i="1"/>
  <c r="AI155" i="1" s="1"/>
  <c r="AH64" i="1"/>
  <c r="AH155" i="1" s="1"/>
  <c r="AG64" i="1"/>
  <c r="AG155" i="1" s="1"/>
  <c r="AE64" i="1"/>
  <c r="AE155" i="1" s="1"/>
  <c r="AJ64" i="1"/>
  <c r="AJ155" i="1" s="1"/>
  <c r="AD64" i="1"/>
  <c r="AD155" i="1" s="1"/>
  <c r="AV64" i="1"/>
  <c r="AV155" i="1" s="1"/>
  <c r="AU64" i="1"/>
  <c r="AU155" i="1" s="1"/>
  <c r="AQ64" i="1"/>
  <c r="AQ155" i="1" s="1"/>
  <c r="AT64" i="1"/>
  <c r="AT155" i="1" s="1"/>
  <c r="AS64" i="1"/>
  <c r="AS155" i="1" s="1"/>
  <c r="AR64" i="1"/>
  <c r="AR155" i="1" s="1"/>
  <c r="AP64" i="1"/>
  <c r="AP155" i="1" s="1"/>
  <c r="AO64" i="1"/>
  <c r="AO155" i="1" s="1"/>
  <c r="AN64" i="1"/>
  <c r="AN155" i="1" s="1"/>
  <c r="AM64" i="1"/>
  <c r="AM155" i="1" s="1"/>
  <c r="AL64" i="1"/>
  <c r="AL155" i="1" s="1"/>
  <c r="AZ81" i="1"/>
  <c r="AZ172" i="1" s="1"/>
  <c r="AB81" i="1"/>
  <c r="AB172" i="1" s="1"/>
  <c r="AY81" i="1"/>
  <c r="AY172" i="1" s="1"/>
  <c r="AA81" i="1"/>
  <c r="AA172" i="1" s="1"/>
  <c r="AX81" i="1"/>
  <c r="AX172" i="1" s="1"/>
  <c r="Z81" i="1"/>
  <c r="Z172" i="1" s="1"/>
  <c r="AW81" i="1"/>
  <c r="AW172" i="1" s="1"/>
  <c r="Y81" i="1"/>
  <c r="Y172" i="1" s="1"/>
  <c r="AV81" i="1"/>
  <c r="AV172" i="1" s="1"/>
  <c r="AP81" i="1"/>
  <c r="AP172" i="1" s="1"/>
  <c r="AN81" i="1"/>
  <c r="AN172" i="1" s="1"/>
  <c r="AK81" i="1"/>
  <c r="AK172" i="1" s="1"/>
  <c r="AI81" i="1"/>
  <c r="AI172" i="1" s="1"/>
  <c r="AG81" i="1"/>
  <c r="AG172" i="1" s="1"/>
  <c r="AE81" i="1"/>
  <c r="AE172" i="1" s="1"/>
  <c r="AO81" i="1"/>
  <c r="AO172" i="1" s="1"/>
  <c r="AM81" i="1"/>
  <c r="AM172" i="1" s="1"/>
  <c r="AL81" i="1"/>
  <c r="AL172" i="1" s="1"/>
  <c r="AJ81" i="1"/>
  <c r="AJ172" i="1" s="1"/>
  <c r="AH81" i="1"/>
  <c r="AH172" i="1" s="1"/>
  <c r="AU81" i="1"/>
  <c r="AU172" i="1" s="1"/>
  <c r="AT81" i="1"/>
  <c r="AT172" i="1" s="1"/>
  <c r="AS81" i="1"/>
  <c r="AS172" i="1" s="1"/>
  <c r="AR81" i="1"/>
  <c r="AR172" i="1" s="1"/>
  <c r="AQ81" i="1"/>
  <c r="AQ172" i="1" s="1"/>
  <c r="AD81" i="1"/>
  <c r="AD172" i="1" s="1"/>
  <c r="AC81" i="1"/>
  <c r="AC172" i="1" s="1"/>
  <c r="AG127" i="1"/>
  <c r="AG218" i="1" s="1"/>
  <c r="AF127" i="1"/>
  <c r="AF218" i="1" s="1"/>
  <c r="AE127" i="1"/>
  <c r="AE218" i="1" s="1"/>
  <c r="AC127" i="1"/>
  <c r="AC218" i="1" s="1"/>
  <c r="AB127" i="1"/>
  <c r="AB218" i="1" s="1"/>
  <c r="AA127" i="1"/>
  <c r="AA218" i="1" s="1"/>
  <c r="Z127" i="1"/>
  <c r="Z218" i="1" s="1"/>
  <c r="AD127" i="1"/>
  <c r="AD218" i="1" s="1"/>
  <c r="Y127" i="1"/>
  <c r="Y218" i="1" s="1"/>
  <c r="AI127" i="1"/>
  <c r="AI218" i="1" s="1"/>
  <c r="AH127" i="1"/>
  <c r="AH218" i="1" s="1"/>
  <c r="AF133" i="1"/>
  <c r="AF221" i="1" s="1"/>
  <c r="AG133" i="1"/>
  <c r="AG221" i="1" s="1"/>
  <c r="AH133" i="1"/>
  <c r="AH221" i="1" s="1"/>
  <c r="AI133" i="1"/>
  <c r="AI221" i="1" s="1"/>
  <c r="AA133" i="1"/>
  <c r="AA221" i="1" s="1"/>
  <c r="AE133" i="1"/>
  <c r="AE221" i="1" s="1"/>
  <c r="AD133" i="1"/>
  <c r="AD221" i="1" s="1"/>
  <c r="AC133" i="1"/>
  <c r="AC221" i="1" s="1"/>
  <c r="AB133" i="1"/>
  <c r="AB221" i="1" s="1"/>
  <c r="Z133" i="1"/>
  <c r="Z221" i="1" s="1"/>
  <c r="Y133" i="1"/>
  <c r="Y221" i="1" s="1"/>
  <c r="AI61" i="1" l="1"/>
  <c r="AI169" i="1" s="1"/>
  <c r="AJ61" i="1"/>
  <c r="AJ169" i="1" s="1"/>
  <c r="AD61" i="1"/>
  <c r="AD169" i="1" s="1"/>
  <c r="AJ95" i="1"/>
  <c r="AJ186" i="1" s="1"/>
  <c r="AQ95" i="1"/>
  <c r="AQ186" i="1" s="1"/>
  <c r="AS95" i="1"/>
  <c r="AS186" i="1" s="1"/>
  <c r="AC95" i="1"/>
  <c r="AC186" i="1" s="1"/>
  <c r="Y61" i="1"/>
  <c r="Y169" i="1" s="1"/>
  <c r="AD95" i="1"/>
  <c r="AD186" i="1" s="1"/>
  <c r="AN95" i="1"/>
  <c r="AN186" i="1" s="1"/>
  <c r="AB95" i="1"/>
  <c r="AB186" i="1" s="1"/>
  <c r="AY61" i="1"/>
  <c r="AY169" i="1" s="1"/>
  <c r="AH61" i="1"/>
  <c r="AH169" i="1" s="1"/>
  <c r="AE95" i="1"/>
  <c r="AE186" i="1" s="1"/>
  <c r="AO61" i="1"/>
  <c r="AO169" i="1" s="1"/>
  <c r="Z61" i="1"/>
  <c r="Z169" i="1" s="1"/>
  <c r="AA61" i="1"/>
  <c r="AA169" i="1" s="1"/>
  <c r="AL95" i="1"/>
  <c r="AL186" i="1" s="1"/>
  <c r="AP95" i="1"/>
  <c r="AP186" i="1" s="1"/>
  <c r="AB61" i="1"/>
  <c r="AB169" i="1" s="1"/>
  <c r="AK61" i="1"/>
  <c r="AK169" i="1" s="1"/>
  <c r="AL61" i="1"/>
  <c r="AL169" i="1" s="1"/>
  <c r="AM61" i="1"/>
  <c r="AM169" i="1" s="1"/>
  <c r="AN61" i="1"/>
  <c r="AN169" i="1" s="1"/>
  <c r="AP61" i="1"/>
  <c r="AP169" i="1" s="1"/>
  <c r="AC61" i="1"/>
  <c r="AC169" i="1" s="1"/>
  <c r="AE61" i="1"/>
  <c r="AE169" i="1" s="1"/>
  <c r="AG61" i="1"/>
  <c r="AG169" i="1" s="1"/>
  <c r="AZ29" i="1"/>
  <c r="AZ159" i="1" s="1"/>
  <c r="AB99" i="1"/>
  <c r="AB190" i="1" s="1"/>
  <c r="AI99" i="1"/>
  <c r="AI190" i="1" s="1"/>
  <c r="AC99" i="1"/>
  <c r="AC190" i="1" s="1"/>
  <c r="AD99" i="1"/>
  <c r="AD190" i="1" s="1"/>
  <c r="AN99" i="1"/>
  <c r="AN190" i="1" s="1"/>
  <c r="AE99" i="1"/>
  <c r="AE190" i="1" s="1"/>
  <c r="AH99" i="1"/>
  <c r="AH190" i="1" s="1"/>
  <c r="AQ99" i="1"/>
  <c r="AQ190" i="1" s="1"/>
  <c r="Y99" i="1"/>
  <c r="Y190" i="1" s="1"/>
  <c r="AP99" i="1"/>
  <c r="AP190" i="1" s="1"/>
  <c r="Z99" i="1"/>
  <c r="Z190" i="1" s="1"/>
  <c r="AO70" i="1"/>
  <c r="AO178" i="1" s="1"/>
  <c r="AQ61" i="1"/>
  <c r="AQ169" i="1" s="1"/>
  <c r="AR61" i="1"/>
  <c r="AR169" i="1" s="1"/>
  <c r="AS61" i="1"/>
  <c r="AS169" i="1" s="1"/>
  <c r="AT61" i="1"/>
  <c r="AT169" i="1" s="1"/>
  <c r="Y29" i="1"/>
  <c r="Y159" i="1" s="1"/>
  <c r="AU61" i="1"/>
  <c r="AU169" i="1" s="1"/>
  <c r="AA29" i="1"/>
  <c r="AA159" i="1" s="1"/>
  <c r="AE29" i="1"/>
  <c r="AE159" i="1" s="1"/>
  <c r="AD29" i="1"/>
  <c r="AD159" i="1" s="1"/>
  <c r="AC29" i="1"/>
  <c r="AC159" i="1" s="1"/>
  <c r="AT29" i="1"/>
  <c r="AT159" i="1" s="1"/>
  <c r="AU29" i="1"/>
  <c r="AU159" i="1" s="1"/>
  <c r="AG29" i="1"/>
  <c r="AG159" i="1" s="1"/>
  <c r="AB29" i="1"/>
  <c r="AB159" i="1" s="1"/>
  <c r="AV29" i="1"/>
  <c r="AV159" i="1" s="1"/>
  <c r="Y95" i="1"/>
  <c r="Y186" i="1" s="1"/>
  <c r="AV61" i="1"/>
  <c r="AV169" i="1" s="1"/>
  <c r="AW61" i="1"/>
  <c r="AW169" i="1" s="1"/>
  <c r="Z95" i="1"/>
  <c r="Z186" i="1" s="1"/>
  <c r="AA95" i="1"/>
  <c r="AA186" i="1" s="1"/>
  <c r="AX61" i="1"/>
  <c r="AX169" i="1" s="1"/>
  <c r="AZ61" i="1"/>
  <c r="AZ169" i="1" s="1"/>
  <c r="AH95" i="1"/>
  <c r="AH186" i="1" s="1"/>
  <c r="AG95" i="1"/>
  <c r="AG186" i="1" s="1"/>
  <c r="AR99" i="1"/>
  <c r="AR190" i="1" s="1"/>
  <c r="AW99" i="1"/>
  <c r="AW190" i="1" s="1"/>
  <c r="AV99" i="1"/>
  <c r="AV190" i="1" s="1"/>
  <c r="AU99" i="1"/>
  <c r="AU190" i="1" s="1"/>
  <c r="AF95" i="1"/>
  <c r="AF186" i="1" s="1"/>
  <c r="AW95" i="1"/>
  <c r="AW186" i="1" s="1"/>
  <c r="AV95" i="1"/>
  <c r="AV186" i="1" s="1"/>
  <c r="AU95" i="1"/>
  <c r="AU186" i="1" s="1"/>
  <c r="AM29" i="1"/>
  <c r="AM159" i="1" s="1"/>
  <c r="AL29" i="1"/>
  <c r="AL159" i="1" s="1"/>
  <c r="AN29" i="1"/>
  <c r="AN159" i="1" s="1"/>
  <c r="AT70" i="1"/>
  <c r="AT178" i="1" s="1"/>
  <c r="AW70" i="1"/>
  <c r="AW178" i="1" s="1"/>
  <c r="AV70" i="1"/>
  <c r="AV178" i="1" s="1"/>
  <c r="AU70" i="1"/>
  <c r="AU178" i="1" s="1"/>
  <c r="AO29" i="1"/>
  <c r="AO159" i="1" s="1"/>
  <c r="AP29" i="1"/>
  <c r="AP159" i="1" s="1"/>
  <c r="AQ29" i="1"/>
  <c r="AQ159" i="1" s="1"/>
  <c r="AM95" i="1"/>
  <c r="AM186" i="1" s="1"/>
  <c r="Z70" i="1"/>
  <c r="Z178" i="1" s="1"/>
  <c r="AA70" i="1"/>
  <c r="AA178" i="1" s="1"/>
  <c r="Y75" i="1"/>
  <c r="Y166" i="1" s="1"/>
  <c r="AQ75" i="1"/>
  <c r="AQ166" i="1" s="1"/>
  <c r="AB70" i="1"/>
  <c r="AB178" i="1" s="1"/>
  <c r="AP75" i="1"/>
  <c r="AP166" i="1" s="1"/>
  <c r="AD70" i="1"/>
  <c r="AD178" i="1" s="1"/>
  <c r="AH75" i="1"/>
  <c r="AH166" i="1" s="1"/>
  <c r="AE70" i="1"/>
  <c r="AE178" i="1" s="1"/>
  <c r="AI75" i="1"/>
  <c r="AI166" i="1" s="1"/>
  <c r="AG70" i="1"/>
  <c r="AG178" i="1" s="1"/>
  <c r="AK70" i="1"/>
  <c r="AK178" i="1" s="1"/>
  <c r="AR70" i="1"/>
  <c r="AR178" i="1" s="1"/>
  <c r="AL70" i="1"/>
  <c r="AL178" i="1" s="1"/>
  <c r="AI70" i="1"/>
  <c r="AI178" i="1" s="1"/>
  <c r="AN70" i="1"/>
  <c r="AN178" i="1" s="1"/>
  <c r="AG99" i="1"/>
  <c r="AG190" i="1" s="1"/>
  <c r="AJ99" i="1"/>
  <c r="AJ190" i="1" s="1"/>
  <c r="AK99" i="1"/>
  <c r="AK190" i="1" s="1"/>
  <c r="AV84" i="1"/>
  <c r="AV175" i="1" s="1"/>
  <c r="AW29" i="1"/>
  <c r="AW159" i="1" s="1"/>
  <c r="AX29" i="1"/>
  <c r="AX159" i="1" s="1"/>
  <c r="AY29" i="1"/>
  <c r="AY159" i="1" s="1"/>
  <c r="AH29" i="1"/>
  <c r="AH159" i="1" s="1"/>
  <c r="AW84" i="1"/>
  <c r="AW175" i="1" s="1"/>
  <c r="AJ29" i="1"/>
  <c r="AJ159" i="1" s="1"/>
  <c r="AX84" i="1"/>
  <c r="AX175" i="1" s="1"/>
  <c r="AD84" i="1"/>
  <c r="AD175" i="1" s="1"/>
  <c r="Z29" i="1"/>
  <c r="Z159" i="1" s="1"/>
  <c r="AY84" i="1"/>
  <c r="AY175" i="1" s="1"/>
  <c r="AO84" i="1"/>
  <c r="AO175" i="1" s="1"/>
  <c r="AE84" i="1"/>
  <c r="AE175" i="1" s="1"/>
  <c r="AG84" i="1"/>
  <c r="AG175" i="1" s="1"/>
  <c r="AL84" i="1"/>
  <c r="AL175" i="1" s="1"/>
  <c r="AS75" i="1"/>
  <c r="AS166" i="1" s="1"/>
  <c r="AT75" i="1"/>
  <c r="AT166" i="1" s="1"/>
  <c r="AM84" i="1"/>
  <c r="AM175" i="1" s="1"/>
  <c r="AR75" i="1"/>
  <c r="AR166" i="1" s="1"/>
  <c r="AU75" i="1"/>
  <c r="AU166" i="1" s="1"/>
  <c r="AN84" i="1"/>
  <c r="AN175" i="1" s="1"/>
  <c r="AV75" i="1"/>
  <c r="AV166" i="1" s="1"/>
  <c r="AP84" i="1"/>
  <c r="AP175" i="1" s="1"/>
  <c r="AW75" i="1"/>
  <c r="AW166" i="1" s="1"/>
  <c r="AQ84" i="1"/>
  <c r="AQ175" i="1" s="1"/>
  <c r="L133" i="1"/>
  <c r="AI84" i="1"/>
  <c r="AI175" i="1" s="1"/>
  <c r="AR84" i="1"/>
  <c r="AR175" i="1" s="1"/>
  <c r="AL75" i="1"/>
  <c r="AL166" i="1" s="1"/>
  <c r="AS84" i="1"/>
  <c r="AS175" i="1" s="1"/>
  <c r="AT84" i="1"/>
  <c r="AT175" i="1" s="1"/>
  <c r="AJ75" i="1"/>
  <c r="AJ166" i="1" s="1"/>
  <c r="AK75" i="1"/>
  <c r="AK166" i="1" s="1"/>
  <c r="AU84" i="1"/>
  <c r="AU175" i="1" s="1"/>
  <c r="AO95" i="1"/>
  <c r="AO186" i="1" s="1"/>
  <c r="AS70" i="1"/>
  <c r="AS178" i="1" s="1"/>
  <c r="AR95" i="1"/>
  <c r="AR186" i="1" s="1"/>
  <c r="AF29" i="1"/>
  <c r="AF159" i="1" s="1"/>
  <c r="AT95" i="1"/>
  <c r="AT186" i="1" s="1"/>
  <c r="AM70" i="1"/>
  <c r="AM178" i="1" s="1"/>
  <c r="AK95" i="1"/>
  <c r="AK186" i="1" s="1"/>
  <c r="AX75" i="1"/>
  <c r="AX166" i="1" s="1"/>
  <c r="AZ84" i="1"/>
  <c r="AZ175" i="1" s="1"/>
  <c r="AF84" i="1"/>
  <c r="AF175" i="1" s="1"/>
  <c r="AF75" i="1"/>
  <c r="AF166" i="1" s="1"/>
  <c r="Y84" i="1"/>
  <c r="Y175" i="1" s="1"/>
  <c r="AF99" i="1"/>
  <c r="AF190" i="1" s="1"/>
  <c r="AY75" i="1"/>
  <c r="AY166" i="1" s="1"/>
  <c r="AZ75" i="1"/>
  <c r="AZ166" i="1" s="1"/>
  <c r="Y70" i="1"/>
  <c r="Y178" i="1" s="1"/>
  <c r="AB75" i="1"/>
  <c r="AB166" i="1" s="1"/>
  <c r="AE75" i="1"/>
  <c r="AE166" i="1" s="1"/>
  <c r="AS99" i="1"/>
  <c r="AS190" i="1" s="1"/>
  <c r="AB84" i="1"/>
  <c r="AB175" i="1" s="1"/>
  <c r="AI29" i="1"/>
  <c r="AI159" i="1" s="1"/>
  <c r="AO75" i="1"/>
  <c r="AO166" i="1" s="1"/>
  <c r="AL99" i="1"/>
  <c r="AL190" i="1" s="1"/>
  <c r="AH70" i="1"/>
  <c r="AH178" i="1" s="1"/>
  <c r="AC84" i="1"/>
  <c r="AC175" i="1" s="1"/>
  <c r="AF70" i="1"/>
  <c r="AF178" i="1" s="1"/>
  <c r="AA75" i="1"/>
  <c r="AA166" i="1" s="1"/>
  <c r="AD75" i="1"/>
  <c r="AD166" i="1" s="1"/>
  <c r="AG75" i="1"/>
  <c r="AG166" i="1" s="1"/>
  <c r="AA84" i="1"/>
  <c r="AA175" i="1" s="1"/>
  <c r="AK29" i="1"/>
  <c r="AK159" i="1" s="1"/>
  <c r="Z75" i="1"/>
  <c r="Z166" i="1" s="1"/>
  <c r="AM99" i="1"/>
  <c r="AM190" i="1" s="1"/>
  <c r="AJ70" i="1"/>
  <c r="AJ178" i="1" s="1"/>
  <c r="AH84" i="1"/>
  <c r="AH175" i="1" s="1"/>
  <c r="AC70" i="1"/>
  <c r="AC178" i="1" s="1"/>
  <c r="Z84" i="1"/>
  <c r="Z175" i="1" s="1"/>
  <c r="AR29" i="1"/>
  <c r="AR159" i="1" s="1"/>
  <c r="AC75" i="1"/>
  <c r="AC166" i="1" s="1"/>
  <c r="AO99" i="1"/>
  <c r="AO190" i="1" s="1"/>
  <c r="AQ70" i="1"/>
  <c r="AQ178" i="1" s="1"/>
  <c r="AJ84" i="1"/>
  <c r="AJ175" i="1" s="1"/>
  <c r="AM75" i="1"/>
  <c r="AM166" i="1" s="1"/>
  <c r="AT99" i="1"/>
  <c r="AT190" i="1" s="1"/>
  <c r="L121" i="1"/>
  <c r="L129" i="1"/>
  <c r="L127" i="1"/>
  <c r="L64" i="1"/>
  <c r="L104" i="1"/>
  <c r="L106" i="1"/>
  <c r="L91" i="1"/>
  <c r="L81" i="1"/>
  <c r="L10" i="1"/>
  <c r="L115" i="1"/>
  <c r="AL39" i="1"/>
  <c r="AL162" i="1" s="1"/>
  <c r="AU39" i="1"/>
  <c r="AU162" i="1" s="1"/>
  <c r="AA39" i="1"/>
  <c r="AA162" i="1" s="1"/>
  <c r="AB39" i="1"/>
  <c r="AB162" i="1" s="1"/>
  <c r="AD39" i="1"/>
  <c r="AD162" i="1" s="1"/>
  <c r="AC39" i="1"/>
  <c r="AC162" i="1" s="1"/>
  <c r="AE39" i="1"/>
  <c r="AE162" i="1" s="1"/>
  <c r="AJ39" i="1"/>
  <c r="AJ162" i="1" s="1"/>
  <c r="AK39" i="1"/>
  <c r="AK162" i="1" s="1"/>
  <c r="AG39" i="1"/>
  <c r="AG162" i="1" s="1"/>
  <c r="AH39" i="1"/>
  <c r="AH162" i="1" s="1"/>
  <c r="AI39" i="1"/>
  <c r="AI162" i="1" s="1"/>
  <c r="AQ39" i="1"/>
  <c r="AQ162" i="1" s="1"/>
  <c r="AM39" i="1"/>
  <c r="AM162" i="1" s="1"/>
  <c r="AN39" i="1"/>
  <c r="AN162" i="1" s="1"/>
  <c r="AO39" i="1"/>
  <c r="AO162" i="1" s="1"/>
  <c r="AY39" i="1"/>
  <c r="AY162" i="1" s="1"/>
  <c r="AR39" i="1"/>
  <c r="AR162" i="1" s="1"/>
  <c r="Z39" i="1"/>
  <c r="Z162" i="1" s="1"/>
  <c r="AS39" i="1"/>
  <c r="AS162" i="1" s="1"/>
  <c r="AZ39" i="1"/>
  <c r="AZ162" i="1" s="1"/>
  <c r="AP39" i="1"/>
  <c r="AP162" i="1" s="1"/>
  <c r="AT39" i="1"/>
  <c r="AT162" i="1" s="1"/>
  <c r="AV39" i="1"/>
  <c r="AV162" i="1" s="1"/>
  <c r="AW39" i="1"/>
  <c r="AW162" i="1" s="1"/>
  <c r="AX39" i="1"/>
  <c r="AX162" i="1" s="1"/>
  <c r="L61" i="1" l="1"/>
  <c r="L84" i="1"/>
  <c r="L95" i="1"/>
  <c r="L29" i="1"/>
  <c r="L70" i="1"/>
  <c r="L75" i="1"/>
  <c r="L99" i="1"/>
  <c r="L39" i="1"/>
  <c r="AX132" i="1"/>
  <c r="AX220" i="1" s="1"/>
  <c r="AE105" i="1"/>
  <c r="AE196" i="1" s="1"/>
  <c r="AI103" i="1"/>
  <c r="AI193" i="1" s="1"/>
  <c r="AS80" i="1"/>
  <c r="AS171" i="1" s="1"/>
  <c r="AC126" i="1"/>
  <c r="AC217" i="1" s="1"/>
  <c r="AQ123" i="1"/>
  <c r="AQ214" i="1" s="1"/>
  <c r="AV111" i="1"/>
  <c r="AV202" i="1" s="1"/>
  <c r="AE83" i="1"/>
  <c r="AE174" i="1" s="1"/>
  <c r="AQ28" i="1"/>
  <c r="AQ158" i="1" s="1"/>
  <c r="AX142" i="1"/>
  <c r="AX223" i="1" s="1"/>
  <c r="AY119" i="1"/>
  <c r="AY208" i="1" s="1"/>
  <c r="AY114" i="1"/>
  <c r="AY205" i="1" s="1"/>
  <c r="AY108" i="1"/>
  <c r="AY199" i="1" s="1"/>
  <c r="AS146" i="1"/>
  <c r="AS229" i="1" s="1"/>
  <c r="AA63" i="1"/>
  <c r="AA154" i="1" s="1"/>
  <c r="AA132" i="1"/>
  <c r="AA220" i="1" s="1"/>
  <c r="AH90" i="1"/>
  <c r="AH181" i="1" s="1"/>
  <c r="Y90" i="1"/>
  <c r="Y181" i="1" s="1"/>
  <c r="AA90" i="1"/>
  <c r="AA181" i="1" s="1"/>
  <c r="AD90" i="1"/>
  <c r="AD181" i="1" s="1"/>
  <c r="AP90" i="1"/>
  <c r="AP181" i="1" s="1"/>
  <c r="Z90" i="1"/>
  <c r="Z181" i="1" s="1"/>
  <c r="AF90" i="1"/>
  <c r="AF181" i="1" s="1"/>
  <c r="AG105" i="1"/>
  <c r="AG196" i="1" s="1"/>
  <c r="AC90" i="1"/>
  <c r="AC181" i="1" s="1"/>
  <c r="AG90" i="1"/>
  <c r="AG181" i="1" s="1"/>
  <c r="AF105" i="1"/>
  <c r="AF196" i="1" s="1"/>
  <c r="AX90" i="1"/>
  <c r="AX181" i="1" s="1"/>
  <c r="AM105" i="1"/>
  <c r="AM196" i="1" s="1"/>
  <c r="AV90" i="1"/>
  <c r="AV181" i="1" s="1"/>
  <c r="AW90" i="1"/>
  <c r="AW181" i="1" s="1"/>
  <c r="AK98" i="1"/>
  <c r="AK189" i="1" s="1"/>
  <c r="AY90" i="1"/>
  <c r="AY181" i="1" s="1"/>
  <c r="AM98" i="1"/>
  <c r="AM189" i="1" s="1"/>
  <c r="AJ103" i="1"/>
  <c r="AJ193" i="1" s="1"/>
  <c r="AB132" i="1"/>
  <c r="AB220" i="1" s="1"/>
  <c r="AR98" i="1"/>
  <c r="AR189" i="1" s="1"/>
  <c r="AK103" i="1"/>
  <c r="AK193" i="1" s="1"/>
  <c r="AO132" i="1"/>
  <c r="AO220" i="1" s="1"/>
  <c r="AS98" i="1"/>
  <c r="AS189" i="1" s="1"/>
  <c r="AR146" i="1"/>
  <c r="AR229" i="1" s="1"/>
  <c r="AL103" i="1"/>
  <c r="AL193" i="1" s="1"/>
  <c r="AQ132" i="1"/>
  <c r="AQ220" i="1" s="1"/>
  <c r="Y119" i="1"/>
  <c r="Y208" i="1" s="1"/>
  <c r="AA119" i="1"/>
  <c r="AA208" i="1" s="1"/>
  <c r="AQ103" i="1"/>
  <c r="AQ193" i="1" s="1"/>
  <c r="AA69" i="1"/>
  <c r="AA177" i="1" s="1"/>
  <c r="AR103" i="1"/>
  <c r="AR193" i="1" s="1"/>
  <c r="AS103" i="1"/>
  <c r="AS193" i="1" s="1"/>
  <c r="AP123" i="1"/>
  <c r="AP214" i="1" s="1"/>
  <c r="AL114" i="1"/>
  <c r="AL205" i="1" s="1"/>
  <c r="Y63" i="1"/>
  <c r="Y154" i="1" s="1"/>
  <c r="AN114" i="1"/>
  <c r="AN205" i="1" s="1"/>
  <c r="Z63" i="1"/>
  <c r="Z154" i="1" s="1"/>
  <c r="AR114" i="1"/>
  <c r="AR205" i="1" s="1"/>
  <c r="AJ28" i="1"/>
  <c r="AJ158" i="1" s="1"/>
  <c r="AA94" i="1"/>
  <c r="AA185" i="1" s="1"/>
  <c r="AK142" i="1"/>
  <c r="AK223" i="1" s="1"/>
  <c r="AO142" i="1"/>
  <c r="AO223" i="1" s="1"/>
  <c r="AR142" i="1"/>
  <c r="AR223" i="1" s="1"/>
  <c r="AS114" i="1"/>
  <c r="AS205" i="1" s="1"/>
  <c r="AK28" i="1"/>
  <c r="AK158" i="1" s="1"/>
  <c r="AL28" i="1"/>
  <c r="AL158" i="1" s="1"/>
  <c r="AU114" i="1"/>
  <c r="AU205" i="1" s="1"/>
  <c r="AN28" i="1"/>
  <c r="AN158" i="1" s="1"/>
  <c r="AQ94" i="1"/>
  <c r="AQ185" i="1" s="1"/>
  <c r="AR132" i="1"/>
  <c r="AR220" i="1" s="1"/>
  <c r="AS132" i="1"/>
  <c r="AS220" i="1" s="1"/>
  <c r="AB108" i="1"/>
  <c r="AB199" i="1" s="1"/>
  <c r="AV114" i="1"/>
  <c r="AV205" i="1" s="1"/>
  <c r="AO28" i="1"/>
  <c r="AO158" i="1" s="1"/>
  <c r="AR94" i="1"/>
  <c r="AR185" i="1" s="1"/>
  <c r="AL142" i="1"/>
  <c r="AL223" i="1" s="1"/>
  <c r="AN142" i="1"/>
  <c r="AN223" i="1" s="1"/>
  <c r="AQ142" i="1"/>
  <c r="AQ223" i="1" s="1"/>
  <c r="AS142" i="1"/>
  <c r="AS223" i="1" s="1"/>
  <c r="AO94" i="1"/>
  <c r="AO185" i="1" s="1"/>
  <c r="AP94" i="1"/>
  <c r="AP185" i="1" s="1"/>
  <c r="AW114" i="1"/>
  <c r="AW205" i="1" s="1"/>
  <c r="AN146" i="1"/>
  <c r="AN229" i="1" s="1"/>
  <c r="AG83" i="1"/>
  <c r="AG174" i="1" s="1"/>
  <c r="AS94" i="1"/>
  <c r="AS185" i="1" s="1"/>
  <c r="AM142" i="1"/>
  <c r="AM223" i="1" s="1"/>
  <c r="AP142" i="1"/>
  <c r="AP223" i="1" s="1"/>
  <c r="AM114" i="1"/>
  <c r="AM205" i="1" s="1"/>
  <c r="AP114" i="1"/>
  <c r="AP205" i="1" s="1"/>
  <c r="AQ146" i="1"/>
  <c r="AQ229" i="1" s="1"/>
  <c r="AM83" i="1"/>
  <c r="AM174" i="1" s="1"/>
  <c r="AY32" i="1"/>
  <c r="AY161" i="1" s="1"/>
  <c r="AK32" i="1"/>
  <c r="AK161" i="1" s="1"/>
  <c r="AE32" i="1"/>
  <c r="AE161" i="1" s="1"/>
  <c r="AD32" i="1"/>
  <c r="AD161" i="1" s="1"/>
  <c r="AJ32" i="1"/>
  <c r="AJ161" i="1" s="1"/>
  <c r="AI32" i="1"/>
  <c r="AI161" i="1" s="1"/>
  <c r="AF32" i="1"/>
  <c r="AF161" i="1" s="1"/>
  <c r="AC32" i="1"/>
  <c r="AC161" i="1" s="1"/>
  <c r="AB32" i="1"/>
  <c r="AB161" i="1" s="1"/>
  <c r="AZ32" i="1"/>
  <c r="AZ161" i="1" s="1"/>
  <c r="AM32" i="1"/>
  <c r="AM161" i="1" s="1"/>
  <c r="AF28" i="1"/>
  <c r="AF158" i="1" s="1"/>
  <c r="AB28" i="1"/>
  <c r="AB158" i="1" s="1"/>
  <c r="AY28" i="1"/>
  <c r="AY158" i="1" s="1"/>
  <c r="AS28" i="1"/>
  <c r="AS158" i="1" s="1"/>
  <c r="AZ28" i="1"/>
  <c r="AZ158" i="1" s="1"/>
  <c r="AI28" i="1"/>
  <c r="AI158" i="1" s="1"/>
  <c r="AA28" i="1"/>
  <c r="AA158" i="1" s="1"/>
  <c r="AH28" i="1"/>
  <c r="AH158" i="1" s="1"/>
  <c r="AG28" i="1"/>
  <c r="AG158" i="1" s="1"/>
  <c r="AC28" i="1"/>
  <c r="AC158" i="1" s="1"/>
  <c r="AE28" i="1"/>
  <c r="AE158" i="1" s="1"/>
  <c r="AP28" i="1"/>
  <c r="AP158" i="1" s="1"/>
  <c r="AV146" i="1"/>
  <c r="AV229" i="1" s="1"/>
  <c r="AI146" i="1"/>
  <c r="AI229" i="1" s="1"/>
  <c r="AH146" i="1"/>
  <c r="AH229" i="1" s="1"/>
  <c r="AD146" i="1"/>
  <c r="AD229" i="1" s="1"/>
  <c r="AY146" i="1"/>
  <c r="AY229" i="1" s="1"/>
  <c r="AX146" i="1"/>
  <c r="AX229" i="1" s="1"/>
  <c r="AW146" i="1"/>
  <c r="AW229" i="1" s="1"/>
  <c r="AU146" i="1"/>
  <c r="AU229" i="1" s="1"/>
  <c r="AL146" i="1"/>
  <c r="AL229" i="1" s="1"/>
  <c r="AF146" i="1"/>
  <c r="AF229" i="1" s="1"/>
  <c r="AE146" i="1"/>
  <c r="AE229" i="1" s="1"/>
  <c r="AA146" i="1"/>
  <c r="AA229" i="1" s="1"/>
  <c r="AK146" i="1"/>
  <c r="AK229" i="1" s="1"/>
  <c r="AJ146" i="1"/>
  <c r="AJ229" i="1" s="1"/>
  <c r="AG146" i="1"/>
  <c r="AG229" i="1" s="1"/>
  <c r="AC146" i="1"/>
  <c r="AC229" i="1" s="1"/>
  <c r="AB146" i="1"/>
  <c r="AB229" i="1" s="1"/>
  <c r="Z146" i="1"/>
  <c r="Z229" i="1" s="1"/>
  <c r="Y146" i="1"/>
  <c r="Y229" i="1" s="1"/>
  <c r="AK63" i="1"/>
  <c r="AK154" i="1" s="1"/>
  <c r="AW63" i="1"/>
  <c r="AW154" i="1" s="1"/>
  <c r="AV63" i="1"/>
  <c r="AV154" i="1" s="1"/>
  <c r="AR63" i="1"/>
  <c r="AR154" i="1" s="1"/>
  <c r="AQ63" i="1"/>
  <c r="AQ154" i="1" s="1"/>
  <c r="AM63" i="1"/>
  <c r="AM154" i="1" s="1"/>
  <c r="AP63" i="1"/>
  <c r="AP154" i="1" s="1"/>
  <c r="AO63" i="1"/>
  <c r="AO154" i="1" s="1"/>
  <c r="AN63" i="1"/>
  <c r="AN154" i="1" s="1"/>
  <c r="AU63" i="1"/>
  <c r="AU154" i="1" s="1"/>
  <c r="AX63" i="1"/>
  <c r="AX154" i="1" s="1"/>
  <c r="AY63" i="1"/>
  <c r="AY154" i="1" s="1"/>
  <c r="AI63" i="1"/>
  <c r="AI154" i="1" s="1"/>
  <c r="AL63" i="1"/>
  <c r="AL154" i="1" s="1"/>
  <c r="AH63" i="1"/>
  <c r="AH154" i="1" s="1"/>
  <c r="AG63" i="1"/>
  <c r="AG154" i="1" s="1"/>
  <c r="AF63" i="1"/>
  <c r="AF154" i="1" s="1"/>
  <c r="AJ63" i="1"/>
  <c r="AJ154" i="1" s="1"/>
  <c r="AR28" i="1"/>
  <c r="AR158" i="1" s="1"/>
  <c r="AX74" i="1"/>
  <c r="AX165" i="1" s="1"/>
  <c r="AF74" i="1"/>
  <c r="AF165" i="1" s="1"/>
  <c r="AG74" i="1"/>
  <c r="AG165" i="1" s="1"/>
  <c r="AE74" i="1"/>
  <c r="AE165" i="1" s="1"/>
  <c r="Y74" i="1"/>
  <c r="Y165" i="1" s="1"/>
  <c r="AW74" i="1"/>
  <c r="AW165" i="1" s="1"/>
  <c r="AU74" i="1"/>
  <c r="AU165" i="1" s="1"/>
  <c r="AV74" i="1"/>
  <c r="AV165" i="1" s="1"/>
  <c r="AD74" i="1"/>
  <c r="AD165" i="1" s="1"/>
  <c r="Z74" i="1"/>
  <c r="Z165" i="1" s="1"/>
  <c r="AO54" i="1"/>
  <c r="AO168" i="1" s="1"/>
  <c r="AX54" i="1"/>
  <c r="AX168" i="1" s="1"/>
  <c r="AR54" i="1"/>
  <c r="AR168" i="1" s="1"/>
  <c r="AQ54" i="1"/>
  <c r="AQ168" i="1" s="1"/>
  <c r="Y54" i="1"/>
  <c r="Y168" i="1" s="1"/>
  <c r="AY54" i="1"/>
  <c r="AY168" i="1" s="1"/>
  <c r="AW54" i="1"/>
  <c r="AW168" i="1" s="1"/>
  <c r="AA54" i="1"/>
  <c r="AA168" i="1" s="1"/>
  <c r="Z54" i="1"/>
  <c r="Z168" i="1" s="1"/>
  <c r="AL32" i="1"/>
  <c r="AL161" i="1" s="1"/>
  <c r="AP54" i="1"/>
  <c r="AP168" i="1" s="1"/>
  <c r="AE123" i="1"/>
  <c r="AE214" i="1" s="1"/>
  <c r="AI123" i="1"/>
  <c r="AI214" i="1" s="1"/>
  <c r="AH123" i="1"/>
  <c r="AH214" i="1" s="1"/>
  <c r="AO123" i="1"/>
  <c r="AO214" i="1" s="1"/>
  <c r="AN123" i="1"/>
  <c r="AN214" i="1" s="1"/>
  <c r="AM123" i="1"/>
  <c r="AM214" i="1" s="1"/>
  <c r="AJ123" i="1"/>
  <c r="AJ214" i="1" s="1"/>
  <c r="AG123" i="1"/>
  <c r="AG214" i="1" s="1"/>
  <c r="AF123" i="1"/>
  <c r="AF214" i="1" s="1"/>
  <c r="Z119" i="1"/>
  <c r="Z208" i="1" s="1"/>
  <c r="AQ114" i="1"/>
  <c r="AQ205" i="1" s="1"/>
  <c r="AD114" i="1"/>
  <c r="AD205" i="1" s="1"/>
  <c r="AC114" i="1"/>
  <c r="AC205" i="1" s="1"/>
  <c r="AB114" i="1"/>
  <c r="AB205" i="1" s="1"/>
  <c r="AA114" i="1"/>
  <c r="AA205" i="1" s="1"/>
  <c r="Y114" i="1"/>
  <c r="Y205" i="1" s="1"/>
  <c r="AJ142" i="1"/>
  <c r="AJ223" i="1" s="1"/>
  <c r="Z142" i="1"/>
  <c r="Z223" i="1" s="1"/>
  <c r="Y142" i="1"/>
  <c r="Y223" i="1" s="1"/>
  <c r="AW142" i="1"/>
  <c r="AW223" i="1" s="1"/>
  <c r="AI142" i="1"/>
  <c r="AI223" i="1" s="1"/>
  <c r="AH142" i="1"/>
  <c r="AH223" i="1" s="1"/>
  <c r="AG142" i="1"/>
  <c r="AG223" i="1" s="1"/>
  <c r="AF142" i="1"/>
  <c r="AF223" i="1" s="1"/>
  <c r="AE142" i="1"/>
  <c r="AE223" i="1" s="1"/>
  <c r="AB142" i="1"/>
  <c r="AB223" i="1" s="1"/>
  <c r="AN132" i="1"/>
  <c r="AN220" i="1" s="1"/>
  <c r="AW132" i="1"/>
  <c r="AW220" i="1" s="1"/>
  <c r="AV132" i="1"/>
  <c r="AV220" i="1" s="1"/>
  <c r="AP132" i="1"/>
  <c r="AP220" i="1" s="1"/>
  <c r="Z132" i="1"/>
  <c r="Z220" i="1" s="1"/>
  <c r="Y132" i="1"/>
  <c r="Y220" i="1" s="1"/>
  <c r="AZ132" i="1"/>
  <c r="AZ220" i="1" s="1"/>
  <c r="AU142" i="1"/>
  <c r="AU223" i="1" s="1"/>
  <c r="AE114" i="1"/>
  <c r="AE205" i="1" s="1"/>
  <c r="AY132" i="1"/>
  <c r="AY220" i="1" s="1"/>
  <c r="AF114" i="1"/>
  <c r="AF205" i="1" s="1"/>
  <c r="AV142" i="1"/>
  <c r="AV223" i="1" s="1"/>
  <c r="AM119" i="1"/>
  <c r="AM208" i="1" s="1"/>
  <c r="AV119" i="1"/>
  <c r="AV208" i="1" s="1"/>
  <c r="AU119" i="1"/>
  <c r="AU208" i="1" s="1"/>
  <c r="AW119" i="1"/>
  <c r="AW208" i="1" s="1"/>
  <c r="AR119" i="1"/>
  <c r="AR208" i="1" s="1"/>
  <c r="AQ119" i="1"/>
  <c r="AQ208" i="1" s="1"/>
  <c r="AP119" i="1"/>
  <c r="AP208" i="1" s="1"/>
  <c r="AO119" i="1"/>
  <c r="AO208" i="1" s="1"/>
  <c r="AN119" i="1"/>
  <c r="AN208" i="1" s="1"/>
  <c r="AX119" i="1"/>
  <c r="AX208" i="1" s="1"/>
  <c r="AG114" i="1"/>
  <c r="AG205" i="1" s="1"/>
  <c r="AI98" i="1"/>
  <c r="AI189" i="1" s="1"/>
  <c r="AQ98" i="1"/>
  <c r="AQ189" i="1" s="1"/>
  <c r="AL98" i="1"/>
  <c r="AL189" i="1" s="1"/>
  <c r="AJ98" i="1"/>
  <c r="AJ189" i="1" s="1"/>
  <c r="AL80" i="1"/>
  <c r="AL171" i="1" s="1"/>
  <c r="AN94" i="1"/>
  <c r="AN185" i="1" s="1"/>
  <c r="Y94" i="1"/>
  <c r="Y185" i="1" s="1"/>
  <c r="AS90" i="1"/>
  <c r="AS181" i="1" s="1"/>
  <c r="AU90" i="1"/>
  <c r="AU181" i="1" s="1"/>
  <c r="AR90" i="1"/>
  <c r="AR181" i="1" s="1"/>
  <c r="AO90" i="1"/>
  <c r="AO181" i="1" s="1"/>
  <c r="AN90" i="1"/>
  <c r="AN181" i="1" s="1"/>
  <c r="AE90" i="1"/>
  <c r="AE181" i="1" s="1"/>
  <c r="AR80" i="1"/>
  <c r="AR171" i="1" s="1"/>
  <c r="Z94" i="1"/>
  <c r="Z185" i="1" s="1"/>
  <c r="AF83" i="1"/>
  <c r="AF174" i="1" s="1"/>
  <c r="AB94" i="1"/>
  <c r="AB185" i="1" s="1"/>
  <c r="AJ80" i="1"/>
  <c r="AJ171" i="1" s="1"/>
  <c r="AK80" i="1"/>
  <c r="AK171" i="1" s="1"/>
  <c r="AD126" i="1"/>
  <c r="AD217" i="1" s="1"/>
  <c r="AS126" i="1"/>
  <c r="AS217" i="1" s="1"/>
  <c r="AV126" i="1"/>
  <c r="AV217" i="1" s="1"/>
  <c r="AW126" i="1"/>
  <c r="AW217" i="1" s="1"/>
  <c r="AZ126" i="1"/>
  <c r="AZ217" i="1" s="1"/>
  <c r="Y126" i="1"/>
  <c r="Y217" i="1" s="1"/>
  <c r="AB126" i="1"/>
  <c r="AB217" i="1" s="1"/>
  <c r="AU126" i="1"/>
  <c r="AU217" i="1" s="1"/>
  <c r="AE126" i="1"/>
  <c r="AE217" i="1" s="1"/>
  <c r="AF126" i="1"/>
  <c r="AF217" i="1" s="1"/>
  <c r="AU111" i="1"/>
  <c r="AU202" i="1" s="1"/>
  <c r="AF111" i="1"/>
  <c r="AF202" i="1" s="1"/>
  <c r="AS111" i="1"/>
  <c r="AS202" i="1" s="1"/>
  <c r="AR111" i="1"/>
  <c r="AR202" i="1" s="1"/>
  <c r="AQ111" i="1"/>
  <c r="AQ202" i="1" s="1"/>
  <c r="AP111" i="1"/>
  <c r="AP202" i="1" s="1"/>
  <c r="AG111" i="1"/>
  <c r="AG202" i="1" s="1"/>
  <c r="AE111" i="1"/>
  <c r="AE202" i="1" s="1"/>
  <c r="AO111" i="1"/>
  <c r="AO202" i="1" s="1"/>
  <c r="AN111" i="1"/>
  <c r="AN202" i="1" s="1"/>
  <c r="AM111" i="1"/>
  <c r="AM202" i="1" s="1"/>
  <c r="AH111" i="1"/>
  <c r="AH202" i="1" s="1"/>
  <c r="AL111" i="1"/>
  <c r="AL202" i="1" s="1"/>
  <c r="AK111" i="1"/>
  <c r="AK202" i="1" s="1"/>
  <c r="AJ111" i="1"/>
  <c r="AJ202" i="1" s="1"/>
  <c r="AI111" i="1"/>
  <c r="AI202" i="1" s="1"/>
  <c r="AD111" i="1"/>
  <c r="AD202" i="1" s="1"/>
  <c r="AC111" i="1"/>
  <c r="AC202" i="1" s="1"/>
  <c r="AB111" i="1"/>
  <c r="AB202" i="1" s="1"/>
  <c r="AY111" i="1"/>
  <c r="AY202" i="1" s="1"/>
  <c r="AA111" i="1"/>
  <c r="AA202" i="1" s="1"/>
  <c r="AX111" i="1"/>
  <c r="AX202" i="1" s="1"/>
  <c r="Z111" i="1"/>
  <c r="Z202" i="1" s="1"/>
  <c r="AW111" i="1"/>
  <c r="AW202" i="1" s="1"/>
  <c r="Y111" i="1"/>
  <c r="Y202" i="1" s="1"/>
  <c r="AC108" i="1"/>
  <c r="AC199" i="1" s="1"/>
  <c r="AB69" i="1"/>
  <c r="AB177" i="1" s="1"/>
  <c r="AH105" i="1"/>
  <c r="AH196" i="1" s="1"/>
  <c r="AD108" i="1"/>
  <c r="AD199" i="1" s="1"/>
  <c r="AM80" i="1"/>
  <c r="AM171" i="1" s="1"/>
  <c r="AH83" i="1"/>
  <c r="AH174" i="1" s="1"/>
  <c r="AC69" i="1"/>
  <c r="AC177" i="1" s="1"/>
  <c r="AM103" i="1"/>
  <c r="AM193" i="1" s="1"/>
  <c r="AI105" i="1"/>
  <c r="AI196" i="1" s="1"/>
  <c r="AE108" i="1"/>
  <c r="AE199" i="1" s="1"/>
  <c r="AS54" i="1"/>
  <c r="AS168" i="1" s="1"/>
  <c r="AN80" i="1"/>
  <c r="AN171" i="1" s="1"/>
  <c r="AI83" i="1"/>
  <c r="AI174" i="1" s="1"/>
  <c r="AD69" i="1"/>
  <c r="AD177" i="1" s="1"/>
  <c r="AN103" i="1"/>
  <c r="AN193" i="1" s="1"/>
  <c r="AJ105" i="1"/>
  <c r="AJ196" i="1" s="1"/>
  <c r="AF108" i="1"/>
  <c r="AF199" i="1" s="1"/>
  <c r="AA74" i="1"/>
  <c r="AA165" i="1" s="1"/>
  <c r="AY74" i="1"/>
  <c r="AY165" i="1" s="1"/>
  <c r="AO80" i="1"/>
  <c r="AO171" i="1" s="1"/>
  <c r="AJ83" i="1"/>
  <c r="AJ174" i="1" s="1"/>
  <c r="AE69" i="1"/>
  <c r="AE177" i="1" s="1"/>
  <c r="AN98" i="1"/>
  <c r="AN189" i="1" s="1"/>
  <c r="AO103" i="1"/>
  <c r="AO193" i="1" s="1"/>
  <c r="AK105" i="1"/>
  <c r="AK196" i="1" s="1"/>
  <c r="AG108" i="1"/>
  <c r="AG199" i="1" s="1"/>
  <c r="AS119" i="1"/>
  <c r="AS208" i="1" s="1"/>
  <c r="AK123" i="1"/>
  <c r="AK214" i="1" s="1"/>
  <c r="Z126" i="1"/>
  <c r="Z217" i="1" s="1"/>
  <c r="AX126" i="1"/>
  <c r="AX217" i="1" s="1"/>
  <c r="AG32" i="1"/>
  <c r="AG161" i="1" s="1"/>
  <c r="AB74" i="1"/>
  <c r="AB165" i="1" s="1"/>
  <c r="AZ74" i="1"/>
  <c r="AZ165" i="1" s="1"/>
  <c r="AU54" i="1"/>
  <c r="AU168" i="1" s="1"/>
  <c r="AP80" i="1"/>
  <c r="AP171" i="1" s="1"/>
  <c r="AK83" i="1"/>
  <c r="AK174" i="1" s="1"/>
  <c r="AF69" i="1"/>
  <c r="AF177" i="1" s="1"/>
  <c r="AO98" i="1"/>
  <c r="AO189" i="1" s="1"/>
  <c r="AP103" i="1"/>
  <c r="AP193" i="1" s="1"/>
  <c r="AL105" i="1"/>
  <c r="AL196" i="1" s="1"/>
  <c r="AH108" i="1"/>
  <c r="AH199" i="1" s="1"/>
  <c r="Z114" i="1"/>
  <c r="Z205" i="1" s="1"/>
  <c r="AX114" i="1"/>
  <c r="AX205" i="1" s="1"/>
  <c r="AL123" i="1"/>
  <c r="AL214" i="1" s="1"/>
  <c r="AA126" i="1"/>
  <c r="AA217" i="1" s="1"/>
  <c r="AY126" i="1"/>
  <c r="AY217" i="1" s="1"/>
  <c r="AU132" i="1"/>
  <c r="AU220" i="1" s="1"/>
  <c r="AM28" i="1"/>
  <c r="AM158" i="1" s="1"/>
  <c r="AH32" i="1"/>
  <c r="AH161" i="1" s="1"/>
  <c r="AC74" i="1"/>
  <c r="AC165" i="1" s="1"/>
  <c r="AV54" i="1"/>
  <c r="AV168" i="1" s="1"/>
  <c r="AQ80" i="1"/>
  <c r="AQ171" i="1" s="1"/>
  <c r="AL83" i="1"/>
  <c r="AL174" i="1" s="1"/>
  <c r="AG69" i="1"/>
  <c r="AG177" i="1" s="1"/>
  <c r="AB90" i="1"/>
  <c r="AB181" i="1" s="1"/>
  <c r="AZ90" i="1"/>
  <c r="AZ181" i="1" s="1"/>
  <c r="AP98" i="1"/>
  <c r="AP189" i="1" s="1"/>
  <c r="AJ108" i="1"/>
  <c r="AJ199" i="1" s="1"/>
  <c r="AP105" i="1"/>
  <c r="AP196" i="1" s="1"/>
  <c r="AB54" i="1"/>
  <c r="AB168" i="1" s="1"/>
  <c r="AQ105" i="1"/>
  <c r="AQ196" i="1" s="1"/>
  <c r="AH74" i="1"/>
  <c r="AH165" i="1" s="1"/>
  <c r="AC54" i="1"/>
  <c r="AC168" i="1" s="1"/>
  <c r="AV80" i="1"/>
  <c r="AV171" i="1" s="1"/>
  <c r="AQ83" i="1"/>
  <c r="AQ174" i="1" s="1"/>
  <c r="AL69" i="1"/>
  <c r="AL177" i="1" s="1"/>
  <c r="AC132" i="1"/>
  <c r="AC220" i="1" s="1"/>
  <c r="AI74" i="1"/>
  <c r="AI165" i="1" s="1"/>
  <c r="Y80" i="1"/>
  <c r="Y171" i="1" s="1"/>
  <c r="AW80" i="1"/>
  <c r="AW171" i="1" s="1"/>
  <c r="AR83" i="1"/>
  <c r="AR174" i="1" s="1"/>
  <c r="AM69" i="1"/>
  <c r="AM177" i="1" s="1"/>
  <c r="AC94" i="1"/>
  <c r="AC185" i="1" s="1"/>
  <c r="Y103" i="1"/>
  <c r="Y193" i="1" s="1"/>
  <c r="AS105" i="1"/>
  <c r="AS196" i="1" s="1"/>
  <c r="AO108" i="1"/>
  <c r="AO199" i="1" s="1"/>
  <c r="AC119" i="1"/>
  <c r="AC208" i="1" s="1"/>
  <c r="M46" i="1"/>
  <c r="K46" i="1" s="1"/>
  <c r="L46" i="1" s="1"/>
  <c r="AS123" i="1"/>
  <c r="AS214" i="1" s="1"/>
  <c r="AH126" i="1"/>
  <c r="AH217" i="1" s="1"/>
  <c r="AD132" i="1"/>
  <c r="AD220" i="1" s="1"/>
  <c r="AO32" i="1"/>
  <c r="AO161" i="1" s="1"/>
  <c r="AJ74" i="1"/>
  <c r="AJ165" i="1" s="1"/>
  <c r="AE54" i="1"/>
  <c r="AE168" i="1" s="1"/>
  <c r="Z80" i="1"/>
  <c r="Z171" i="1" s="1"/>
  <c r="AX80" i="1"/>
  <c r="AX171" i="1" s="1"/>
  <c r="AS83" i="1"/>
  <c r="AS174" i="1" s="1"/>
  <c r="AN69" i="1"/>
  <c r="AN177" i="1" s="1"/>
  <c r="AI90" i="1"/>
  <c r="AI181" i="1" s="1"/>
  <c r="AD94" i="1"/>
  <c r="AD185" i="1" s="1"/>
  <c r="Y98" i="1"/>
  <c r="Y189" i="1" s="1"/>
  <c r="Z103" i="1"/>
  <c r="Z193" i="1" s="1"/>
  <c r="AX103" i="1"/>
  <c r="AX193" i="1" s="1"/>
  <c r="AP108" i="1"/>
  <c r="AP199" i="1" s="1"/>
  <c r="AH114" i="1"/>
  <c r="AH205" i="1" s="1"/>
  <c r="AD119" i="1"/>
  <c r="AD208" i="1" s="1"/>
  <c r="AA142" i="1"/>
  <c r="AA223" i="1" s="1"/>
  <c r="AY142" i="1"/>
  <c r="AY223" i="1" s="1"/>
  <c r="AM146" i="1"/>
  <c r="AM229" i="1" s="1"/>
  <c r="AI126" i="1"/>
  <c r="AI217" i="1" s="1"/>
  <c r="AE132" i="1"/>
  <c r="AE220" i="1" s="1"/>
  <c r="AB63" i="1"/>
  <c r="AB154" i="1" s="1"/>
  <c r="AZ63" i="1"/>
  <c r="AZ154" i="1" s="1"/>
  <c r="AU28" i="1"/>
  <c r="AU158" i="1" s="1"/>
  <c r="AP32" i="1"/>
  <c r="AP161" i="1" s="1"/>
  <c r="AK74" i="1"/>
  <c r="AK165" i="1" s="1"/>
  <c r="AF54" i="1"/>
  <c r="AF168" i="1" s="1"/>
  <c r="AA80" i="1"/>
  <c r="AA171" i="1" s="1"/>
  <c r="AY80" i="1"/>
  <c r="AY171" i="1" s="1"/>
  <c r="AO69" i="1"/>
  <c r="AO177" i="1" s="1"/>
  <c r="AJ90" i="1"/>
  <c r="AJ181" i="1" s="1"/>
  <c r="AE94" i="1"/>
  <c r="AE185" i="1" s="1"/>
  <c r="Z98" i="1"/>
  <c r="Z189" i="1" s="1"/>
  <c r="AU103" i="1"/>
  <c r="AU193" i="1" s="1"/>
  <c r="AR105" i="1"/>
  <c r="AR196" i="1" s="1"/>
  <c r="AW103" i="1"/>
  <c r="AW193" i="1" s="1"/>
  <c r="AA103" i="1"/>
  <c r="AA193" i="1" s="1"/>
  <c r="AY103" i="1"/>
  <c r="AY193" i="1" s="1"/>
  <c r="AU105" i="1"/>
  <c r="AU196" i="1" s="1"/>
  <c r="AQ108" i="1"/>
  <c r="AQ199" i="1" s="1"/>
  <c r="AI114" i="1"/>
  <c r="AI205" i="1" s="1"/>
  <c r="AE119" i="1"/>
  <c r="AE208" i="1" s="1"/>
  <c r="AU123" i="1"/>
  <c r="AU214" i="1" s="1"/>
  <c r="AJ126" i="1"/>
  <c r="AJ217" i="1" s="1"/>
  <c r="AF132" i="1"/>
  <c r="AF220" i="1" s="1"/>
  <c r="AC63" i="1"/>
  <c r="AC154" i="1" s="1"/>
  <c r="AV28" i="1"/>
  <c r="AV158" i="1" s="1"/>
  <c r="AQ32" i="1"/>
  <c r="AQ161" i="1" s="1"/>
  <c r="AL74" i="1"/>
  <c r="AL165" i="1" s="1"/>
  <c r="AG54" i="1"/>
  <c r="AG168" i="1" s="1"/>
  <c r="AB80" i="1"/>
  <c r="AB171" i="1" s="1"/>
  <c r="AZ80" i="1"/>
  <c r="AZ171" i="1" s="1"/>
  <c r="AU83" i="1"/>
  <c r="AU174" i="1" s="1"/>
  <c r="AP69" i="1"/>
  <c r="AP177" i="1" s="1"/>
  <c r="AK90" i="1"/>
  <c r="AK181" i="1" s="1"/>
  <c r="AF94" i="1"/>
  <c r="AF185" i="1" s="1"/>
  <c r="AA98" i="1"/>
  <c r="AA189" i="1" s="1"/>
  <c r="AV103" i="1"/>
  <c r="AV193" i="1" s="1"/>
  <c r="AN108" i="1"/>
  <c r="AN199" i="1" s="1"/>
  <c r="AB119" i="1"/>
  <c r="AB208" i="1" s="1"/>
  <c r="AR123" i="1"/>
  <c r="AR214" i="1" s="1"/>
  <c r="AG126" i="1"/>
  <c r="AG217" i="1" s="1"/>
  <c r="AN32" i="1"/>
  <c r="AN161" i="1" s="1"/>
  <c r="AD54" i="1"/>
  <c r="AD168" i="1" s="1"/>
  <c r="AB103" i="1"/>
  <c r="AB193" i="1" s="1"/>
  <c r="AV105" i="1"/>
  <c r="AV196" i="1" s="1"/>
  <c r="AR108" i="1"/>
  <c r="AR199" i="1" s="1"/>
  <c r="AJ114" i="1"/>
  <c r="AJ205" i="1" s="1"/>
  <c r="AF119" i="1"/>
  <c r="AF208" i="1" s="1"/>
  <c r="AV123" i="1"/>
  <c r="AV214" i="1" s="1"/>
  <c r="AC142" i="1"/>
  <c r="AC223" i="1" s="1"/>
  <c r="AO146" i="1"/>
  <c r="AO229" i="1" s="1"/>
  <c r="AK126" i="1"/>
  <c r="AK217" i="1" s="1"/>
  <c r="AG132" i="1"/>
  <c r="AG220" i="1" s="1"/>
  <c r="AD63" i="1"/>
  <c r="AD154" i="1" s="1"/>
  <c r="Y28" i="1"/>
  <c r="Y158" i="1" s="1"/>
  <c r="AW28" i="1"/>
  <c r="AW158" i="1" s="1"/>
  <c r="AR32" i="1"/>
  <c r="AR161" i="1" s="1"/>
  <c r="AM74" i="1"/>
  <c r="AM165" i="1" s="1"/>
  <c r="AH54" i="1"/>
  <c r="AH168" i="1" s="1"/>
  <c r="AC80" i="1"/>
  <c r="AC171" i="1" s="1"/>
  <c r="AV83" i="1"/>
  <c r="AV174" i="1" s="1"/>
  <c r="AQ69" i="1"/>
  <c r="AQ177" i="1" s="1"/>
  <c r="AL90" i="1"/>
  <c r="AL181" i="1" s="1"/>
  <c r="AG94" i="1"/>
  <c r="AG185" i="1" s="1"/>
  <c r="AB98" i="1"/>
  <c r="AB189" i="1" s="1"/>
  <c r="AN83" i="1"/>
  <c r="AN174" i="1" s="1"/>
  <c r="AO83" i="1"/>
  <c r="AO174" i="1" s="1"/>
  <c r="AC103" i="1"/>
  <c r="AC193" i="1" s="1"/>
  <c r="Y105" i="1"/>
  <c r="Y196" i="1" s="1"/>
  <c r="AW105" i="1"/>
  <c r="AW196" i="1" s="1"/>
  <c r="AS108" i="1"/>
  <c r="AS199" i="1" s="1"/>
  <c r="AK114" i="1"/>
  <c r="AK205" i="1" s="1"/>
  <c r="AG119" i="1"/>
  <c r="AG208" i="1" s="1"/>
  <c r="Y123" i="1"/>
  <c r="Y214" i="1" s="1"/>
  <c r="AW123" i="1"/>
  <c r="AW214" i="1" s="1"/>
  <c r="AD142" i="1"/>
  <c r="AD223" i="1" s="1"/>
  <c r="AP146" i="1"/>
  <c r="AP229" i="1" s="1"/>
  <c r="AL126" i="1"/>
  <c r="AL217" i="1" s="1"/>
  <c r="AH132" i="1"/>
  <c r="AH220" i="1" s="1"/>
  <c r="AE63" i="1"/>
  <c r="AE154" i="1" s="1"/>
  <c r="Z28" i="1"/>
  <c r="Z158" i="1" s="1"/>
  <c r="AX28" i="1"/>
  <c r="AX158" i="1" s="1"/>
  <c r="AS32" i="1"/>
  <c r="AS161" i="1" s="1"/>
  <c r="AN74" i="1"/>
  <c r="AN165" i="1" s="1"/>
  <c r="AI54" i="1"/>
  <c r="AI168" i="1" s="1"/>
  <c r="AD80" i="1"/>
  <c r="AD171" i="1" s="1"/>
  <c r="Y83" i="1"/>
  <c r="Y174" i="1" s="1"/>
  <c r="AW83" i="1"/>
  <c r="AW174" i="1" s="1"/>
  <c r="AR69" i="1"/>
  <c r="AR177" i="1" s="1"/>
  <c r="AM90" i="1"/>
  <c r="AM181" i="1" s="1"/>
  <c r="AH94" i="1"/>
  <c r="AH185" i="1" s="1"/>
  <c r="AC98" i="1"/>
  <c r="AC189" i="1" s="1"/>
  <c r="AN105" i="1"/>
  <c r="AN196" i="1" s="1"/>
  <c r="AM108" i="1"/>
  <c r="AM199" i="1" s="1"/>
  <c r="AD103" i="1"/>
  <c r="AD193" i="1" s="1"/>
  <c r="Z105" i="1"/>
  <c r="Z196" i="1" s="1"/>
  <c r="AX105" i="1"/>
  <c r="AX196" i="1" s="1"/>
  <c r="AH119" i="1"/>
  <c r="AH208" i="1" s="1"/>
  <c r="Z123" i="1"/>
  <c r="Z214" i="1" s="1"/>
  <c r="AX123" i="1"/>
  <c r="AX214" i="1" s="1"/>
  <c r="AM126" i="1"/>
  <c r="AM217" i="1" s="1"/>
  <c r="AI132" i="1"/>
  <c r="AI220" i="1" s="1"/>
  <c r="AO74" i="1"/>
  <c r="AO165" i="1" s="1"/>
  <c r="AJ54" i="1"/>
  <c r="AJ168" i="1" s="1"/>
  <c r="AE80" i="1"/>
  <c r="AE171" i="1" s="1"/>
  <c r="Z83" i="1"/>
  <c r="Z174" i="1" s="1"/>
  <c r="AX83" i="1"/>
  <c r="AX174" i="1" s="1"/>
  <c r="AS69" i="1"/>
  <c r="AS177" i="1" s="1"/>
  <c r="AI94" i="1"/>
  <c r="AI185" i="1" s="1"/>
  <c r="AD98" i="1"/>
  <c r="AD189" i="1" s="1"/>
  <c r="AL108" i="1"/>
  <c r="AL199" i="1" s="1"/>
  <c r="AK69" i="1"/>
  <c r="AK177" i="1" s="1"/>
  <c r="AE103" i="1"/>
  <c r="AE193" i="1" s="1"/>
  <c r="AA105" i="1"/>
  <c r="AA196" i="1" s="1"/>
  <c r="AY105" i="1"/>
  <c r="AY196" i="1" s="1"/>
  <c r="AU108" i="1"/>
  <c r="AU199" i="1" s="1"/>
  <c r="AI119" i="1"/>
  <c r="AI208" i="1" s="1"/>
  <c r="AA123" i="1"/>
  <c r="AA214" i="1" s="1"/>
  <c r="AY123" i="1"/>
  <c r="AY214" i="1" s="1"/>
  <c r="AN126" i="1"/>
  <c r="AN217" i="1" s="1"/>
  <c r="AJ132" i="1"/>
  <c r="AJ220" i="1" s="1"/>
  <c r="AU32" i="1"/>
  <c r="AU161" i="1" s="1"/>
  <c r="AP74" i="1"/>
  <c r="AP165" i="1" s="1"/>
  <c r="AK54" i="1"/>
  <c r="AK168" i="1" s="1"/>
  <c r="AF80" i="1"/>
  <c r="AF171" i="1" s="1"/>
  <c r="AA83" i="1"/>
  <c r="AA174" i="1" s="1"/>
  <c r="AY83" i="1"/>
  <c r="AY174" i="1" s="1"/>
  <c r="AJ94" i="1"/>
  <c r="AJ185" i="1" s="1"/>
  <c r="AE98" i="1"/>
  <c r="AE189" i="1" s="1"/>
  <c r="AF103" i="1"/>
  <c r="AF193" i="1" s="1"/>
  <c r="AB105" i="1"/>
  <c r="AB196" i="1" s="1"/>
  <c r="AJ119" i="1"/>
  <c r="AJ208" i="1" s="1"/>
  <c r="AB123" i="1"/>
  <c r="AB214" i="1" s="1"/>
  <c r="AO126" i="1"/>
  <c r="AO217" i="1" s="1"/>
  <c r="AV32" i="1"/>
  <c r="AV161" i="1" s="1"/>
  <c r="AL54" i="1"/>
  <c r="AL168" i="1" s="1"/>
  <c r="AZ83" i="1"/>
  <c r="AZ174" i="1" s="1"/>
  <c r="AK94" i="1"/>
  <c r="AK185" i="1" s="1"/>
  <c r="AF98" i="1"/>
  <c r="AF189" i="1" s="1"/>
  <c r="AI69" i="1"/>
  <c r="AI177" i="1" s="1"/>
  <c r="AZ54" i="1"/>
  <c r="AZ168" i="1" s="1"/>
  <c r="AV108" i="1"/>
  <c r="AV199" i="1" s="1"/>
  <c r="AK132" i="1"/>
  <c r="AK220" i="1" s="1"/>
  <c r="AQ74" i="1"/>
  <c r="AQ165" i="1" s="1"/>
  <c r="AG80" i="1"/>
  <c r="AG171" i="1" s="1"/>
  <c r="AB83" i="1"/>
  <c r="AB174" i="1" s="1"/>
  <c r="AG103" i="1"/>
  <c r="AG193" i="1" s="1"/>
  <c r="AC105" i="1"/>
  <c r="AC196" i="1" s="1"/>
  <c r="Y108" i="1"/>
  <c r="Y199" i="1" s="1"/>
  <c r="AW108" i="1"/>
  <c r="AW199" i="1" s="1"/>
  <c r="AO114" i="1"/>
  <c r="AO205" i="1" s="1"/>
  <c r="AK119" i="1"/>
  <c r="AK208" i="1" s="1"/>
  <c r="AC123" i="1"/>
  <c r="AC214" i="1" s="1"/>
  <c r="AP126" i="1"/>
  <c r="AP217" i="1" s="1"/>
  <c r="AL132" i="1"/>
  <c r="AL220" i="1" s="1"/>
  <c r="AD28" i="1"/>
  <c r="AD158" i="1" s="1"/>
  <c r="Y32" i="1"/>
  <c r="Y161" i="1" s="1"/>
  <c r="AW32" i="1"/>
  <c r="AW161" i="1" s="1"/>
  <c r="AR74" i="1"/>
  <c r="AR165" i="1" s="1"/>
  <c r="AM54" i="1"/>
  <c r="AM168" i="1" s="1"/>
  <c r="AH80" i="1"/>
  <c r="AH171" i="1" s="1"/>
  <c r="AC83" i="1"/>
  <c r="AC174" i="1" s="1"/>
  <c r="AQ90" i="1"/>
  <c r="AQ181" i="1" s="1"/>
  <c r="AL94" i="1"/>
  <c r="AL185" i="1" s="1"/>
  <c r="AG98" i="1"/>
  <c r="AG189" i="1" s="1"/>
  <c r="AI108" i="1"/>
  <c r="AI199" i="1" s="1"/>
  <c r="AO105" i="1"/>
  <c r="AO196" i="1" s="1"/>
  <c r="AJ69" i="1"/>
  <c r="AJ177" i="1" s="1"/>
  <c r="AP83" i="1"/>
  <c r="AP174" i="1" s="1"/>
  <c r="Z108" i="1"/>
  <c r="Z199" i="1" s="1"/>
  <c r="AI80" i="1"/>
  <c r="AI171" i="1" s="1"/>
  <c r="Y69" i="1"/>
  <c r="Y177" i="1" s="1"/>
  <c r="AH98" i="1"/>
  <c r="AH189" i="1" s="1"/>
  <c r="AH69" i="1"/>
  <c r="AH177" i="1" s="1"/>
  <c r="AK108" i="1"/>
  <c r="AK199" i="1" s="1"/>
  <c r="AU80" i="1"/>
  <c r="AU171" i="1" s="1"/>
  <c r="AH103" i="1"/>
  <c r="AH193" i="1" s="1"/>
  <c r="AD105" i="1"/>
  <c r="AD196" i="1" s="1"/>
  <c r="AX108" i="1"/>
  <c r="AX199" i="1" s="1"/>
  <c r="AL119" i="1"/>
  <c r="AL208" i="1" s="1"/>
  <c r="AD123" i="1"/>
  <c r="AD214" i="1" s="1"/>
  <c r="AQ126" i="1"/>
  <c r="AQ217" i="1" s="1"/>
  <c r="AM132" i="1"/>
  <c r="AM220" i="1" s="1"/>
  <c r="Z32" i="1"/>
  <c r="Z161" i="1" s="1"/>
  <c r="AX32" i="1"/>
  <c r="AX161" i="1" s="1"/>
  <c r="AS74" i="1"/>
  <c r="AS165" i="1" s="1"/>
  <c r="AN54" i="1"/>
  <c r="AN168" i="1" s="1"/>
  <c r="AD83" i="1"/>
  <c r="AD174" i="1" s="1"/>
  <c r="AM94" i="1"/>
  <c r="AM185" i="1" s="1"/>
  <c r="AA108" i="1"/>
  <c r="AA199" i="1" s="1"/>
  <c r="AR126" i="1"/>
  <c r="AR217" i="1" s="1"/>
  <c r="AA32" i="1"/>
  <c r="AA161" i="1" s="1"/>
  <c r="Z69" i="1"/>
  <c r="Z177" i="1" s="1"/>
  <c r="M145" i="1" l="1"/>
  <c r="K145" i="1" s="1"/>
  <c r="L145" i="1" s="1"/>
  <c r="M141" i="1"/>
  <c r="K141" i="1" s="1"/>
  <c r="L141" i="1" s="1"/>
  <c r="M118" i="1"/>
  <c r="K118" i="1" s="1"/>
  <c r="L118" i="1" s="1"/>
  <c r="M43" i="1"/>
  <c r="K43" i="1" s="1"/>
  <c r="L43" i="1" s="1"/>
  <c r="M42" i="1"/>
  <c r="K42" i="1" s="1"/>
  <c r="L42" i="1" s="1"/>
  <c r="M41" i="1"/>
  <c r="K41" i="1" s="1"/>
  <c r="L41" i="1" s="1"/>
  <c r="M102" i="1"/>
  <c r="K102" i="1" s="1"/>
  <c r="L102" i="1" s="1"/>
  <c r="M26" i="1"/>
  <c r="K26" i="1" s="1"/>
  <c r="L26" i="1" s="1"/>
  <c r="L69" i="1"/>
  <c r="L120" i="1"/>
  <c r="L28" i="1"/>
  <c r="L123" i="1"/>
  <c r="L103" i="1"/>
  <c r="L142" i="1"/>
  <c r="L146" i="1"/>
  <c r="L54" i="1"/>
  <c r="L119" i="1"/>
  <c r="L114" i="1"/>
  <c r="L108" i="1"/>
  <c r="L80" i="1"/>
  <c r="L111" i="1"/>
  <c r="L83" i="1"/>
  <c r="L126" i="1"/>
  <c r="L132" i="1"/>
  <c r="L74" i="1"/>
  <c r="L63" i="1"/>
  <c r="L105" i="1"/>
  <c r="L98" i="1"/>
  <c r="L94" i="1"/>
  <c r="L138" i="1"/>
  <c r="L90" i="1"/>
  <c r="L135" i="1"/>
  <c r="L32" i="1"/>
  <c r="M131" i="1" l="1"/>
  <c r="K131" i="1" s="1"/>
  <c r="L131" i="1" s="1"/>
  <c r="M48" i="1"/>
  <c r="K48" i="1" s="1"/>
  <c r="L48" i="1" s="1"/>
  <c r="M44" i="1"/>
  <c r="K44" i="1" s="1"/>
  <c r="L44" i="1" s="1"/>
  <c r="M15" i="1"/>
  <c r="K15" i="1" s="1"/>
  <c r="L15" i="1" s="1"/>
  <c r="M8" i="1"/>
  <c r="K8" i="1" s="1"/>
  <c r="L8" i="1" s="1"/>
  <c r="M23" i="1"/>
  <c r="K23" i="1" s="1"/>
  <c r="L23" i="1" s="1"/>
  <c r="K112" i="1" l="1"/>
  <c r="L1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5"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6"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7"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9"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11"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32"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39"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40"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45"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6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64"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66"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9"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70"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80"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1"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2"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90"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91"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9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108"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112" authorId="0" shapeId="0" xr:uid="{D2D94321-5ABD-4285-B274-0BB4947682D1}">
      <text>
        <r>
          <rPr>
            <b/>
            <sz val="9"/>
            <color indexed="81"/>
            <rFont val="Tahoma"/>
            <charset val="1"/>
          </rPr>
          <t>Mahir Er:</t>
        </r>
        <r>
          <rPr>
            <sz val="9"/>
            <color indexed="81"/>
            <rFont val="Tahoma"/>
            <charset val="1"/>
          </rPr>
          <t xml:space="preserve">
2409'DA ROKET BÜTÇE MİKTARINA ÇEKİLDİ,
</t>
        </r>
      </text>
    </comment>
    <comment ref="M123"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135" authorId="0" shapeId="0" xr:uid="{404FCDED-C299-434A-9567-030C1DB1DA31}">
      <text>
        <r>
          <rPr>
            <b/>
            <sz val="9"/>
            <color indexed="81"/>
            <rFont val="Tahoma"/>
            <charset val="1"/>
          </rPr>
          <t>Mahir Er:</t>
        </r>
        <r>
          <rPr>
            <sz val="9"/>
            <color indexed="81"/>
            <rFont val="Tahoma"/>
            <charset val="1"/>
          </rPr>
          <t xml:space="preserve">
2409 VERSİYONU İLE DEĞİŞTİRİLDİ.</t>
        </r>
      </text>
    </comment>
    <comment ref="M136" authorId="0" shapeId="0" xr:uid="{76D47B18-5E25-41D7-B989-8CD541AF92DC}">
      <text>
        <r>
          <rPr>
            <b/>
            <sz val="9"/>
            <color indexed="81"/>
            <rFont val="Tahoma"/>
            <charset val="1"/>
          </rPr>
          <t>Mahir Er:</t>
        </r>
        <r>
          <rPr>
            <sz val="9"/>
            <color indexed="81"/>
            <rFont val="Tahoma"/>
            <charset val="1"/>
          </rPr>
          <t xml:space="preserve">
2409 VERSİYONU İLE DEĞİŞTİRİLDİ.</t>
        </r>
      </text>
    </comment>
    <comment ref="M138"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139"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140"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N150" authorId="0" shapeId="0" xr:uid="{9E79E930-F9EE-4A18-9571-87F77D1F47CD}">
      <text>
        <r>
          <rPr>
            <b/>
            <sz val="9"/>
            <color indexed="81"/>
            <rFont val="Tahoma"/>
            <family val="2"/>
            <charset val="162"/>
          </rPr>
          <t>Mahir Er:</t>
        </r>
        <r>
          <rPr>
            <sz val="9"/>
            <color indexed="81"/>
            <rFont val="Tahoma"/>
            <family val="2"/>
            <charset val="162"/>
          </rPr>
          <t xml:space="preserve">
=+SUMIFS(N$2:N$149;$CB$2:$CB$149;[@BAĞLANTI])</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<sst xmlns="http://schemas.openxmlformats.org/spreadsheetml/2006/main" count="29897" uniqueCount="5446">
  <si>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</si>
  <si>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</si>
  <si>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</si>
  <si>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</si>
  <si>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</si>
  <si>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</si>
  <si>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</si>
  <si>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</si>
  <si>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</si>
  <si>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</si>
  <si>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</si>
  <si>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</si>
  <si>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</si>
  <si>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</si>
  <si>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</si>
  <si>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</si>
  <si>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</si>
  <si>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</si>
  <si>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</si>
  <si>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</si>
  <si>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</si>
  <si>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</si>
  <si>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</si>
  <si>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</si>
  <si>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</si>
  <si>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</si>
  <si>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</si>
  <si>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</si>
  <si>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</si>
  <si>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</si>
  <si>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</si>
  <si>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</si>
  <si>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</si>
  <si>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</si>
  <si>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</si>
  <si>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</si>
  <si>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</si>
  <si>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</si>
  <si>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</si>
  <si>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</si>
  <si>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</si>
  <si>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</si>
  <si>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</si>
  <si>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</si>
  <si>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</si>
  <si>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</si>
  <si>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</si>
  <si>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</si>
  <si>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</si>
  <si>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</si>
  <si>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</si>
  <si>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</si>
  <si>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</si>
  <si>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</si>
  <si>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</si>
  <si>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</si>
  <si>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</si>
  <si>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</si>
  <si>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</si>
  <si>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</si>
  <si>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</si>
  <si>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</si>
  <si>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</si>
  <si>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</si>
  <si>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</si>
  <si>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</si>
  <si>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</si>
  <si>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</si>
  <si>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</si>
  <si>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</si>
  <si>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</si>
  <si>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</si>
  <si>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</si>
  <si>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</si>
  <si>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</si>
  <si>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</si>
  <si>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</si>
  <si>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</si>
  <si>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</si>
  <si>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</si>
  <si>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</si>
  <si>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</si>
  <si>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</si>
  <si>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</si>
  <si>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</si>
  <si>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</si>
  <si>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</si>
  <si>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</si>
  <si>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</si>
  <si>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</si>
  <si>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</si>
  <si>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</si>
  <si>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</si>
  <si>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</si>
  <si>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</si>
  <si>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</si>
  <si>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</si>
  <si>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</si>
  <si>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</si>
  <si>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</si>
  <si>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</si>
  <si>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</si>
  <si>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</si>
  <si>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</si>
  <si>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</si>
  <si>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</si>
  <si>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</si>
  <si>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</si>
  <si>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</si>
  <si>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</si>
  <si>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</si>
  <si>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</si>
  <si>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</si>
  <si>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</si>
  <si>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</si>
  <si>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</si>
  <si>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</si>
  <si>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</si>
  <si>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</si>
  <si>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</si>
  <si>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</si>
  <si>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</si>
  <si>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</si>
  <si>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</si>
  <si>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</si>
  <si>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</si>
  <si>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</si>
  <si>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</si>
  <si>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</si>
  <si>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</si>
  <si>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</si>
  <si>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</si>
  <si>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</si>
  <si>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</si>
  <si>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</si>
  <si>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</si>
  <si>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</si>
  <si>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</si>
  <si>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</si>
  <si>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</si>
  <si>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</si>
  <si>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</si>
  <si>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</si>
  <si>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</si>
  <si>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</si>
  <si>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</si>
  <si>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</si>
  <si>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</si>
  <si>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</si>
  <si>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</si>
  <si>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</si>
  <si>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</si>
  <si>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</si>
  <si>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</si>
  <si>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</si>
  <si>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</si>
  <si>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</si>
  <si>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</si>
  <si>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</si>
  <si>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</si>
  <si>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</si>
  <si>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</si>
  <si>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</si>
  <si>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</si>
  <si>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</si>
  <si>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</si>
  <si>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</si>
  <si>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</si>
  <si>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</si>
  <si>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</si>
  <si>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</si>
  <si>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</si>
  <si>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</si>
  <si>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</si>
  <si>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</si>
  <si>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</si>
  <si>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</si>
  <si>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</si>
  <si>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</si>
  <si>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</si>
  <si>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</si>
  <si>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</si>
  <si>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</si>
  <si>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</si>
  <si>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</si>
  <si>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</si>
  <si>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</si>
  <si>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</si>
  <si>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</si>
  <si>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</si>
  <si>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</si>
  <si>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</si>
  <si>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</si>
  <si>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</si>
  <si>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</si>
  <si>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</si>
  <si>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</si>
  <si>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</si>
  <si>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</si>
  <si>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</si>
  <si>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</si>
  <si>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</si>
  <si>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</si>
  <si>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</si>
  <si>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</si>
  <si>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</si>
  <si>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</si>
  <si>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</si>
  <si>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</si>
  <si>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</si>
  <si>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</si>
  <si>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</si>
  <si>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</si>
  <si>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</si>
  <si>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</si>
  <si>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</si>
  <si>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</si>
  <si>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</si>
  <si>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</si>
  <si>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</si>
  <si>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</si>
  <si>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</si>
  <si>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</si>
  <si>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</si>
  <si>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</si>
  <si>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</si>
  <si>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</si>
  <si>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</si>
  <si>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</si>
  <si>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</si>
  <si>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</si>
  <si>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</si>
  <si>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</si>
  <si>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</si>
  <si>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</si>
  <si>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</si>
  <si>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</si>
  <si>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</si>
  <si>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</si>
  <si>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</si>
  <si>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</si>
  <si>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</si>
  <si>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</si>
  <si>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</si>
  <si>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</si>
  <si>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</si>
  <si>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</si>
  <si>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</si>
  <si>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</si>
  <si>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</si>
  <si>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</si>
  <si>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</si>
  <si>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</si>
  <si>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</si>
  <si>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</si>
  <si>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</si>
  <si>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</si>
  <si>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</si>
  <si>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</si>
  <si>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</si>
  <si>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</si>
  <si>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</si>
  <si>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</si>
  <si>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</si>
  <si>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</si>
  <si>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</si>
  <si>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</si>
  <si>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</si>
  <si>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</si>
  <si>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</si>
  <si>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</si>
  <si>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</si>
  <si>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</si>
  <si>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</si>
  <si>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</si>
  <si>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</si>
  <si>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</si>
  <si>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</si>
  <si>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</si>
  <si>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</si>
  <si>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</si>
  <si>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</si>
  <si>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</si>
  <si>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</si>
  <si>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</si>
  <si>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</si>
  <si>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</si>
  <si>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</si>
  <si>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</si>
  <si>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</si>
  <si>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</si>
  <si>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</si>
  <si>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</si>
  <si>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</si>
  <si>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</si>
  <si>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</si>
  <si>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</si>
  <si>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</si>
  <si>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</si>
  <si>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</si>
  <si>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</si>
  <si>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</si>
  <si>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</si>
  <si>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</si>
  <si>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</si>
  <si>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</si>
  <si>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</si>
  <si>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</si>
  <si>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</si>
  <si>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</si>
  <si>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</si>
  <si>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</si>
  <si>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</si>
  <si>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</si>
  <si>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</si>
  <si>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</si>
  <si>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</si>
  <si>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</si>
  <si>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</si>
  <si>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</si>
  <si>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</si>
  <si>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</si>
  <si>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</si>
  <si>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</si>
  <si>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</si>
  <si>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</si>
  <si>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</si>
  <si>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</si>
  <si>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</si>
  <si>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</si>
  <si>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</si>
  <si>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</si>
  <si>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</si>
  <si>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</si>
  <si>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</si>
  <si>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</si>
  <si>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</si>
  <si>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</si>
  <si>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</si>
  <si>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</si>
  <si>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</si>
  <si>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</si>
  <si>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</si>
  <si>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</si>
  <si>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</si>
  <si>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</si>
  <si>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</si>
  <si>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</si>
  <si>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</si>
  <si>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</si>
  <si>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</si>
  <si>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</si>
  <si>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</si>
  <si>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</si>
  <si>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</si>
  <si>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</si>
  <si>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</si>
  <si>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</si>
  <si>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</si>
  <si>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</si>
  <si>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</si>
  <si>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</si>
  <si>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</si>
  <si>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</si>
  <si>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</si>
  <si>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</si>
  <si>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</si>
  <si>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</si>
  <si>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</si>
  <si>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</si>
  <si>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</si>
  <si>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</si>
  <si>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</si>
  <si>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</si>
  <si>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</si>
  <si>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</si>
  <si>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</si>
  <si>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</si>
  <si>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</si>
  <si>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</si>
  <si>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</si>
  <si>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</si>
  <si>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</si>
  <si>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</si>
  <si>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</si>
  <si>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</si>
  <si>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</si>
  <si>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</si>
  <si>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</si>
  <si>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</si>
  <si>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</si>
  <si>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</si>
  <si>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</si>
  <si>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</si>
  <si>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</si>
  <si>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</si>
  <si>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</si>
  <si>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</si>
  <si>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</si>
  <si>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</si>
  <si>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</si>
  <si>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</si>
  <si>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</si>
  <si>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</si>
  <si>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</si>
  <si>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</si>
  <si>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</si>
  <si>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</si>
  <si>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</si>
  <si>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</si>
  <si>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</si>
  <si>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</si>
  <si>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</si>
  <si>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</si>
  <si>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</si>
  <si>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</si>
  <si>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</si>
  <si>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</si>
  <si>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</si>
  <si>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</si>
  <si>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</si>
  <si>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</si>
  <si>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</si>
  <si>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</si>
  <si>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</si>
  <si>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</si>
  <si>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</si>
  <si>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</si>
  <si>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</si>
  <si>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</si>
  <si>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</si>
  <si>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</si>
  <si>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</si>
  <si>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</si>
  <si>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</si>
  <si>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</si>
  <si>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</si>
  <si>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</si>
  <si>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</si>
  <si>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</si>
  <si>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</si>
  <si>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</si>
  <si>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</si>
  <si>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</si>
  <si>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</si>
  <si>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</si>
  <si>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</si>
  <si>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</si>
  <si>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</si>
  <si>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</si>
  <si>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</si>
  <si>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</si>
  <si>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</si>
  <si>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</si>
  <si>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</si>
  <si>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</si>
  <si>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</si>
  <si>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</si>
  <si>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</si>
  <si>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</si>
  <si>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</si>
  <si>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</si>
  <si>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</si>
  <si>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</si>
  <si>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</si>
  <si>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</si>
  <si>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</si>
  <si>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</si>
  <si>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</si>
  <si>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</si>
  <si>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</si>
  <si>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</si>
  <si>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</si>
  <si>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</si>
  <si>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</si>
  <si>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</si>
  <si>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</si>
  <si>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</si>
  <si>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</si>
  <si>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</si>
  <si>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</si>
  <si>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</si>
  <si>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</si>
  <si>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</si>
  <si>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</si>
  <si>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</si>
  <si>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</si>
  <si>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</si>
  <si>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</si>
  <si>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</si>
  <si>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</si>
  <si>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</si>
  <si>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</si>
  <si>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</si>
  <si>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</si>
  <si>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</si>
  <si>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</si>
  <si>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</si>
  <si>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</si>
  <si>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</si>
  <si>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</si>
  <si>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</si>
  <si>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</si>
  <si>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</si>
  <si>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</si>
  <si>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</si>
  <si>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</si>
  <si>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</si>
  <si>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</si>
  <si>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</si>
  <si>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</si>
  <si>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</si>
  <si>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</si>
  <si>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</si>
  <si>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</si>
  <si>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</si>
  <si>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</si>
  <si>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</si>
  <si>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</si>
  <si>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</si>
  <si>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</si>
  <si>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</si>
  <si>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</si>
  <si>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</si>
  <si>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</si>
  <si>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</si>
  <si>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</si>
  <si>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</si>
  <si>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</si>
  <si>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</si>
  <si>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</si>
  <si>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</si>
  <si>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</si>
  <si>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</si>
  <si>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</si>
  <si>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</si>
  <si>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</si>
  <si>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</si>
  <si>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</si>
  <si>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</si>
  <si>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</si>
  <si>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</si>
  <si>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</si>
  <si>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</si>
  <si>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</si>
  <si>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</si>
  <si>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</si>
  <si>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</si>
  <si>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</si>
  <si>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</si>
  <si>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</si>
  <si>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</si>
  <si>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</si>
  <si>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</si>
  <si>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</si>
  <si>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</si>
  <si>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</si>
  <si>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</si>
  <si>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</si>
  <si>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</si>
  <si>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</si>
  <si>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</si>
  <si>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</si>
  <si>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</si>
  <si>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</si>
  <si>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</si>
  <si>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</si>
  <si>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</si>
  <si>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</si>
  <si>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</si>
  <si>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</si>
  <si>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</si>
  <si>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</si>
  <si>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</si>
  <si>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</si>
  <si>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</si>
  <si>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</si>
  <si>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</si>
  <si>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</si>
  <si>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</si>
  <si>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</si>
  <si>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</si>
  <si>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</si>
  <si>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</si>
  <si>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</si>
  <si>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</si>
  <si>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</si>
  <si>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</si>
  <si>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</si>
  <si>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</si>
  <si>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</si>
  <si>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</si>
  <si>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</si>
  <si>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</si>
  <si>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</si>
  <si>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</si>
  <si>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</si>
  <si>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</si>
  <si>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</si>
  <si>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</si>
  <si>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</si>
  <si>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</si>
  <si>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</si>
  <si>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</si>
  <si>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</si>
  <si>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</si>
  <si>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</si>
  <si>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</si>
  <si>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</si>
  <si>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</si>
  <si>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</si>
  <si>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</si>
  <si>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</si>
  <si>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</si>
  <si>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</si>
  <si>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</si>
  <si>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</si>
  <si>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</si>
  <si>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</si>
  <si>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</si>
  <si>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</si>
  <si>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</si>
  <si>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</si>
  <si>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</si>
  <si>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</si>
  <si>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</si>
  <si>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</si>
  <si>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</si>
  <si>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</si>
  <si>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</si>
  <si>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</si>
  <si>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</si>
  <si>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</si>
  <si>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</si>
  <si>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</si>
  <si>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</si>
  <si>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</si>
  <si>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</si>
  <si>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</si>
  <si>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</si>
  <si>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</si>
  <si>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</si>
  <si>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</si>
  <si>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</si>
  <si>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</si>
  <si>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</si>
  <si>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</si>
  <si>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</si>
  <si>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</si>
  <si>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</si>
  <si>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</si>
  <si>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</si>
  <si>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</si>
  <si>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</si>
  <si>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</si>
  <si>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</si>
  <si>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</si>
  <si>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</si>
  <si>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</si>
  <si>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</si>
  <si>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</si>
  <si>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</si>
  <si>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</si>
  <si>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</si>
  <si>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</si>
  <si>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</si>
  <si>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</si>
  <si>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</si>
  <si>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</si>
  <si>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</si>
  <si>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</si>
  <si>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</si>
  <si>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</si>
  <si>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</si>
  <si>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</si>
  <si>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</si>
  <si>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</si>
  <si>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</si>
  <si>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</si>
  <si>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</si>
  <si>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</si>
  <si>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</si>
  <si>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</si>
  <si>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</si>
  <si>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</si>
  <si>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</si>
  <si>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</si>
  <si>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</si>
  <si>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</si>
  <si>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</si>
  <si>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</si>
  <si>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</si>
  <si>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</si>
  <si>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</si>
  <si>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</si>
  <si>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</si>
  <si>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</si>
  <si>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</si>
  <si>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</si>
  <si>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</si>
  <si>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</si>
  <si>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</si>
  <si>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</si>
  <si>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</si>
  <si>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</si>
  <si>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</si>
  <si>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</si>
  <si>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</si>
  <si>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</si>
  <si>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</si>
  <si>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</si>
  <si>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</si>
  <si>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</si>
  <si>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</si>
  <si>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</si>
  <si>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</si>
  <si>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</si>
  <si>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</si>
  <si>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</si>
  <si>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</si>
  <si>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</si>
  <si>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</si>
  <si>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</si>
  <si>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</si>
  <si>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</si>
  <si>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</si>
  <si>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</si>
  <si>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</si>
  <si>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</si>
  <si>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</si>
  <si>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</si>
  <si>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</si>
  <si>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</si>
  <si>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</si>
  <si>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</si>
  <si>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</si>
  <si>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</si>
  <si>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</si>
  <si>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</si>
  <si>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</si>
  <si>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</si>
  <si>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</si>
  <si>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</si>
  <si>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</si>
  <si>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</si>
  <si>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</si>
  <si>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</si>
  <si>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</si>
  <si>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</si>
  <si>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</si>
  <si>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</si>
  <si>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</si>
  <si>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</si>
  <si>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</si>
  <si>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</si>
  <si>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</si>
  <si>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</si>
  <si>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</si>
  <si>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</si>
  <si>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</si>
  <si>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</si>
  <si>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</si>
  <si>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</si>
  <si>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</si>
  <si>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</si>
  <si>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</si>
  <si>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</si>
  <si>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</si>
  <si>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</si>
  <si>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</si>
  <si>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</si>
  <si>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</si>
  <si>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</si>
  <si>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</si>
  <si>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</si>
  <si>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</si>
  <si>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</si>
  <si>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</si>
  <si>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</si>
  <si>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</si>
  <si>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</si>
  <si>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</si>
  <si>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</si>
  <si>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</si>
  <si>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</si>
  <si>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</si>
  <si>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</si>
  <si>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</si>
  <si>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</si>
  <si>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</si>
  <si>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</si>
  <si>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</si>
  <si>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</si>
  <si>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</si>
  <si>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</si>
  <si>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</si>
  <si>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</si>
  <si>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</si>
  <si>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</si>
  <si>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</si>
  <si>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</si>
  <si>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</si>
  <si>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</si>
  <si>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</si>
  <si>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</si>
  <si>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</si>
  <si>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</si>
  <si>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</si>
  <si>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</si>
  <si>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</si>
  <si>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</si>
  <si>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</si>
  <si>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</si>
  <si>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</si>
  <si>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</si>
  <si>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</si>
  <si>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</si>
  <si>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</si>
  <si>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</si>
  <si>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</si>
  <si>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</si>
  <si>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</si>
  <si>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</si>
  <si>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</si>
  <si>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</si>
  <si>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</si>
  <si>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</si>
  <si>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</si>
  <si>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</si>
  <si>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</si>
  <si>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</si>
  <si>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</si>
  <si>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</si>
  <si>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</si>
  <si>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</si>
  <si>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</si>
  <si>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</si>
  <si>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</si>
  <si>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</si>
  <si>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</si>
  <si>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</si>
  <si>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</si>
  <si>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</si>
  <si>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</si>
  <si>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</si>
  <si>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</si>
  <si>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</si>
  <si>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</si>
  <si>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</si>
  <si>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</si>
  <si>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</si>
  <si>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</si>
  <si>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</si>
  <si>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</si>
  <si>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</si>
  <si>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</si>
  <si>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</si>
  <si>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</si>
  <si>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</si>
  <si>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</si>
  <si>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</si>
  <si>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</si>
  <si>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</si>
  <si>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</si>
  <si>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</si>
  <si>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</si>
  <si>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</si>
  <si>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</si>
  <si>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</si>
  <si>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</si>
  <si>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</si>
  <si>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</si>
  <si>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</si>
  <si>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</si>
  <si>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</si>
  <si>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</si>
  <si>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</si>
  <si>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</si>
  <si>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</si>
  <si>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</si>
  <si>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</si>
  <si>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</si>
  <si>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</si>
  <si>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</si>
  <si>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</si>
  <si>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</si>
  <si>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</si>
  <si>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</si>
  <si>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</si>
  <si>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</si>
  <si>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</si>
  <si>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</si>
  <si>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</si>
  <si>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</si>
  <si>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</si>
  <si>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</si>
  <si>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</si>
  <si>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</si>
  <si>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</si>
  <si>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</si>
  <si>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</si>
  <si>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</si>
  <si>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</si>
  <si>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</si>
  <si>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</si>
  <si>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</si>
  <si>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</si>
  <si>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</si>
  <si>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</si>
  <si>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</si>
  <si>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</si>
  <si>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</si>
  <si>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</si>
  <si>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</si>
  <si>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</si>
  <si>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</si>
  <si>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</si>
  <si>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</si>
  <si>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</si>
  <si>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</si>
  <si>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</si>
  <si>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</si>
  <si>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</si>
  <si>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</si>
  <si>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</si>
  <si>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</si>
  <si>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</si>
  <si>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</si>
  <si>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</si>
  <si>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</si>
  <si>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</si>
  <si>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</si>
  <si>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</si>
  <si>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</si>
  <si>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</si>
  <si>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</si>
  <si>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</si>
  <si>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</si>
  <si>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</si>
  <si>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</si>
  <si>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</si>
  <si>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</si>
  <si>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</si>
  <si>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</si>
  <si>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</si>
  <si>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</si>
  <si>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</si>
  <si>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</si>
  <si>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</si>
  <si>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</si>
  <si>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</si>
  <si>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</si>
  <si>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</si>
  <si>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</si>
  <si>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</si>
  <si>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</si>
  <si>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</si>
  <si>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</si>
  <si>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</si>
  <si>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</si>
  <si>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</si>
  <si>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</si>
  <si>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</si>
  <si>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</si>
  <si>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</si>
  <si>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</si>
  <si>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</si>
  <si>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</si>
  <si>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</si>
  <si>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</si>
  <si>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</si>
  <si>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</si>
  <si>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</si>
  <si>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</si>
  <si>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</si>
  <si>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</si>
  <si>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</si>
  <si>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</si>
  <si>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</si>
  <si>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</si>
  <si>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</si>
  <si>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</si>
  <si>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</si>
  <si>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</si>
  <si>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</si>
  <si>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</si>
  <si>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</si>
  <si>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</si>
  <si>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</si>
  <si>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</si>
  <si>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</si>
  <si>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</si>
  <si>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</si>
  <si>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</si>
  <si>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</si>
  <si>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</si>
  <si>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</si>
  <si>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</si>
  <si>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</si>
  <si>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</si>
  <si>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</si>
  <si>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</si>
  <si>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</si>
  <si>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</si>
  <si>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</si>
  <si>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</si>
  <si>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</si>
  <si>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</si>
  <si>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</si>
  <si>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</si>
  <si>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</si>
  <si>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</si>
  <si>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</si>
  <si>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</si>
  <si>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</si>
  <si>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</si>
  <si>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</si>
  <si>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</si>
  <si>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</si>
  <si>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</si>
  <si>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</si>
  <si>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</si>
  <si>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</si>
  <si>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</si>
  <si>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</si>
  <si>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</si>
  <si>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</si>
  <si>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</si>
  <si>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</si>
  <si>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</si>
  <si>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</si>
  <si>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</si>
  <si>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</si>
  <si>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</si>
  <si>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</si>
  <si>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</si>
  <si>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</si>
  <si>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</si>
  <si>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</si>
  <si>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</si>
  <si>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</si>
  <si>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</si>
  <si>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</si>
  <si>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</si>
  <si>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</si>
  <si>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</si>
  <si>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</si>
  <si>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</si>
  <si>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</si>
  <si>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</si>
  <si>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</si>
  <si>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</si>
  <si>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</si>
  <si>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</si>
  <si>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</si>
  <si>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</si>
  <si>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</si>
  <si>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</si>
  <si>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</si>
  <si>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</si>
  <si>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</si>
  <si>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</si>
  <si>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</si>
  <si>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</si>
  <si>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</si>
  <si>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</si>
  <si>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</si>
  <si>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</si>
  <si>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</si>
  <si>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</si>
  <si>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</si>
  <si>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</si>
  <si>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</si>
  <si>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</si>
  <si>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</si>
  <si>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</si>
  <si>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</si>
  <si>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</si>
  <si>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</si>
  <si>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</si>
  <si>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</si>
  <si>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</si>
  <si>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</si>
  <si>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</si>
  <si>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</si>
  <si>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</si>
  <si>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</si>
  <si>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</si>
  <si>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</si>
  <si>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</si>
  <si>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</si>
  <si>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</si>
  <si>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</si>
  <si>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</si>
  <si>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</si>
  <si>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</si>
  <si>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</si>
  <si>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</si>
  <si>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</si>
  <si>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</si>
  <si>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</si>
  <si>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</si>
  <si>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</si>
  <si>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</si>
  <si>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</si>
  <si>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</si>
  <si>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</si>
  <si>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</si>
  <si>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</si>
  <si>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</si>
  <si>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</si>
  <si>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</si>
  <si>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</si>
  <si>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</si>
  <si>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</si>
  <si>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</si>
  <si>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</si>
  <si>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</si>
  <si>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</si>
  <si>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</si>
  <si>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</si>
  <si>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</si>
  <si>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</si>
  <si>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</si>
  <si>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</si>
  <si>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</si>
  <si>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</si>
  <si>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</si>
  <si>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</si>
  <si>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</si>
  <si>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</si>
  <si>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</si>
  <si>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</si>
  <si>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</si>
  <si>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</si>
  <si>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</si>
  <si>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</si>
  <si>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</si>
  <si>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</si>
  <si>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</si>
  <si>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</si>
  <si>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</si>
  <si>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</si>
  <si>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</si>
  <si>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</si>
  <si>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</si>
  <si>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</si>
  <si>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</si>
  <si>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</si>
  <si>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</si>
  <si>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</si>
  <si>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</si>
  <si>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</si>
  <si>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</si>
  <si>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</si>
  <si>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</si>
  <si>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</si>
  <si>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</si>
  <si>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</si>
  <si>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</si>
  <si>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</si>
  <si>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</si>
  <si>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</si>
  <si>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</si>
  <si>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</si>
  <si>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</si>
  <si>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</si>
  <si>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</si>
  <si>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</si>
  <si>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</si>
  <si>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</si>
  <si>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</si>
  <si>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</si>
  <si>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</si>
  <si>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</si>
  <si>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</si>
  <si>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</si>
  <si>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</si>
  <si>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</si>
  <si>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</si>
  <si>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</si>
  <si>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</si>
  <si>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</si>
  <si>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</si>
  <si>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</si>
  <si>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</si>
  <si>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</si>
  <si>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</si>
  <si>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</si>
  <si>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</si>
  <si>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</si>
  <si>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</si>
  <si>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</si>
  <si>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</si>
  <si>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</si>
  <si>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</si>
  <si>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</si>
  <si>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</si>
  <si>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</si>
  <si>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</si>
  <si>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</si>
  <si>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</si>
  <si>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</si>
  <si>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</si>
  <si>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</si>
  <si>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</si>
  <si>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</si>
  <si>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</si>
  <si>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</si>
  <si>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</si>
  <si>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</si>
  <si>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</si>
  <si>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</si>
  <si>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</si>
  <si>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</si>
  <si>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</si>
  <si>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</si>
  <si>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</si>
  <si>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</si>
  <si>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</si>
  <si>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</si>
  <si>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</si>
  <si>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</si>
  <si>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</si>
  <si>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</si>
  <si>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</si>
  <si>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</si>
  <si>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</si>
  <si>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</si>
  <si>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</si>
  <si>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</si>
  <si>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</si>
  <si>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</si>
  <si>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</si>
  <si>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</si>
  <si>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</si>
  <si>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</si>
  <si>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</si>
  <si>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</si>
  <si>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</si>
  <si>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</si>
  <si>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</si>
  <si>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</si>
  <si>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</si>
  <si>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</si>
  <si>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</si>
  <si>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</si>
  <si>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</si>
  <si>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</si>
  <si>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</si>
  <si>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</si>
  <si>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</si>
  <si>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</si>
  <si>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</si>
  <si>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</si>
  <si>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</si>
  <si>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</si>
  <si>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</si>
  <si>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</si>
  <si>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</si>
  <si>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</si>
  <si>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</si>
  <si>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</si>
  <si>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</si>
  <si>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</si>
  <si>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</si>
  <si>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</si>
  <si>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</si>
  <si>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</si>
  <si>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</si>
  <si>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</si>
  <si>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</si>
  <si>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</si>
  <si>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</si>
  <si>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</si>
  <si>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</si>
  <si>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</si>
  <si>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</si>
  <si>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</si>
  <si>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</si>
  <si>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</si>
  <si>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</si>
  <si>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</si>
  <si>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</si>
  <si>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</si>
  <si>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</si>
  <si>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</si>
  <si>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</si>
  <si>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</si>
  <si>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</si>
  <si>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</si>
  <si>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</si>
  <si>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</si>
  <si>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</si>
  <si>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</si>
  <si>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</si>
  <si>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</si>
  <si>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</si>
  <si>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</si>
  <si>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</si>
  <si>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</si>
  <si>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</si>
  <si>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</si>
  <si>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</si>
  <si>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</si>
  <si>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</si>
  <si>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</si>
  <si>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</si>
  <si>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</si>
  <si>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</si>
  <si>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</si>
  <si>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</si>
  <si>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</si>
  <si>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</si>
  <si>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</si>
  <si>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</si>
  <si>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</si>
  <si>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</si>
  <si>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</si>
  <si>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</si>
  <si>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</si>
  <si>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</si>
  <si>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</si>
  <si>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</si>
  <si>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</si>
  <si>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</si>
  <si>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</si>
  <si>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</si>
  <si>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</si>
  <si>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</si>
  <si>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</si>
  <si>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</si>
  <si>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</si>
  <si>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</si>
  <si>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</si>
  <si>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</si>
  <si>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</si>
  <si>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</si>
  <si>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</si>
  <si>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</si>
  <si>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</si>
  <si>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</si>
  <si>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</si>
  <si>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</si>
  <si>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</si>
  <si>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</si>
  <si>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</si>
  <si>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</si>
  <si>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</si>
  <si>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</si>
  <si>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</si>
  <si>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</si>
  <si>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</si>
  <si>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</si>
  <si>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</si>
  <si>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</si>
  <si>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</si>
  <si>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</si>
  <si>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</si>
  <si>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</si>
  <si>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</si>
  <si>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</si>
  <si>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</si>
  <si>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</si>
  <si>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</si>
  <si>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</si>
  <si>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</si>
  <si>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</si>
  <si>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</si>
  <si>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</si>
  <si>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</si>
  <si>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</si>
  <si>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</si>
  <si>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</si>
  <si>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</si>
  <si>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</si>
  <si>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</si>
  <si>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</si>
  <si>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</si>
  <si>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</si>
  <si>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</si>
  <si>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</si>
  <si>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</si>
  <si>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</si>
  <si>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</si>
  <si>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</si>
  <si>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</si>
  <si>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</si>
  <si>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</si>
  <si>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</si>
  <si>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</si>
  <si>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</si>
  <si>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</si>
  <si>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</si>
  <si>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</si>
  <si>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</si>
  <si>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</si>
  <si>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</si>
  <si>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</si>
  <si>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</si>
  <si>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</si>
  <si>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</si>
  <si>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</si>
  <si>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</si>
  <si>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</si>
  <si>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</si>
  <si>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</si>
  <si>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</si>
  <si>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</si>
  <si>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</si>
  <si>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</si>
  <si>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</si>
  <si>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</si>
  <si>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</si>
  <si>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</si>
  <si>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</si>
  <si>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</si>
  <si>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</si>
  <si>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</si>
  <si>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</si>
  <si>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</si>
  <si>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</si>
  <si>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</si>
  <si>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</si>
  <si>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</si>
  <si>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</si>
  <si>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</si>
  <si>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</si>
  <si>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</si>
  <si>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</si>
  <si>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</si>
  <si>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</si>
  <si>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</si>
  <si>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</si>
  <si>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</si>
  <si>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</si>
  <si>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</si>
  <si>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</si>
  <si>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</si>
  <si>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</si>
  <si>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</si>
  <si>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</si>
  <si>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</si>
  <si>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</si>
  <si>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</si>
  <si>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</si>
  <si>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</si>
  <si>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</si>
  <si>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</si>
  <si>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</si>
  <si>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</si>
  <si>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</si>
  <si>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</si>
  <si>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</si>
  <si>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</si>
  <si>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</si>
  <si>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</si>
  <si>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</si>
  <si>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</si>
  <si>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</si>
  <si>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</si>
  <si>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</si>
  <si>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</si>
  <si>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</si>
  <si>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</si>
  <si>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</si>
  <si>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</si>
  <si>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</si>
  <si>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</si>
  <si>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</si>
  <si>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</si>
  <si>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</si>
  <si>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</si>
  <si>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</si>
  <si>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</si>
  <si>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</si>
  <si>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</si>
  <si>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</si>
  <si>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</si>
  <si>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</si>
  <si>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</si>
  <si>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</si>
  <si>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</si>
  <si>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</si>
  <si>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</si>
  <si>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</si>
  <si>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</si>
  <si>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</si>
  <si>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</si>
  <si>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</si>
  <si>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</si>
  <si>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</si>
  <si>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</si>
  <si>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</si>
  <si>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</si>
  <si>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</si>
  <si>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</si>
  <si>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</si>
  <si>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</si>
  <si>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</si>
  <si>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</si>
  <si>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</si>
  <si>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</si>
  <si>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</si>
  <si>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</si>
  <si>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</si>
  <si>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</si>
  <si>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</si>
  <si>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</si>
  <si>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</si>
  <si>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</si>
  <si>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</si>
  <si>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</si>
  <si>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</si>
  <si>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</si>
  <si>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</si>
  <si>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</si>
  <si>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</si>
  <si>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</si>
  <si>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</si>
  <si>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</si>
  <si>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</si>
  <si>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</si>
  <si>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</si>
  <si>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</si>
  <si>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</si>
  <si>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</si>
  <si>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</si>
  <si>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</si>
  <si>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</si>
  <si>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</si>
  <si>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</si>
  <si>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</si>
  <si>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</si>
  <si>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</si>
  <si>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</si>
  <si>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</si>
  <si>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</si>
  <si>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</si>
  <si>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</si>
  <si>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</si>
  <si>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</si>
  <si>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</si>
  <si>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</si>
  <si>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</si>
  <si>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</si>
  <si>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</si>
  <si>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</si>
  <si>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</si>
  <si>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</si>
  <si>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</si>
  <si>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</si>
  <si>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</si>
  <si>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</si>
  <si>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</si>
  <si>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</si>
  <si>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</si>
  <si>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</si>
  <si>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</si>
  <si>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</si>
  <si>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</si>
  <si>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</si>
  <si>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</si>
  <si>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</si>
  <si>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</si>
  <si>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</si>
  <si>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</si>
  <si>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</si>
  <si>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</si>
  <si>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</si>
  <si>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</si>
  <si>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</si>
  <si>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</si>
  <si>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</si>
  <si>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</si>
  <si>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</si>
  <si>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</si>
  <si>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</si>
  <si>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</si>
  <si>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</si>
  <si>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</si>
  <si>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</si>
  <si>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</si>
  <si>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</si>
  <si>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</si>
  <si>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</si>
  <si>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</si>
  <si>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</si>
  <si>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</si>
  <si>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</si>
  <si>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</si>
  <si>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</si>
  <si>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</si>
  <si>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</si>
  <si>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</si>
  <si>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</si>
  <si>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</si>
  <si>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</si>
  <si>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</si>
  <si>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</si>
  <si>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</si>
  <si>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</si>
  <si>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</si>
  <si>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</si>
  <si>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</si>
  <si>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</si>
  <si>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</si>
  <si>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</si>
  <si>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</si>
  <si>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</si>
  <si>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</si>
  <si>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</si>
  <si>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</si>
  <si>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</si>
  <si>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</si>
  <si>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</si>
  <si>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</si>
  <si>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</si>
  <si>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</si>
  <si>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</si>
  <si>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</si>
  <si>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</si>
  <si>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</si>
  <si>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</si>
  <si>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</si>
  <si>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</si>
  <si>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</si>
  <si>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</si>
  <si>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</si>
  <si>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</si>
  <si>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</si>
  <si>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</si>
  <si>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</si>
  <si>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</si>
  <si>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</si>
  <si>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</si>
  <si>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</si>
  <si>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</si>
  <si>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</si>
  <si>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</si>
  <si>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</si>
  <si>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</si>
  <si>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</si>
  <si>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</si>
  <si>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</si>
  <si>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</si>
  <si>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</si>
  <si>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</si>
  <si>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</si>
  <si>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</si>
  <si>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</si>
  <si>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</si>
  <si>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</si>
  <si>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</si>
  <si>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</si>
  <si>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</si>
  <si>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</si>
  <si>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</si>
  <si>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</si>
  <si>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</si>
  <si>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</si>
  <si>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</si>
  <si>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</si>
  <si>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</si>
  <si>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</si>
  <si>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</si>
  <si>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</si>
  <si>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</si>
  <si>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</si>
  <si>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</si>
  <si>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</si>
  <si>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</si>
  <si>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</si>
  <si>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</si>
  <si>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</si>
  <si>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</si>
  <si>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</si>
  <si>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</si>
  <si>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</si>
  <si>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</si>
  <si>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</si>
  <si>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</si>
  <si>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</si>
  <si>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</si>
  <si>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</si>
  <si>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</si>
  <si>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</si>
  <si>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</si>
  <si>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</si>
  <si>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</si>
  <si>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</si>
  <si>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</si>
  <si>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</si>
  <si>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</si>
  <si>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</si>
  <si>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</si>
  <si>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</si>
  <si>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</si>
  <si>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</si>
  <si>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</si>
  <si>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</si>
  <si>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</si>
  <si>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</si>
  <si>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</si>
  <si>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</si>
  <si>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</si>
  <si>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</si>
  <si>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</si>
  <si>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</si>
  <si>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</si>
  <si>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</si>
  <si>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</si>
  <si>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</si>
  <si>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</si>
  <si>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</si>
  <si>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</si>
  <si>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</si>
  <si>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</si>
  <si>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</si>
  <si>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</si>
  <si>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</si>
  <si>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</si>
  <si>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</si>
  <si>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</si>
  <si>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</si>
  <si>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</si>
  <si>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</si>
  <si>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</si>
  <si>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</si>
  <si>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</si>
  <si>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</si>
  <si>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</si>
  <si>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</si>
  <si>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</si>
  <si>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</si>
  <si>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</si>
  <si>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</si>
  <si>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</si>
  <si>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</si>
  <si>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</si>
  <si>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</si>
  <si>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</si>
  <si>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</si>
  <si>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</si>
  <si>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</si>
  <si>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</si>
  <si>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</si>
  <si>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</si>
  <si>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</si>
  <si>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</si>
  <si>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</si>
  <si>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</si>
  <si>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</si>
  <si>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</si>
  <si>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</si>
  <si>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</si>
  <si>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</si>
  <si>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</si>
  <si>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</si>
  <si>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</si>
  <si>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</si>
  <si>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</si>
  <si>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</si>
  <si>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</si>
  <si>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</si>
  <si>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</si>
  <si>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</si>
  <si>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</si>
  <si>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</si>
  <si>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</si>
  <si>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</si>
  <si>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</si>
  <si>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</si>
  <si>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</si>
  <si>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</si>
  <si>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</si>
  <si>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</si>
  <si>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</si>
  <si>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</si>
  <si>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</si>
  <si>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</si>
  <si>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</si>
  <si>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</si>
  <si>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</si>
  <si>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</si>
  <si>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</si>
  <si>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</si>
  <si>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</si>
  <si>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</si>
  <si>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</si>
  <si>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</si>
  <si>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</si>
  <si>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</si>
  <si>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</si>
  <si>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</si>
  <si>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</si>
  <si>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</si>
  <si>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</si>
  <si>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</si>
  <si>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</si>
  <si>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</si>
  <si>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</si>
  <si>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</si>
  <si>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</si>
  <si>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</si>
  <si>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</si>
  <si>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</si>
  <si>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</si>
  <si>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</si>
  <si>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</si>
  <si>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</si>
  <si>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</si>
  <si>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</si>
  <si>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</si>
  <si>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</si>
  <si>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</si>
  <si>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</si>
  <si>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</si>
  <si>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</si>
  <si>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</si>
  <si>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</si>
  <si>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</si>
  <si>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</si>
  <si>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</si>
  <si>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</si>
  <si>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</si>
  <si>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</si>
  <si>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</si>
  <si>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</si>
  <si>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</si>
  <si>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</si>
  <si>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</si>
  <si>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</si>
  <si>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</si>
  <si>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</si>
  <si>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</si>
  <si>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</si>
  <si>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</si>
  <si>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</si>
  <si>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</si>
  <si>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</si>
  <si>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</si>
  <si>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</si>
  <si>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</si>
  <si>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</si>
  <si>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</si>
  <si>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</si>
  <si>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</si>
  <si>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</si>
  <si>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</si>
  <si>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</si>
  <si>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</si>
  <si>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</si>
  <si>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</si>
  <si>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</si>
  <si>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</si>
  <si>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</si>
  <si>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</si>
  <si>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</si>
  <si>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</si>
  <si>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</si>
  <si>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</si>
  <si>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</si>
  <si>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</si>
  <si>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</si>
  <si>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</si>
  <si>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</si>
  <si>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</si>
  <si>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</si>
  <si>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</si>
  <si>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</si>
  <si>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</si>
  <si>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</si>
  <si>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</si>
  <si>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</si>
  <si>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</si>
  <si>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</si>
  <si>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</si>
  <si>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</si>
  <si>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</si>
  <si>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</si>
  <si>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</si>
  <si>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</si>
  <si>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</si>
  <si>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</si>
  <si>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</si>
  <si>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</si>
  <si>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</si>
  <si>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</si>
  <si>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</si>
  <si>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</si>
  <si>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</si>
  <si>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</si>
  <si>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</si>
  <si>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</si>
  <si>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</si>
  <si>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</si>
  <si>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</si>
  <si>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</si>
  <si>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</si>
  <si>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</si>
  <si>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</si>
  <si>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</si>
  <si>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</si>
  <si>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</si>
  <si>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</si>
  <si>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</si>
  <si>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</si>
  <si>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</si>
  <si>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</si>
  <si>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</si>
  <si>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</si>
  <si>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</si>
  <si>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</si>
  <si>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</si>
  <si>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</si>
  <si>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</si>
  <si>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</si>
  <si>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</si>
  <si>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</si>
  <si>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</si>
  <si>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</si>
  <si>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</si>
  <si>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</si>
  <si>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</si>
  <si>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</si>
  <si>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</si>
  <si>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</si>
  <si>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</si>
  <si>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</si>
  <si>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</si>
  <si>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</si>
  <si>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</si>
  <si>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</si>
  <si>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</si>
  <si>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</si>
  <si>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</si>
  <si>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</si>
  <si>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</si>
  <si>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</si>
  <si>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</si>
  <si>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</si>
  <si>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</si>
  <si>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</si>
  <si>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</si>
  <si>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</si>
  <si>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</si>
  <si>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</si>
  <si>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</si>
  <si>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</si>
  <si>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</si>
  <si>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</si>
  <si>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</si>
  <si>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</si>
  <si>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</si>
  <si>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</si>
  <si>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</si>
  <si>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</si>
  <si>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</si>
  <si>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</si>
  <si>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</si>
  <si>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</si>
  <si>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</si>
  <si>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</si>
  <si>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</si>
  <si>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</si>
  <si>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</si>
  <si>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</si>
  <si>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</si>
  <si>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</si>
  <si>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</si>
  <si>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</si>
  <si>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</si>
  <si>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</si>
  <si>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</si>
  <si>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</si>
  <si>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</si>
  <si>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</si>
  <si>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</si>
  <si>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</si>
  <si>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</si>
  <si>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</si>
  <si>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</si>
  <si>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</si>
  <si>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</si>
  <si>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</si>
  <si>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</si>
  <si>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</si>
  <si>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</si>
  <si>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</si>
  <si>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</si>
  <si>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</si>
  <si>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</si>
  <si>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</si>
  <si>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</si>
  <si>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</si>
  <si>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</si>
  <si>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</si>
  <si>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</si>
  <si>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</si>
  <si>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</si>
  <si>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</si>
  <si>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</si>
  <si>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</si>
  <si>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</si>
  <si>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</si>
  <si>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</si>
  <si>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</si>
  <si>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</si>
  <si>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</si>
  <si>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</si>
  <si>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</si>
  <si>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</si>
  <si>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</si>
  <si>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</si>
  <si>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</si>
  <si>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</si>
  <si>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</si>
  <si>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</si>
  <si>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</si>
  <si>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</si>
  <si>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</si>
  <si>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</si>
  <si>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</si>
  <si>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</si>
  <si>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</si>
  <si>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</si>
  <si>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</si>
  <si>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</si>
  <si>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</si>
  <si>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</si>
  <si>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</si>
  <si>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</si>
  <si>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</si>
  <si>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</si>
  <si>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</si>
  <si>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</si>
  <si>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</si>
  <si>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</si>
  <si>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</si>
  <si>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</si>
  <si>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</si>
  <si>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</si>
  <si>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</si>
  <si>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</si>
  <si>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</si>
  <si>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</si>
  <si>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</si>
  <si>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</si>
  <si>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</si>
  <si>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</si>
  <si>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</si>
  <si>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</si>
  <si>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</si>
  <si>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</si>
  <si>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</si>
  <si>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</si>
  <si>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</si>
  <si>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</si>
  <si>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</si>
  <si>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</si>
  <si>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</si>
  <si>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</si>
  <si>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</si>
  <si>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</si>
  <si>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</si>
  <si>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</si>
  <si>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</si>
  <si>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</si>
  <si>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</si>
  <si>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</si>
  <si>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</si>
  <si>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</si>
  <si>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</si>
  <si>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</si>
  <si>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</si>
  <si>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</si>
  <si>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</si>
  <si>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</si>
  <si>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</si>
  <si>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</si>
  <si>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</si>
  <si>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</si>
  <si>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</si>
  <si>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</si>
  <si>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</si>
  <si>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</si>
  <si>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</si>
  <si>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</si>
  <si>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</si>
  <si>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</si>
  <si>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</si>
  <si>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</si>
  <si>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</si>
  <si>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</si>
  <si>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</si>
  <si>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</si>
  <si>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</si>
  <si>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</si>
  <si>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</si>
  <si>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</si>
  <si>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</si>
  <si>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</si>
  <si>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</si>
  <si>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</si>
  <si>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</si>
  <si>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</si>
  <si>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</si>
  <si>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</si>
  <si>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</si>
  <si>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</si>
  <si>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</si>
  <si>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</si>
  <si>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</si>
  <si>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</si>
  <si>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</si>
  <si>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</si>
  <si>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</si>
  <si>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</si>
  <si>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</si>
  <si>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</si>
  <si>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</si>
  <si>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</si>
  <si>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</si>
  <si>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</si>
  <si>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</si>
  <si>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</si>
  <si>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</si>
  <si>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</si>
  <si>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</si>
  <si>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</si>
  <si>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</si>
  <si>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</si>
  <si>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</si>
  <si>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</si>
  <si>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</si>
  <si>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</si>
  <si>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</si>
  <si>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</si>
  <si>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</si>
  <si>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</si>
  <si>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</si>
  <si>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</si>
  <si>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</si>
  <si>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</si>
  <si>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</si>
  <si>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</si>
  <si>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</si>
  <si>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</si>
  <si>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</si>
  <si>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</si>
  <si>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</si>
  <si>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</si>
  <si>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</si>
  <si>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</si>
  <si>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</si>
  <si>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</si>
  <si>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</si>
  <si>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</si>
  <si>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</si>
  <si>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</si>
  <si>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</si>
  <si>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</si>
  <si>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</si>
  <si>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</si>
  <si>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</si>
  <si>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</si>
  <si>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</si>
  <si>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</si>
  <si>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</si>
  <si>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</si>
  <si>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</si>
  <si>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</si>
  <si>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</si>
  <si>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</si>
  <si>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</si>
  <si>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</si>
  <si>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</si>
  <si>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</si>
  <si>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</si>
  <si>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</si>
  <si>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</si>
  <si>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</si>
  <si>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</si>
  <si>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</si>
  <si>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</si>
  <si>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</si>
  <si>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</si>
  <si>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</si>
  <si>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</si>
  <si>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</si>
  <si>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</si>
  <si>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</si>
  <si>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</si>
  <si>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</si>
  <si>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</si>
  <si>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</si>
  <si>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</si>
  <si>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</si>
  <si>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</si>
  <si>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</si>
  <si>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</si>
  <si>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</si>
  <si>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</si>
  <si>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</si>
  <si>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</si>
  <si>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</si>
  <si>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</si>
  <si>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</si>
  <si>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</si>
  <si>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</si>
  <si>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</si>
  <si>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</si>
  <si>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</si>
  <si>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</si>
  <si>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</si>
  <si>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</si>
  <si>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</si>
  <si>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</si>
  <si>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</si>
  <si>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</si>
  <si>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</si>
  <si>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</si>
  <si>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</si>
  <si>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</si>
  <si>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</si>
  <si>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</si>
  <si>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</si>
  <si>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</si>
  <si>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</si>
  <si>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</si>
  <si>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</si>
  <si>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</si>
  <si>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</si>
  <si>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</si>
  <si>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</si>
  <si>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</si>
  <si>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</si>
  <si>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</si>
  <si>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</si>
  <si>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</si>
  <si>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</si>
  <si>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</si>
  <si>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</si>
  <si>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</si>
  <si>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</si>
  <si>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</si>
  <si>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</si>
  <si>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</si>
  <si>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</si>
  <si>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</si>
  <si>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</si>
  <si>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</si>
  <si>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</si>
  <si>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</si>
  <si>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</si>
  <si>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</si>
  <si>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</si>
  <si>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</si>
  <si>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</si>
  <si>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</si>
  <si>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</si>
  <si>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</si>
  <si>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</si>
  <si>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</si>
  <si>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</si>
  <si>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</si>
  <si>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</si>
  <si>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</si>
  <si>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</si>
  <si>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</si>
  <si>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</si>
  <si>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</si>
  <si>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</si>
  <si>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</si>
  <si>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</si>
  <si>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</si>
  <si>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</si>
  <si>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</si>
  <si>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</si>
  <si>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</si>
  <si>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</si>
  <si>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</si>
  <si>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</si>
  <si>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</si>
  <si>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</si>
  <si>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</si>
  <si>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</si>
  <si>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</si>
  <si>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</si>
  <si>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</si>
  <si>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</si>
  <si>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</si>
  <si>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</si>
  <si>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</si>
  <si>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</si>
  <si>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</si>
  <si>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</si>
  <si>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</si>
  <si>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</si>
  <si>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</si>
  <si>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</si>
  <si>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</si>
  <si>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</si>
  <si>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</si>
  <si>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</si>
  <si>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</si>
  <si>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</si>
  <si>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</si>
  <si>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</si>
  <si>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</si>
  <si>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</si>
  <si>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</si>
  <si>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</si>
  <si>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</si>
  <si>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</si>
  <si>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</si>
  <si>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</si>
  <si>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</si>
  <si>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</si>
  <si>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</si>
  <si>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</si>
  <si>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</si>
  <si>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</si>
  <si>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</si>
  <si>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</si>
  <si>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</si>
  <si>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</si>
  <si>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</si>
  <si>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</si>
  <si>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</si>
  <si>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</si>
  <si>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</si>
  <si>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</si>
  <si>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</si>
  <si>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</si>
  <si>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</si>
  <si>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</si>
  <si>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</si>
  <si>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</si>
  <si>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</si>
  <si>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</si>
  <si>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</si>
  <si>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</si>
  <si>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</si>
  <si>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</si>
  <si>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</si>
  <si>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</si>
  <si>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</si>
  <si>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</si>
  <si>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</si>
  <si>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</si>
  <si>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</si>
  <si>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</si>
  <si>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</si>
  <si>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</si>
  <si>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</si>
  <si>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</si>
  <si>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</si>
  <si>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</si>
  <si>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</si>
  <si>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</si>
  <si>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</si>
  <si>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</si>
  <si>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</si>
  <si>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</si>
  <si>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</si>
  <si>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</si>
  <si>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</si>
  <si>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</si>
  <si>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</si>
  <si>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</si>
  <si>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</si>
  <si>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</si>
  <si>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</si>
  <si>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</si>
  <si>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</si>
  <si>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</si>
  <si>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</si>
  <si>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</si>
  <si>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</si>
  <si>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</si>
  <si>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</si>
  <si>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</si>
  <si>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</si>
  <si>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</si>
  <si>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</si>
  <si>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</si>
  <si>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</si>
  <si>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</si>
  <si>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</si>
  <si>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</si>
  <si>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</si>
  <si>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</si>
  <si>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</si>
  <si>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</si>
  <si>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</si>
  <si>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</si>
  <si>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</si>
  <si>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</si>
  <si>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</si>
  <si>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</si>
  <si>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</si>
  <si>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</si>
  <si>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</si>
  <si>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</si>
  <si>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</si>
  <si>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</si>
  <si>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</si>
  <si>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</si>
  <si>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</si>
  <si>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</si>
  <si>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</si>
  <si>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</si>
  <si>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</si>
  <si>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</si>
  <si>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</si>
  <si>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</si>
  <si>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</si>
  <si>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</si>
  <si>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</si>
  <si>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</si>
  <si>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</si>
  <si>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</si>
  <si>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</si>
  <si>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</si>
  <si>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</si>
  <si>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</si>
  <si>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</si>
  <si>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</si>
  <si>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</si>
  <si>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</si>
  <si>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</si>
  <si>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</si>
  <si>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</si>
  <si>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</si>
  <si>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</si>
  <si>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</si>
  <si>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</si>
  <si>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</si>
  <si>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</si>
  <si>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</si>
  <si>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</si>
  <si>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</si>
  <si>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</si>
  <si>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</si>
  <si>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</si>
  <si>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</si>
  <si>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</si>
  <si>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</si>
  <si>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</si>
  <si>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</si>
  <si>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</si>
  <si>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</si>
  <si>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</si>
  <si>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</si>
  <si>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</si>
  <si>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</si>
  <si>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</si>
  <si>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</si>
  <si>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</si>
  <si>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</si>
  <si>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</si>
  <si>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</si>
  <si>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</si>
  <si>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</si>
  <si>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</si>
  <si>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</si>
  <si>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</si>
  <si>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</si>
  <si>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</si>
  <si>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</si>
  <si>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</si>
  <si>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</si>
  <si>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</si>
  <si>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</si>
  <si>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</si>
  <si>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</si>
  <si>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</si>
  <si>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</si>
  <si>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</si>
  <si>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</si>
  <si>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</si>
  <si>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</si>
  <si>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</si>
  <si>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</si>
  <si>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</si>
  <si>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</si>
  <si>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</si>
  <si>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</si>
  <si>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</si>
  <si>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</si>
  <si>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</si>
  <si>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</si>
  <si>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</si>
  <si>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</si>
  <si>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</si>
  <si>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</si>
  <si>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</si>
  <si>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</si>
  <si>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</si>
  <si>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</si>
  <si>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</si>
  <si>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</si>
  <si>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</si>
  <si>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</si>
  <si>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</si>
  <si>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</si>
  <si>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</si>
  <si>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</si>
  <si>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</si>
  <si>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</si>
  <si>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</si>
  <si>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</si>
  <si>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</si>
  <si>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</si>
  <si>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</si>
  <si>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</si>
  <si>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</si>
  <si>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</si>
  <si>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</si>
  <si>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</si>
  <si>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</si>
  <si>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</si>
  <si>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</si>
  <si>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</si>
  <si>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</si>
  <si>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</si>
  <si>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</si>
  <si>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</si>
  <si>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</si>
  <si>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</si>
  <si>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</si>
  <si>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</si>
  <si>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</si>
  <si>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</si>
  <si>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</si>
  <si>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</si>
  <si>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</si>
  <si>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</si>
  <si>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</si>
  <si>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</si>
  <si>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</si>
  <si>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</si>
  <si>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</si>
  <si>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</si>
  <si>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</si>
  <si>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</si>
  <si>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</si>
  <si>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</si>
  <si>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</si>
  <si>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</si>
  <si>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</si>
  <si>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</si>
  <si>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</si>
  <si>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</si>
  <si>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</si>
  <si>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</si>
  <si>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</si>
  <si>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</si>
  <si>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</si>
  <si>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</si>
  <si>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</si>
  <si>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</si>
  <si>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</si>
  <si>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</si>
  <si>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</si>
  <si>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</si>
  <si>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</si>
  <si>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</si>
  <si>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</si>
  <si>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</si>
  <si>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</si>
  <si>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</si>
  <si>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</si>
  <si>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</si>
  <si>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</si>
  <si>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</si>
  <si>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</si>
  <si>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</si>
  <si>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</si>
  <si>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</si>
  <si>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</si>
  <si>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</si>
  <si>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</si>
  <si>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</si>
  <si>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</si>
  <si>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</si>
  <si>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</si>
  <si>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</si>
  <si>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</si>
  <si>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</si>
  <si>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</si>
  <si>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</si>
  <si>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</si>
  <si>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</si>
  <si>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</si>
  <si>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</si>
  <si>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</si>
  <si>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</si>
  <si>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</si>
  <si>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</si>
  <si>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</si>
  <si>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</si>
  <si>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</si>
  <si>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</si>
  <si>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</si>
  <si>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</si>
  <si>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</si>
  <si>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</si>
  <si>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</si>
  <si>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</si>
  <si>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</si>
  <si>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</si>
  <si>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</si>
  <si>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</si>
  <si>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</si>
  <si>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</si>
  <si>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</si>
  <si>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</si>
  <si>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</si>
  <si>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</si>
  <si>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</si>
  <si>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</si>
  <si>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</si>
  <si>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</si>
  <si>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</si>
  <si>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</si>
  <si>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</si>
  <si>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</si>
  <si>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</si>
  <si>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</si>
  <si>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</si>
  <si>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</si>
  <si>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</si>
  <si>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</si>
  <si>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</si>
  <si>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</si>
  <si>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</si>
  <si>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</si>
  <si>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</si>
  <si>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</si>
  <si>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</si>
  <si>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</si>
  <si>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</si>
  <si>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</si>
  <si>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</si>
  <si>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</si>
  <si>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</si>
  <si>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</si>
  <si>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</si>
  <si>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</si>
  <si>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</si>
  <si>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</si>
  <si>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</si>
  <si>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</si>
  <si>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</si>
  <si>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</si>
  <si>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</si>
  <si>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</si>
  <si>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</si>
  <si>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</si>
  <si>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</si>
  <si>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</si>
  <si>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</si>
  <si>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</si>
  <si>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</si>
  <si>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</si>
  <si>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</si>
  <si>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</si>
  <si>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</si>
  <si>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</si>
  <si>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</si>
  <si>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</si>
  <si>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</si>
  <si>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</si>
  <si>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</si>
  <si>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</si>
  <si>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</si>
  <si>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</si>
  <si>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</si>
  <si>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</si>
  <si>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</si>
  <si>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</si>
  <si>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</si>
  <si>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</si>
  <si>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</si>
  <si>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</si>
  <si>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</si>
  <si>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</si>
  <si>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</si>
  <si>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</si>
  <si>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</si>
  <si>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</si>
  <si>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</si>
  <si>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</si>
  <si>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</si>
  <si>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</si>
  <si>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</si>
  <si>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</si>
  <si>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</si>
  <si>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</si>
  <si>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</si>
  <si>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</si>
  <si>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</si>
  <si>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</si>
  <si>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</si>
  <si>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</si>
  <si>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</si>
  <si>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</si>
  <si>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</si>
  <si>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</si>
  <si>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</si>
  <si>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</si>
  <si>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</si>
  <si>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</si>
  <si>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</si>
  <si>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</si>
  <si>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</si>
  <si>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</si>
  <si>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</si>
  <si>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</si>
  <si>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</si>
  <si>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</si>
  <si>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</si>
  <si>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</si>
  <si>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</si>
  <si>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</si>
  <si>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</si>
  <si>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</si>
  <si>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</si>
  <si>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</si>
  <si>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</si>
  <si>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</si>
  <si>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</si>
  <si>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</si>
  <si>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</si>
  <si>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</si>
  <si>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</si>
  <si>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</si>
  <si>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</si>
  <si>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</si>
  <si>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</si>
  <si>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</si>
  <si>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</si>
  <si>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</si>
  <si>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</si>
  <si>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</si>
  <si>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</si>
  <si>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</si>
  <si>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</si>
  <si>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</si>
  <si>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</si>
  <si>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</si>
  <si>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</si>
  <si>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</si>
  <si>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</si>
  <si>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</si>
  <si>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</si>
  <si>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</si>
  <si>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</si>
  <si>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</si>
  <si>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</si>
  <si>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</si>
  <si>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</si>
  <si>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</si>
  <si>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</si>
  <si>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</si>
  <si>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</si>
  <si>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</si>
  <si>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</si>
  <si>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</si>
  <si>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</si>
  <si>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</si>
  <si>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</si>
  <si>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</si>
  <si>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</si>
  <si>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</si>
  <si>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</si>
  <si>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</si>
  <si>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</si>
  <si>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</si>
  <si>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</si>
  <si>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</si>
  <si>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</si>
  <si>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</si>
  <si>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</si>
  <si>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</si>
  <si>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</si>
  <si>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</si>
  <si>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</si>
  <si>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</si>
  <si>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</si>
  <si>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</si>
  <si>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</si>
  <si>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</si>
  <si>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</si>
  <si>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</si>
  <si>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</si>
  <si>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</si>
  <si>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</si>
  <si>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</si>
  <si>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</si>
  <si>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</si>
  <si>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</si>
  <si>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</si>
  <si>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</si>
  <si>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</si>
  <si>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</si>
  <si>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</si>
  <si>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</si>
  <si>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</si>
  <si>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</si>
  <si>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</si>
  <si>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</si>
  <si>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</si>
  <si>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</si>
  <si>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</si>
  <si>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</si>
  <si>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</si>
  <si>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</si>
  <si>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</si>
  <si>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</si>
  <si>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</si>
  <si>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</si>
  <si>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</si>
  <si>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</si>
  <si>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</si>
  <si>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</si>
  <si>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</si>
  <si>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</si>
  <si>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</si>
  <si>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</si>
  <si>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</si>
  <si>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</si>
  <si>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</si>
  <si>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</si>
  <si>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</si>
  <si>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</si>
  <si>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</si>
  <si>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</si>
  <si>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</si>
  <si>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</si>
  <si>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</si>
  <si>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</si>
  <si>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</si>
  <si>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</si>
  <si>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</si>
  <si>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</si>
  <si>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</si>
  <si>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</si>
  <si>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</si>
  <si>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</si>
  <si>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</si>
  <si>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</si>
  <si>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</si>
  <si>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</si>
  <si>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</si>
  <si>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</si>
  <si>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</si>
  <si>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</si>
  <si>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</si>
  <si>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</si>
  <si>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</si>
  <si>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</si>
  <si>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</si>
  <si>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</si>
  <si>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</si>
  <si>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</si>
  <si>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</si>
  <si>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</si>
  <si>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</si>
  <si>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</si>
  <si>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</si>
  <si>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</si>
  <si>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</si>
  <si>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</si>
  <si>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</si>
  <si>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</si>
  <si>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</si>
  <si>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</si>
  <si>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</si>
  <si>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</si>
  <si>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</si>
  <si>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</si>
  <si>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</si>
  <si>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</si>
  <si>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</si>
  <si>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</si>
  <si>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</si>
  <si>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</si>
  <si>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</si>
  <si>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</si>
  <si>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</si>
  <si>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</si>
  <si>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</si>
  <si>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</si>
  <si>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</si>
  <si>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</si>
  <si>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</si>
  <si>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</si>
  <si>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</si>
  <si>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</si>
  <si>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</si>
  <si>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</si>
  <si>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</si>
  <si>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</si>
  <si>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</si>
  <si>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</si>
  <si>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</si>
  <si>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</si>
  <si>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</si>
  <si>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</si>
  <si>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</si>
  <si>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</si>
  <si>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</si>
  <si>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</si>
  <si>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</si>
  <si>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</si>
  <si>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</si>
  <si>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</si>
  <si>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</si>
  <si>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</si>
  <si>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</si>
  <si>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</si>
  <si>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</si>
  <si>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</si>
  <si>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</si>
  <si>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</si>
  <si>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</si>
  <si>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</si>
  <si>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</si>
  <si>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</si>
  <si>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</si>
  <si>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</si>
  <si>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</si>
  <si>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</si>
  <si>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</si>
  <si>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</si>
  <si>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</si>
  <si>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</si>
  <si>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</si>
  <si>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</si>
  <si>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</si>
  <si>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</si>
  <si>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</si>
  <si>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</si>
  <si>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</si>
  <si>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</si>
  <si>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</si>
  <si>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</si>
  <si>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</si>
  <si>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</si>
  <si>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</si>
  <si>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</si>
  <si>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</si>
  <si>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</si>
  <si>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</si>
  <si>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</si>
  <si>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</si>
  <si>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</si>
  <si>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</si>
  <si>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</si>
  <si>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</si>
  <si>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</si>
  <si>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</si>
  <si>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</si>
  <si>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</si>
  <si>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</si>
  <si>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</si>
  <si>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</si>
  <si>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</si>
  <si>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</si>
  <si>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</si>
  <si>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</si>
  <si>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</si>
  <si>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</si>
  <si>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</si>
  <si>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</si>
  <si>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</si>
  <si>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</si>
  <si>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</si>
  <si>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</si>
  <si>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</si>
  <si>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</si>
  <si>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</si>
  <si>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</si>
  <si>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</si>
  <si>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</si>
  <si>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</si>
  <si>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</si>
  <si>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</si>
  <si>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</si>
  <si>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</si>
  <si>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</si>
  <si>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</si>
  <si>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</si>
  <si>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</si>
  <si>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</si>
  <si>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</si>
  <si>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</si>
  <si>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</si>
  <si>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</si>
  <si>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</si>
  <si>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</si>
  <si>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</si>
  <si>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</si>
  <si>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</si>
  <si>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</si>
  <si>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</si>
  <si>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</si>
  <si>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</si>
  <si>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</si>
  <si>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</si>
  <si>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</si>
  <si>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</si>
  <si>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</si>
  <si>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</si>
  <si>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</si>
  <si>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</si>
  <si>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</si>
  <si>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</si>
  <si>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</si>
  <si>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</si>
  <si>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</si>
  <si>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</si>
  <si>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</si>
  <si>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</si>
  <si>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</si>
  <si>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</si>
  <si>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</si>
  <si>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</si>
  <si>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</si>
  <si>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</si>
  <si>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</si>
  <si>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</si>
  <si>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</si>
  <si>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</si>
  <si>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</si>
  <si>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</si>
  <si>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</si>
  <si>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</si>
  <si>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</si>
  <si>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</si>
  <si>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</si>
  <si>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</si>
  <si>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</si>
  <si>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</si>
  <si>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</si>
  <si>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</si>
  <si>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</si>
  <si>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</si>
  <si>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</si>
  <si>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</si>
  <si>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</si>
  <si>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</si>
  <si>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</si>
  <si>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</si>
  <si>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</si>
  <si>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</si>
  <si>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</si>
  <si>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</si>
  <si>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</si>
  <si>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</si>
  <si>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</si>
  <si>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</si>
  <si>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</si>
  <si>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</si>
  <si>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</si>
  <si>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</si>
  <si>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</si>
  <si>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</si>
  <si>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</si>
  <si>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</si>
  <si>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</si>
  <si>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</si>
  <si>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</si>
  <si>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</si>
  <si>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</si>
  <si>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</si>
  <si>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</si>
  <si>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</si>
  <si>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</si>
  <si>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</si>
  <si>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</si>
  <si>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</si>
  <si>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</si>
  <si>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</si>
  <si>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</si>
  <si>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</si>
  <si>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</si>
  <si>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</si>
  <si>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</si>
  <si>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</si>
  <si>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</si>
  <si>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</si>
  <si>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</si>
  <si>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</si>
  <si>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</si>
  <si>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</si>
  <si>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</si>
  <si>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</si>
  <si>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</si>
  <si>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</si>
  <si>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</si>
  <si>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</si>
  <si>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</si>
  <si>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</si>
  <si>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</si>
  <si>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</si>
  <si>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</si>
  <si>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</si>
  <si>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</si>
  <si>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</si>
  <si>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</si>
  <si>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</si>
  <si>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</si>
  <si>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</si>
  <si>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</si>
  <si>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</si>
  <si>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</si>
  <si>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</si>
  <si>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</si>
  <si>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</si>
  <si>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</si>
  <si>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</si>
  <si>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</si>
  <si>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</si>
  <si>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</si>
  <si>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</si>
  <si>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</si>
  <si>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</si>
  <si>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</si>
  <si>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</si>
  <si>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</si>
  <si>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</si>
  <si>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</si>
  <si>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</si>
  <si>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</si>
  <si>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</si>
  <si>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</si>
  <si>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</si>
  <si>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</si>
  <si>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</si>
  <si>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</si>
  <si>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</si>
  <si>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</si>
  <si>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</si>
  <si>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</si>
  <si>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</si>
  <si>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</si>
  <si>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</si>
  <si>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</si>
  <si>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</si>
  <si>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</si>
  <si>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</si>
  <si>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</si>
  <si>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</si>
  <si>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</si>
  <si>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</si>
  <si>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</si>
  <si>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</si>
  <si>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</si>
  <si>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</si>
  <si>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</si>
  <si>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</si>
  <si>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</si>
  <si>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</si>
  <si>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</si>
  <si>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</si>
  <si>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</si>
  <si>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</si>
  <si>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</si>
  <si>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</si>
  <si>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</si>
  <si>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</si>
  <si>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</si>
  <si>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</si>
  <si>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</si>
  <si>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</si>
  <si>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</si>
  <si>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</si>
  <si>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</si>
  <si>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</si>
  <si>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</si>
  <si>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</si>
  <si>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</si>
  <si>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</si>
  <si>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</si>
  <si>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</si>
  <si>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</si>
  <si>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</si>
  <si>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</si>
  <si>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</si>
  <si>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</si>
  <si>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</si>
  <si>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</si>
  <si>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</si>
  <si>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</si>
  <si>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</si>
  <si>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</si>
  <si>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</si>
  <si>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</si>
  <si>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</si>
  <si>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</si>
  <si>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</si>
  <si>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</si>
  <si>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</si>
  <si>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</si>
  <si>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</si>
  <si>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</si>
  <si>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</si>
  <si>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</si>
  <si>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</si>
  <si>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</si>
  <si>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</si>
  <si>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</si>
  <si>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</si>
  <si>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</si>
  <si>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</si>
  <si>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</si>
  <si>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</si>
  <si>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</si>
  <si>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</si>
  <si>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</si>
  <si>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</si>
  <si>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</si>
  <si>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</si>
  <si>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</si>
  <si>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</si>
  <si>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</si>
  <si>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</si>
  <si>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</si>
  <si>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</si>
  <si>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</si>
  <si>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</si>
  <si>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</si>
  <si>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</si>
  <si>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</si>
  <si>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</si>
  <si>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</si>
  <si>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</si>
  <si>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</si>
  <si>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</si>
  <si>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</si>
  <si>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</si>
  <si>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</si>
  <si>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</si>
  <si>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</si>
  <si>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</si>
  <si>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</si>
  <si>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</si>
  <si>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</si>
  <si>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</si>
  <si>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</si>
  <si>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</si>
  <si>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</si>
  <si>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</si>
  <si>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</si>
  <si>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</si>
  <si>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</si>
  <si>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</si>
  <si>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</si>
  <si>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</si>
  <si>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</si>
  <si>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</si>
  <si>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</si>
  <si>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</si>
  <si>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</si>
  <si>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</si>
  <si>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</si>
  <si>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</si>
  <si>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</si>
  <si>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</si>
  <si>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</si>
  <si>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</si>
  <si>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</si>
  <si>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</si>
  <si>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</si>
  <si>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</si>
  <si>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</si>
  <si>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</si>
  <si>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</si>
  <si>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</si>
  <si>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</si>
  <si>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</si>
  <si>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</si>
  <si>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</si>
  <si>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</si>
  <si>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</si>
  <si>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</si>
  <si>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</si>
  <si>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</si>
  <si>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</si>
  <si>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</si>
  <si>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</si>
  <si>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</si>
  <si>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</si>
  <si>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</si>
  <si>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</si>
  <si>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</si>
  <si>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</si>
  <si>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</si>
  <si>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</si>
  <si>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</si>
  <si>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</si>
  <si>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</si>
  <si>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</si>
  <si>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</si>
  <si>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</si>
  <si>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</si>
  <si>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</si>
  <si>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</si>
  <si>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</si>
  <si>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</si>
  <si>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</si>
  <si>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</si>
  <si>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</si>
  <si>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</si>
  <si>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</si>
  <si>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</si>
  <si>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</si>
  <si>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</si>
  <si>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</si>
  <si>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</si>
  <si>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</si>
  <si>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</si>
  <si>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</si>
  <si>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</si>
  <si>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</si>
  <si>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</si>
  <si>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</si>
  <si>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</si>
  <si>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</si>
  <si>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</si>
  <si>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</si>
  <si>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</si>
  <si>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</si>
  <si>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</si>
  <si>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</si>
  <si>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</si>
  <si>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</si>
  <si>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</si>
  <si>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</si>
  <si>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</si>
  <si>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</si>
  <si>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</si>
  <si>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</si>
  <si>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</si>
  <si>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</si>
  <si>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</si>
  <si>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</si>
  <si>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</si>
  <si>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</si>
  <si>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</si>
  <si>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</si>
  <si>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</si>
  <si>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</si>
  <si>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</si>
  <si>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</si>
  <si>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</si>
  <si>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</si>
  <si>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</si>
  <si>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</si>
  <si>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</si>
  <si>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</si>
  <si>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</si>
  <si>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</si>
  <si>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</si>
  <si>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</si>
  <si>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</si>
  <si>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</si>
  <si>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</si>
  <si>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</si>
  <si>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</si>
  <si>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</si>
  <si>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</si>
  <si>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</si>
  <si>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</si>
  <si>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</si>
  <si>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</si>
  <si>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</si>
  <si>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</si>
  <si>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</si>
  <si>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</si>
  <si>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</si>
  <si>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</si>
  <si>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</si>
  <si>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</si>
  <si>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</si>
  <si>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</si>
  <si>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</si>
  <si>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</si>
  <si>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</si>
  <si>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</si>
  <si>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</si>
  <si>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</si>
  <si>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</si>
  <si>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</si>
  <si>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</si>
  <si>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</si>
  <si>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</si>
  <si>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</si>
  <si>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</si>
  <si>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</si>
  <si>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</si>
  <si>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</si>
  <si>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</si>
  <si>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</si>
  <si>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</si>
  <si>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</si>
  <si>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</si>
  <si>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</si>
  <si>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</si>
  <si>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</si>
  <si>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</si>
  <si>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</si>
  <si>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</si>
  <si>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</si>
  <si>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</si>
  <si>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</si>
  <si>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</si>
  <si>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</si>
  <si>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</si>
  <si>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</si>
  <si>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</si>
  <si>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</si>
  <si>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</si>
  <si>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</si>
  <si>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</si>
  <si>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</si>
  <si>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</si>
  <si>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</si>
  <si>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</si>
  <si>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</si>
  <si>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</si>
  <si>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</si>
  <si>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</si>
  <si>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</si>
  <si>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</si>
  <si>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</si>
  <si>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</si>
  <si>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</si>
  <si>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</si>
  <si>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</si>
  <si>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</si>
  <si>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</si>
  <si>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</si>
  <si>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</si>
  <si>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</si>
  <si>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</si>
  <si>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</si>
  <si>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</si>
  <si>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</si>
  <si>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</si>
  <si>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</si>
  <si>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</si>
  <si>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</si>
  <si>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</si>
  <si>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</si>
  <si>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</si>
  <si>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</si>
  <si>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</si>
  <si>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</si>
  <si>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</si>
  <si>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</si>
  <si>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</si>
  <si>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</si>
  <si>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</si>
  <si>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</si>
  <si>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</si>
  <si>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</si>
  <si>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</si>
  <si>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</si>
  <si>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</si>
  <si>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</si>
  <si>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</si>
  <si>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</si>
  <si>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</si>
  <si>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</si>
  <si>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</si>
  <si>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</si>
  <si>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</si>
  <si>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</si>
  <si>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</si>
  <si>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</si>
  <si>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</si>
  <si>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</si>
  <si>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</si>
  <si>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</si>
  <si>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</si>
  <si>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</si>
  <si>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</si>
  <si>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</si>
  <si>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</si>
  <si>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</si>
  <si>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</si>
  <si>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</si>
  <si>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</si>
  <si>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</si>
  <si>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</si>
  <si>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</si>
  <si>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</si>
  <si>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</si>
  <si>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</si>
  <si>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</si>
  <si>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</si>
  <si>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</si>
  <si>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</si>
  <si>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</si>
  <si>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</si>
  <si>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</si>
  <si>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</si>
  <si>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</si>
  <si>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</si>
  <si>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</si>
  <si>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</si>
  <si>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</si>
  <si>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</si>
  <si>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</si>
  <si>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</si>
  <si>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</si>
  <si>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</si>
  <si>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</si>
  <si>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</si>
  <si>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</si>
  <si>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</si>
  <si>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</si>
  <si>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</si>
  <si>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</si>
  <si>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</si>
  <si>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</si>
  <si>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</si>
  <si>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</si>
  <si>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</si>
  <si>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</si>
  <si>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</si>
  <si>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</si>
  <si>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</si>
  <si>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</si>
  <si>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</si>
  <si>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</si>
  <si>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</si>
  <si>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</si>
  <si>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</si>
  <si>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</si>
  <si>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</si>
  <si>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</si>
  <si>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</si>
  <si>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</si>
  <si>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</si>
  <si>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</si>
  <si>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</si>
  <si>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</si>
  <si>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</si>
  <si>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</si>
  <si>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</si>
  <si>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</si>
  <si>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</si>
  <si>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</si>
  <si>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</si>
  <si>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</si>
  <si>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</si>
  <si>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</si>
  <si>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</si>
  <si>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</si>
  <si>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</si>
  <si>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</si>
  <si>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</si>
  <si>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</si>
  <si>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</si>
  <si>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</si>
  <si>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</si>
  <si>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</si>
  <si>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</si>
  <si>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</si>
  <si>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</si>
  <si>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</si>
  <si>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</si>
  <si>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</si>
  <si>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</si>
  <si>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</si>
  <si>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</si>
  <si>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</si>
  <si>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</si>
  <si>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</si>
  <si>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</si>
  <si>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</si>
  <si>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</si>
  <si>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</si>
  <si>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</si>
  <si>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</si>
  <si>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</si>
  <si>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</si>
  <si>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</si>
  <si>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</si>
  <si>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</si>
  <si>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</si>
  <si>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</si>
  <si>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</si>
  <si>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</si>
  <si>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</si>
  <si>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</si>
  <si>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</si>
  <si>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</si>
  <si>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</si>
  <si>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</si>
  <si>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</si>
  <si>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</si>
  <si>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</si>
  <si>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</si>
  <si>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</si>
  <si>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</si>
  <si>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</si>
  <si>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</si>
  <si>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</si>
  <si>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</si>
  <si>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</si>
  <si>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</si>
  <si>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</si>
  <si>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</si>
  <si>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</si>
  <si>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</si>
  <si>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</si>
  <si>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</si>
  <si>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</si>
  <si>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</si>
  <si>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</si>
  <si>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</si>
  <si>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</si>
  <si>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</si>
  <si>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</si>
  <si>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</si>
  <si>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</si>
  <si>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</si>
  <si>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</si>
  <si>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</si>
  <si>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</si>
  <si>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</si>
  <si>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</si>
  <si>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</si>
  <si>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</si>
  <si>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</si>
  <si>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</si>
  <si>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</si>
  <si>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</si>
  <si>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</si>
  <si>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</si>
  <si>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</si>
  <si>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</si>
  <si>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</si>
  <si>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</si>
  <si>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</si>
  <si>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</si>
  <si>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</si>
  <si>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</si>
  <si>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</si>
  <si>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</si>
  <si>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</si>
  <si>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</si>
  <si>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</si>
  <si>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</si>
  <si>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</si>
  <si>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</si>
  <si>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</si>
  <si>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</si>
  <si>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</si>
  <si>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</si>
  <si>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</si>
  <si>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</si>
  <si>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</si>
  <si>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</si>
  <si>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</si>
  <si>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</si>
  <si>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</si>
  <si>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</si>
  <si>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</si>
  <si>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</si>
  <si>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</si>
  <si>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</si>
  <si>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</si>
  <si>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</si>
  <si>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</si>
  <si>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</si>
  <si>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</si>
  <si>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</si>
  <si>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</si>
  <si>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</si>
  <si>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</si>
  <si>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</si>
  <si>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</si>
  <si>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</si>
  <si>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</si>
  <si>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</si>
  <si>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</si>
  <si>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</si>
  <si>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</si>
  <si>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</si>
  <si>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</si>
  <si>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</si>
  <si>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</si>
  <si>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</si>
  <si>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</si>
  <si>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</si>
  <si>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</si>
  <si>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</si>
  <si>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</si>
  <si>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</si>
  <si>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</si>
  <si>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</si>
  <si>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</si>
  <si>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</si>
  <si>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</si>
  <si>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</si>
  <si>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</si>
  <si>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</si>
  <si>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</si>
  <si>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</si>
  <si>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</si>
  <si>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</si>
  <si>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</si>
  <si>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</si>
  <si>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</si>
  <si>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</si>
  <si>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</si>
  <si>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</si>
  <si>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</si>
  <si>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</si>
  <si>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</si>
  <si>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</si>
  <si>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</si>
  <si>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</si>
  <si>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</si>
  <si>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</si>
  <si>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</si>
  <si>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</si>
  <si>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</si>
  <si>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</si>
  <si>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</si>
  <si>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</si>
  <si>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</si>
  <si>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</si>
  <si>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</si>
  <si>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</si>
  <si>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</si>
  <si>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</si>
  <si>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</si>
  <si>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</si>
  <si>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</si>
  <si>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</si>
  <si>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</si>
  <si>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</si>
  <si>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</si>
  <si>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</si>
  <si>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</si>
  <si>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</si>
  <si>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</si>
  <si>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</si>
  <si>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</si>
  <si>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</si>
  <si>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</si>
  <si>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</si>
  <si>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</si>
  <si>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</si>
  <si>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</si>
  <si>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</si>
  <si>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</si>
  <si>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</si>
  <si>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</si>
  <si>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</si>
  <si>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</si>
  <si>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</si>
  <si>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</si>
  <si>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</si>
  <si>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</si>
  <si>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</si>
  <si>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</si>
  <si>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</si>
  <si>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</si>
  <si>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</si>
  <si>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</si>
  <si>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</si>
  <si>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</si>
  <si>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</si>
  <si>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</si>
  <si>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</si>
  <si>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</si>
  <si>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</si>
  <si>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</si>
  <si>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</si>
  <si>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</si>
  <si>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</si>
  <si>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</si>
  <si>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</si>
  <si>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</si>
  <si>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</si>
  <si>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</si>
  <si>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</si>
  <si>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</si>
  <si>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</si>
  <si>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</si>
  <si>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</si>
  <si>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</si>
  <si>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</si>
  <si>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</si>
  <si>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</si>
  <si>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</si>
  <si>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</si>
  <si>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</si>
  <si>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</si>
  <si>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</si>
  <si>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</si>
  <si>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</si>
  <si>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</si>
  <si>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</si>
  <si>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</si>
  <si>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</si>
  <si>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</si>
  <si>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</si>
  <si>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</si>
  <si>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</si>
  <si>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</si>
  <si>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</si>
  <si>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</si>
  <si>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</si>
  <si>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</si>
  <si>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</si>
  <si>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</si>
  <si>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</si>
  <si>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</si>
  <si>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</si>
  <si>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</si>
  <si>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</si>
  <si>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</si>
  <si>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</si>
  <si>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</si>
  <si>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</si>
  <si>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</si>
  <si>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</si>
  <si>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</si>
  <si>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</si>
  <si>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</si>
  <si>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</si>
  <si>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</si>
  <si>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</si>
  <si>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</si>
  <si>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</si>
  <si>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</si>
  <si>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</si>
  <si>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</si>
  <si>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</si>
  <si>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</si>
  <si>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</si>
  <si>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</si>
  <si>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</si>
  <si>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</si>
  <si>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</si>
  <si>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</si>
  <si>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</si>
  <si>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</si>
  <si>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</si>
  <si>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</si>
  <si>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</si>
  <si>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</si>
  <si>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</si>
  <si>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</si>
  <si>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</si>
  <si>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</si>
  <si>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</si>
  <si>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</si>
  <si>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</si>
  <si>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</si>
  <si>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</si>
  <si>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</si>
  <si>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</si>
  <si>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</si>
  <si>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</si>
  <si>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</si>
  <si>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</si>
  <si>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</si>
  <si>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</si>
  <si>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</si>
  <si>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</si>
  <si>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</si>
  <si>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</si>
  <si>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</si>
  <si>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</si>
  <si>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</si>
  <si>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</si>
  <si>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</si>
  <si>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</si>
  <si>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</si>
  <si>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</si>
  <si>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</si>
  <si>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</si>
  <si>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</si>
  <si>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</si>
  <si>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</si>
  <si>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</si>
  <si>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</si>
  <si>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</si>
  <si>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</si>
  <si>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</si>
  <si>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</si>
  <si>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</si>
  <si>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</si>
  <si>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</si>
  <si>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</si>
  <si>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</si>
  <si>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</si>
  <si>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</si>
  <si>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</si>
  <si>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</si>
  <si>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</si>
  <si>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</si>
  <si>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</si>
  <si>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</si>
  <si>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</si>
  <si>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</si>
  <si>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</si>
  <si>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</si>
  <si>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</si>
  <si>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</si>
  <si>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</si>
  <si>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</si>
  <si>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</si>
  <si>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</si>
  <si>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</si>
  <si>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</si>
  <si>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</si>
  <si>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</si>
  <si>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</si>
  <si>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</si>
  <si>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</si>
  <si>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</si>
  <si>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</si>
  <si>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</si>
  <si>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</si>
  <si>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</si>
  <si>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</si>
  <si>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</si>
  <si>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</si>
  <si>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</si>
  <si>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</si>
  <si>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</si>
  <si>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</si>
  <si>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</si>
  <si>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</si>
  <si>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</si>
  <si>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</si>
  <si>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</si>
  <si>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</si>
  <si>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</si>
  <si>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</si>
  <si>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</si>
  <si>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</si>
  <si>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</si>
  <si>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</si>
  <si>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</si>
  <si>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</si>
  <si>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</si>
  <si>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</si>
  <si>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</si>
  <si>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</si>
  <si>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</si>
  <si>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</si>
  <si>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</si>
  <si>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</si>
  <si>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</si>
  <si>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</si>
  <si>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</si>
  <si>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</si>
  <si>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</si>
  <si>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</si>
  <si>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</si>
  <si>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</si>
  <si>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</si>
  <si>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</si>
  <si>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</si>
  <si>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</si>
  <si>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</si>
  <si>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</si>
  <si>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</si>
  <si>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</si>
  <si>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</si>
  <si>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</si>
  <si>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</si>
  <si>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</si>
  <si>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</si>
  <si>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</si>
  <si>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</si>
  <si>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</si>
  <si>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</si>
  <si>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</si>
  <si>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</si>
  <si>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</si>
  <si>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</si>
  <si>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</si>
  <si>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</si>
  <si>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</si>
  <si>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</si>
  <si>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</si>
  <si>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</si>
  <si>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</si>
  <si>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</si>
  <si>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</si>
  <si>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</si>
  <si>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</si>
  <si>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</si>
  <si>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</si>
  <si>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</si>
  <si>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</si>
  <si>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</si>
  <si>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</si>
  <si>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</si>
  <si>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</si>
  <si>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</si>
  <si>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</si>
  <si>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</si>
  <si>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</si>
  <si>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</si>
  <si>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</si>
  <si>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</si>
  <si>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</si>
  <si>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</si>
  <si>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</si>
  <si>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</si>
  <si>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</si>
  <si>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</si>
  <si>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</si>
  <si>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</si>
  <si>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</si>
  <si>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</si>
  <si>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</si>
  <si>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</si>
  <si>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</si>
  <si>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</si>
  <si>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</si>
  <si>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</si>
  <si>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</si>
  <si>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</si>
  <si>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</si>
  <si>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</si>
  <si>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</si>
  <si>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</si>
  <si>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</si>
  <si>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</si>
  <si>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</si>
  <si>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</si>
  <si>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</si>
  <si>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</si>
  <si>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</si>
  <si>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</si>
  <si>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</si>
  <si>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</si>
  <si>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</si>
  <si>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</si>
  <si>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</si>
  <si>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</si>
  <si>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</si>
  <si>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</si>
  <si>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</si>
  <si>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</si>
  <si>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</si>
  <si>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</si>
  <si>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</si>
  <si>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</si>
  <si>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</si>
  <si>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</si>
  <si>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</si>
  <si>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</si>
  <si>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</si>
  <si>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</si>
  <si>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</si>
  <si>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</si>
  <si>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</si>
  <si>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</si>
  <si>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</si>
  <si>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</si>
  <si>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</si>
  <si>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</si>
  <si>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</si>
  <si>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</si>
  <si>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</si>
  <si>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</si>
  <si>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</si>
  <si>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</si>
  <si>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</si>
  <si>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</si>
  <si>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</si>
  <si>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</si>
  <si>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</si>
  <si>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</si>
  <si>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</si>
  <si>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</si>
  <si>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</si>
  <si>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</si>
  <si>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</si>
  <si>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</si>
  <si>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</si>
  <si>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</si>
  <si>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</si>
  <si>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</si>
  <si>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</si>
  <si>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</si>
  <si>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</si>
  <si>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</si>
  <si>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</si>
  <si>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</si>
  <si>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</si>
  <si>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</si>
  <si>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</si>
  <si>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</si>
  <si>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</si>
  <si>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</si>
  <si>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</si>
  <si>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</si>
  <si>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</si>
  <si>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</si>
  <si>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</si>
  <si>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</si>
  <si>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</si>
  <si>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</si>
  <si>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</si>
  <si>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</si>
  <si>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</si>
  <si>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</si>
  <si>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</si>
  <si>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</si>
  <si>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</si>
  <si>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</si>
  <si>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</si>
  <si>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</si>
  <si>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</si>
  <si>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</si>
  <si>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</si>
  <si>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</si>
  <si>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</si>
  <si>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</si>
  <si>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</si>
  <si>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</si>
  <si>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</si>
  <si>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</si>
  <si>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</si>
  <si>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</si>
  <si>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</si>
  <si>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</si>
  <si>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</si>
  <si>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</si>
  <si>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</si>
  <si>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</si>
  <si>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</si>
  <si>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</si>
  <si>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</si>
  <si>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</si>
  <si>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</si>
  <si>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</si>
  <si>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</si>
  <si>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</si>
  <si>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</si>
  <si>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</si>
  <si>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</si>
  <si>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</si>
  <si>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</si>
  <si>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</si>
  <si>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</si>
  <si>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</si>
  <si>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</si>
  <si>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</si>
  <si>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</si>
  <si>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</si>
  <si>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</si>
  <si>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</si>
  <si>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</si>
  <si>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</si>
  <si>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</si>
  <si>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</si>
  <si>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</si>
  <si>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</si>
  <si>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</si>
  <si>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</si>
  <si>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</si>
  <si>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</si>
  <si>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</si>
  <si>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</si>
  <si>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</si>
  <si>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</si>
  <si>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</si>
  <si>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</si>
  <si>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</si>
  <si>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</si>
  <si>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</si>
  <si>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</si>
  <si>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</si>
  <si>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</si>
  <si>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</si>
  <si>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</si>
  <si>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</si>
  <si>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</si>
  <si>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</si>
  <si>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</si>
  <si>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</si>
  <si>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</si>
  <si>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</si>
  <si>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</si>
  <si>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</si>
  <si>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</si>
  <si>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</si>
  <si>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</si>
  <si>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</si>
  <si>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</si>
  <si>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</si>
  <si>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</si>
  <si>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</si>
  <si>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</si>
  <si>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</si>
  <si>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</si>
  <si>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</si>
  <si>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</si>
  <si>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</si>
  <si>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</si>
  <si>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</si>
  <si>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</si>
  <si>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</si>
  <si>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</si>
  <si>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</si>
  <si>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</si>
  <si>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</si>
  <si>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</si>
  <si>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</si>
  <si>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</si>
  <si>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</si>
  <si>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</si>
  <si>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</si>
  <si>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</si>
  <si>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</si>
  <si>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</si>
  <si>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</si>
  <si>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</si>
  <si>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</si>
  <si>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</si>
  <si>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</si>
  <si>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</si>
  <si>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</si>
  <si>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</si>
  <si>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</si>
  <si>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</si>
  <si>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</si>
  <si>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</si>
  <si>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</si>
  <si>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</si>
  <si>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</si>
  <si>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</si>
  <si>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</si>
  <si>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</si>
  <si>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</si>
  <si>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</si>
  <si>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</si>
  <si>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</si>
  <si>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</si>
  <si>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</si>
  <si>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</si>
  <si>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</si>
  <si>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</si>
  <si>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</si>
  <si>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</si>
  <si>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</si>
  <si>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</si>
  <si>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</si>
  <si>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</si>
  <si>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</si>
  <si>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</si>
  <si>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</si>
  <si>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</si>
  <si>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</si>
  <si>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</si>
  <si>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</si>
  <si>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</si>
  <si>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</si>
  <si>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</si>
  <si>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</si>
  <si>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</si>
  <si>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</si>
  <si>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</si>
  <si>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</si>
  <si>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</si>
  <si>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</si>
  <si>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</si>
  <si>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</si>
  <si>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</si>
  <si>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</si>
  <si>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</si>
  <si>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</si>
  <si>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</si>
  <si>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</si>
  <si>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</si>
  <si>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</si>
  <si>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</si>
  <si>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</si>
  <si>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</si>
  <si>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</si>
  <si>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</si>
  <si>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</si>
  <si>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</si>
  <si>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</si>
  <si>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</si>
  <si>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</si>
  <si>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</si>
  <si>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</si>
  <si>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</si>
  <si>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</si>
  <si>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</si>
  <si>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</si>
  <si>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</si>
  <si>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</si>
  <si>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</si>
  <si>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</si>
  <si>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</si>
  <si>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</si>
  <si>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</si>
  <si>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</si>
  <si>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</si>
  <si>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</si>
  <si>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</si>
  <si>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</si>
  <si>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</si>
  <si>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</si>
  <si>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</si>
  <si>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</si>
  <si>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</si>
  <si>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</si>
  <si>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</si>
  <si>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</si>
  <si>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</si>
  <si>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</si>
  <si>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</si>
  <si>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</si>
  <si>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</si>
  <si>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</si>
  <si>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</si>
  <si>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</si>
  <si>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</si>
  <si>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</si>
  <si>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</si>
  <si>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</si>
  <si>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</si>
  <si>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</si>
  <si>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</si>
  <si>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</si>
  <si>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</si>
  <si>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</si>
  <si>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</si>
  <si>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</si>
  <si>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</si>
  <si>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</si>
  <si>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</si>
  <si>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</si>
  <si>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</si>
  <si>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</si>
  <si>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</si>
  <si>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</si>
  <si>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</si>
  <si>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</si>
  <si>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</si>
  <si>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</si>
  <si>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</si>
  <si>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</si>
  <si>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</si>
  <si>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</si>
  <si>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</si>
  <si>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</si>
  <si>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</si>
  <si>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</si>
  <si>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</si>
  <si>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</si>
  <si>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</si>
  <si>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</si>
  <si>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</si>
  <si>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</si>
  <si>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</si>
  <si>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</si>
  <si>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</si>
  <si>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</si>
  <si>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</si>
  <si>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</si>
  <si>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</si>
  <si>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</si>
  <si>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</si>
  <si>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</si>
  <si>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</si>
  <si>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</si>
  <si>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</si>
  <si>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</si>
  <si>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</si>
  <si>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</si>
  <si>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</si>
  <si>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</si>
  <si>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</si>
  <si>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</si>
  <si>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</si>
  <si>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</si>
  <si>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</si>
  <si>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</si>
  <si>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</si>
  <si>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</si>
  <si>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</si>
  <si>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</si>
  <si>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</si>
  <si>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</si>
  <si>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</si>
  <si>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</si>
  <si>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</si>
  <si>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</si>
  <si>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</si>
  <si>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</si>
  <si>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</si>
  <si>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</si>
  <si>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</si>
  <si>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</si>
  <si>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</si>
  <si>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</si>
  <si>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</si>
  <si>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</si>
  <si>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</si>
  <si>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</si>
  <si>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</si>
  <si>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</si>
  <si>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</si>
  <si>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</si>
  <si>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</si>
  <si>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</si>
  <si>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</si>
  <si>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</si>
  <si>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</si>
  <si>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</si>
  <si>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</si>
  <si>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</si>
  <si>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</si>
  <si>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</si>
  <si>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</si>
  <si>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</si>
  <si>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</si>
  <si>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</si>
  <si>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</si>
  <si>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</si>
  <si>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</si>
  <si>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</si>
  <si>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</si>
  <si>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</si>
  <si>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</si>
  <si>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</si>
  <si>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</si>
  <si>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</si>
  <si>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</si>
  <si>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</si>
  <si>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</si>
  <si>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</si>
  <si>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</si>
  <si>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</si>
  <si>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</si>
  <si>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</si>
  <si>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</si>
  <si>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</si>
  <si>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</si>
  <si>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</si>
  <si>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</si>
  <si>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</si>
  <si>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</si>
  <si>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</si>
  <si>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</si>
  <si>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</si>
  <si>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</si>
  <si>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</si>
  <si>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</si>
  <si>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</si>
  <si>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</si>
  <si>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</si>
  <si>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</si>
  <si>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</si>
  <si>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</si>
  <si>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</si>
  <si>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</si>
  <si>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</si>
  <si>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</si>
  <si>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</si>
  <si>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</si>
  <si>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</si>
  <si>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</si>
  <si>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</si>
  <si>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</si>
  <si>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</si>
  <si>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</si>
  <si>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</si>
  <si>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</si>
  <si>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</si>
  <si>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</si>
  <si>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</si>
  <si>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</si>
  <si>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</si>
  <si>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</si>
  <si>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</si>
  <si>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</si>
  <si>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</si>
  <si>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</si>
  <si>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</si>
  <si>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</si>
  <si>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</si>
  <si>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</si>
  <si>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</si>
  <si>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</si>
  <si>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</si>
  <si>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</si>
  <si>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</si>
  <si>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</si>
  <si>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</si>
  <si>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</si>
  <si>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</si>
  <si>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</si>
  <si>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</si>
  <si>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</si>
  <si>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</si>
  <si>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</si>
  <si>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</si>
  <si>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</si>
  <si>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</si>
  <si>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</si>
  <si>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</si>
  <si>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</si>
  <si>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</si>
  <si>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</si>
  <si>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</si>
  <si>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</si>
  <si>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</si>
  <si>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</si>
  <si>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</si>
  <si>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</si>
  <si>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</si>
  <si>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</si>
  <si>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</si>
  <si>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</si>
  <si>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</si>
  <si>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</si>
  <si>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</si>
  <si>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</si>
  <si>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</si>
  <si>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</si>
  <si>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</si>
  <si>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</si>
  <si>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</si>
  <si>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</si>
  <si>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</si>
  <si>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</si>
  <si>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</si>
  <si>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</si>
  <si>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</si>
  <si>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</si>
  <si>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</si>
  <si>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</si>
  <si>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</si>
  <si>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</si>
  <si>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</si>
  <si>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</si>
  <si>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</si>
  <si>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</si>
  <si>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</si>
  <si>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</si>
  <si>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</si>
  <si>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</si>
  <si>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</si>
  <si>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</si>
  <si>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</si>
  <si>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</si>
  <si>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</si>
  <si>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</si>
  <si>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</si>
  <si>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</si>
  <si>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</si>
  <si>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</si>
  <si>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</si>
  <si>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</si>
  <si>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</si>
  <si>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</si>
  <si>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</si>
  <si>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</si>
  <si>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</si>
  <si>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</si>
  <si>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</si>
  <si>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</si>
  <si>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</si>
  <si>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</si>
  <si>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</si>
  <si>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</si>
  <si>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</si>
  <si>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</si>
  <si>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</si>
  <si>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</si>
  <si>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</si>
  <si>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</si>
  <si>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</si>
  <si>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</si>
  <si>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</si>
  <si>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</si>
  <si>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</si>
  <si>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</si>
  <si>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</si>
  <si>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</si>
  <si>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</si>
  <si>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</si>
  <si>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</si>
  <si>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</si>
  <si>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</si>
  <si>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</si>
  <si>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</si>
  <si>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</si>
  <si>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</si>
  <si>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</si>
  <si>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</si>
  <si>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</si>
  <si>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</si>
  <si>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</si>
  <si>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</si>
  <si>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</si>
  <si>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</si>
  <si>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</si>
  <si>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</si>
  <si>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</si>
  <si>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</si>
  <si>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</si>
  <si>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</si>
  <si>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</si>
  <si>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</si>
  <si>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</si>
  <si>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</si>
  <si>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</si>
  <si>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</si>
  <si>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</si>
  <si>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</si>
  <si>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</si>
  <si>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</si>
  <si>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</si>
  <si>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</si>
  <si>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</si>
  <si>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</si>
  <si>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</si>
  <si>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</si>
  <si>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</si>
  <si>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</si>
  <si>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</si>
  <si>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</si>
  <si>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</si>
  <si>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</si>
  <si>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</si>
  <si>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</si>
  <si>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</si>
  <si>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</si>
  <si>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</si>
  <si>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</si>
  <si>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</si>
  <si>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</si>
  <si>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</si>
  <si>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</si>
  <si>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</si>
  <si>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</si>
  <si>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</si>
  <si>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</si>
  <si>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</si>
  <si>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</si>
  <si>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</si>
  <si>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</si>
  <si>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</si>
  <si>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</si>
  <si>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</si>
  <si>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</si>
  <si>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</si>
  <si>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</si>
  <si>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</si>
  <si>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</si>
  <si>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</si>
  <si>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</si>
  <si>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</si>
  <si>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</si>
  <si>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</si>
  <si>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</si>
  <si>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</si>
  <si>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</si>
  <si>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</si>
  <si>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</si>
  <si>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</si>
  <si>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</si>
  <si>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</si>
  <si>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</si>
  <si>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</si>
  <si>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</si>
  <si>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</si>
  <si>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</si>
  <si>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</si>
  <si>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</si>
  <si>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</si>
  <si>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</si>
  <si>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</si>
  <si>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</si>
  <si>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</si>
  <si>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</si>
  <si>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</si>
  <si>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</si>
  <si>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</si>
  <si>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</si>
  <si>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</si>
  <si>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</si>
  <si>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</si>
  <si>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</si>
  <si>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</si>
  <si>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</si>
  <si>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</si>
  <si>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</si>
  <si>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</si>
  <si>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</si>
  <si>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</si>
  <si>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</si>
  <si>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</si>
  <si>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</si>
  <si>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</si>
  <si>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</si>
  <si>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</si>
  <si>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</si>
  <si>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</si>
  <si>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</si>
  <si>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</si>
  <si>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</si>
  <si>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</si>
  <si>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</si>
  <si>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</si>
  <si>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</si>
  <si>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</si>
  <si>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</si>
  <si>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</si>
  <si>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</si>
  <si>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</si>
  <si>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</si>
  <si>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</si>
  <si>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</si>
  <si>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</si>
  <si>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</si>
  <si>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</si>
  <si>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</si>
  <si>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</si>
  <si>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</si>
  <si>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</si>
  <si>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</si>
  <si>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</si>
  <si>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</si>
  <si>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</si>
  <si>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</si>
  <si>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</si>
  <si>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</si>
  <si>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</si>
  <si>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</si>
  <si>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</si>
  <si>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</si>
  <si>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</si>
  <si>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</si>
  <si>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</si>
  <si>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</si>
  <si>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</si>
  <si>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</si>
  <si>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</si>
  <si>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</si>
  <si>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</si>
  <si>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</si>
  <si>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</si>
  <si>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</si>
  <si>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</si>
  <si>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</si>
  <si>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</si>
  <si>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</si>
  <si>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</si>
  <si>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</si>
  <si>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</si>
  <si>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</si>
  <si>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</si>
  <si>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</si>
  <si>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</si>
  <si>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</si>
  <si>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</si>
  <si>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</si>
  <si>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</si>
  <si>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</si>
  <si>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</si>
  <si>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</si>
  <si>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</si>
  <si>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</si>
  <si>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</si>
  <si>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</si>
  <si>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</si>
  <si>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</si>
  <si>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</si>
  <si>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</si>
  <si>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</si>
  <si>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</si>
  <si>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</si>
  <si>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</si>
  <si>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</si>
  <si>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</si>
  <si>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</si>
  <si>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</si>
  <si>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</si>
  <si>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</si>
  <si>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</si>
  <si>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</si>
  <si>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</si>
  <si>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</si>
  <si>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</si>
  <si>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</si>
  <si>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</si>
  <si>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</si>
  <si>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</si>
  <si>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</si>
  <si>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</si>
  <si>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</si>
  <si>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</si>
  <si>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</si>
  <si>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</si>
  <si>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</si>
  <si>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</si>
  <si>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</si>
  <si>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</si>
  <si>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</si>
  <si>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</si>
  <si>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</si>
  <si>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</si>
  <si>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</si>
  <si>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</si>
  <si>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</si>
  <si>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</si>
  <si>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</si>
  <si>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</si>
  <si>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</si>
  <si>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</si>
  <si>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</si>
  <si>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</si>
  <si>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</si>
  <si>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</si>
  <si>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</si>
  <si>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</si>
  <si>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</si>
  <si>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</si>
  <si>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</si>
  <si>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</si>
  <si>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</si>
  <si>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</si>
  <si>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</si>
  <si>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</si>
  <si>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</si>
  <si>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</si>
  <si>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</si>
  <si>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</si>
  <si>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</si>
  <si>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</si>
  <si>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</si>
  <si>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</si>
  <si>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</si>
  <si>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</si>
  <si>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</si>
  <si>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</si>
  <si>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</si>
  <si>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</si>
  <si>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</si>
  <si>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</si>
  <si>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</si>
  <si>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</si>
  <si>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</si>
  <si>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</si>
  <si>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</si>
  <si>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</si>
  <si>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</si>
  <si>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</si>
  <si>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</si>
  <si>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</si>
  <si>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</si>
  <si>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</si>
  <si>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</si>
  <si>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</si>
  <si>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</si>
  <si>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</si>
  <si>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</si>
  <si>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</si>
  <si>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</si>
  <si>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</si>
  <si>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</si>
  <si>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</si>
  <si>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</si>
  <si>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</si>
  <si>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</si>
  <si>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</si>
  <si>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</si>
  <si>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</si>
  <si>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</si>
  <si>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</si>
  <si>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</si>
  <si>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</si>
  <si>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</si>
  <si>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</si>
  <si>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</si>
  <si>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</si>
  <si>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</si>
  <si>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</si>
  <si>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</si>
  <si>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</si>
  <si>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</si>
  <si>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</si>
  <si>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</si>
  <si>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</si>
  <si>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</si>
  <si>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</si>
  <si>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</si>
  <si>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</si>
  <si>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</si>
  <si>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</si>
  <si>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</si>
  <si>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</si>
  <si>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</si>
  <si>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</si>
  <si>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</si>
  <si>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</si>
  <si>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</si>
  <si>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</si>
  <si>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</si>
  <si>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</si>
  <si>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</si>
  <si>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</si>
  <si>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</si>
  <si>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</si>
  <si>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</si>
  <si>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</si>
  <si>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</si>
  <si>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</si>
  <si>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</si>
  <si>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</si>
  <si>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</si>
  <si>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</si>
  <si>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</si>
  <si>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</si>
  <si>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</si>
  <si>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</si>
  <si>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</si>
  <si>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</si>
  <si>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</si>
  <si>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</si>
  <si>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</si>
  <si>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</si>
  <si>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</si>
  <si>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</si>
  <si>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</si>
  <si>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</si>
  <si>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</si>
  <si>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</si>
  <si>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</si>
  <si>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</si>
  <si>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</si>
  <si>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</si>
  <si>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</si>
  <si>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</si>
  <si>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</si>
  <si>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</si>
  <si>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</si>
  <si>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</si>
  <si>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</si>
  <si>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</si>
  <si>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</si>
  <si>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</si>
  <si>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</si>
  <si>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</si>
  <si>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</si>
  <si>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</si>
  <si>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</si>
  <si>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</si>
  <si>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</si>
  <si>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</si>
  <si>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</si>
  <si>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</si>
  <si>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</si>
  <si>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</si>
  <si>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</si>
  <si>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</si>
  <si>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</si>
  <si>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</si>
  <si>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</si>
  <si>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</si>
  <si>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</si>
  <si>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</si>
  <si>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</si>
  <si>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</si>
  <si>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</si>
  <si>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</si>
  <si>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</si>
  <si>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</si>
  <si>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</si>
  <si>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</si>
  <si>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</si>
  <si>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</si>
  <si>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</si>
  <si>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</si>
  <si>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</si>
  <si>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</si>
  <si>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</si>
  <si>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</si>
  <si>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</si>
  <si>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</si>
  <si>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</si>
  <si>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</si>
  <si>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</si>
  <si>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</si>
  <si>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</si>
  <si>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</si>
  <si>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</si>
  <si>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</si>
  <si>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</si>
  <si>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</si>
  <si>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</si>
  <si>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</si>
  <si>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</si>
  <si>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</si>
  <si>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</si>
  <si>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</si>
  <si>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</si>
  <si>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</si>
  <si>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</si>
  <si>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</si>
  <si>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</si>
  <si>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</si>
  <si>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</si>
  <si>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</si>
  <si>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</si>
  <si>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</si>
  <si>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</si>
  <si>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</si>
  <si>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</si>
  <si>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</si>
  <si>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</si>
  <si>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</si>
  <si>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</si>
  <si>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</si>
  <si>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</si>
  <si>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</si>
  <si>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</si>
  <si>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</si>
  <si>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</si>
  <si>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</si>
  <si>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</si>
  <si>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</si>
  <si>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</si>
  <si>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</si>
  <si>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</si>
  <si>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</si>
  <si>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</si>
  <si>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</si>
  <si>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</si>
  <si>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</si>
  <si>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</si>
  <si>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</si>
  <si>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</si>
  <si>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</si>
  <si>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</si>
  <si>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</si>
  <si>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</si>
  <si>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</si>
  <si>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</si>
  <si>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</si>
  <si>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</si>
  <si>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</si>
  <si>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</si>
  <si>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</si>
  <si>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</si>
  <si>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</si>
  <si>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</si>
  <si>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</si>
  <si>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</si>
  <si>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</si>
  <si>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</si>
  <si>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</si>
  <si>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</si>
  <si>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</si>
  <si>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</si>
  <si>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</si>
  <si>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</si>
  <si>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</si>
  <si>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</si>
  <si>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</si>
  <si>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</si>
  <si>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</si>
  <si>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</si>
  <si>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</si>
  <si>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</si>
  <si>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</si>
  <si>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</si>
  <si>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</si>
  <si>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</si>
  <si>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</si>
  <si>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</si>
  <si>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</si>
  <si>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</si>
  <si>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</si>
  <si>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</si>
  <si>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</si>
  <si>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</si>
  <si>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</si>
  <si>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</si>
  <si>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</si>
  <si>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</si>
  <si>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</si>
  <si>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</si>
  <si>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</si>
  <si>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</si>
  <si>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</si>
  <si>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</si>
  <si>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</si>
  <si>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</si>
  <si>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</si>
  <si>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</si>
  <si>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</si>
  <si>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</si>
  <si>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</si>
  <si>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</si>
  <si>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</si>
  <si>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</si>
  <si>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</si>
  <si>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</si>
  <si>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</si>
  <si>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</si>
  <si>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</si>
  <si>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</si>
  <si>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</si>
  <si>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</si>
  <si>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</si>
  <si>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</si>
  <si>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</si>
  <si>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</si>
  <si>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</si>
  <si>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</si>
  <si>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</si>
  <si>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</si>
  <si>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</si>
  <si>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</si>
  <si>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</si>
  <si>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</si>
  <si>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</si>
  <si>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</si>
  <si>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</si>
  <si>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</si>
  <si>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</si>
  <si>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</si>
  <si>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</si>
  <si>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</si>
  <si>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</si>
  <si>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</si>
  <si>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</si>
  <si>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</si>
  <si>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</si>
  <si>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</si>
  <si>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</si>
  <si>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</si>
  <si>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</si>
  <si>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</si>
  <si>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</si>
  <si>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</si>
  <si>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</si>
  <si>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</si>
  <si>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</si>
  <si>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</si>
  <si>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</si>
  <si>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</si>
  <si>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</si>
  <si>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</si>
  <si>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</si>
  <si>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</si>
  <si>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</si>
  <si>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</si>
  <si>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</si>
  <si>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</si>
  <si>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</si>
  <si>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</si>
  <si>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</si>
  <si>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</si>
  <si>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</si>
  <si>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</si>
  <si>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</si>
  <si>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</si>
  <si>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</si>
  <si>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</si>
  <si>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</si>
  <si>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</si>
  <si>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</si>
  <si>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</si>
  <si>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</si>
  <si>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</si>
  <si>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</si>
  <si>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</si>
  <si>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</si>
  <si>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</si>
  <si>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</si>
  <si>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</si>
  <si>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</si>
  <si>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</si>
  <si>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</si>
  <si>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</si>
  <si>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</si>
  <si>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</si>
  <si>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</si>
  <si>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</si>
  <si>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</si>
  <si>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</si>
  <si>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</si>
  <si>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</si>
  <si>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</si>
  <si>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</si>
  <si>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</si>
  <si>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</si>
  <si>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</si>
  <si>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</si>
  <si>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</si>
  <si>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</si>
  <si>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</si>
  <si>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</si>
  <si>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</si>
  <si>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</si>
  <si>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</si>
  <si>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</si>
  <si>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</si>
  <si>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</si>
  <si>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</si>
  <si>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</si>
  <si>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</si>
  <si>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</si>
  <si>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</si>
  <si>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</si>
  <si>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</si>
  <si>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</si>
  <si>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</si>
  <si>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</si>
  <si>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</si>
  <si>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</si>
  <si>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</si>
  <si>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</si>
  <si>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</si>
  <si>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</si>
  <si>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</si>
  <si>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</si>
  <si>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</si>
  <si>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</si>
  <si>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</si>
  <si>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</si>
  <si>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</si>
  <si>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</si>
  <si>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</si>
  <si>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</si>
  <si>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</si>
  <si>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</si>
  <si>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</si>
  <si>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</si>
  <si>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</si>
  <si>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</si>
  <si>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</si>
  <si>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</si>
  <si>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</si>
  <si>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</si>
  <si>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</si>
  <si>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</si>
  <si>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</si>
  <si>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</si>
  <si>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</si>
  <si>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</si>
  <si>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</si>
  <si>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</si>
  <si>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</si>
  <si>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</si>
  <si>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</si>
  <si>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</si>
  <si>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</si>
  <si>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</si>
  <si>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</si>
  <si>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</si>
  <si>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</si>
  <si>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</si>
  <si>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</si>
  <si>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</si>
  <si>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</si>
  <si>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</si>
  <si>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</si>
  <si>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</si>
  <si>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</si>
  <si>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</si>
  <si>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</si>
  <si>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</si>
  <si>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</si>
  <si>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</si>
  <si>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</si>
  <si>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</si>
  <si>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</si>
  <si>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</si>
  <si>
    <t>BAĞLANTI</t>
  </si>
  <si>
    <t>D-01.ALT-01.TPR-001-1000</t>
  </si>
  <si>
    <t>D-01.ALT-01.TPR-001-1002</t>
  </si>
  <si>
    <t>D-01.ALT-01.TPR-001-1001</t>
  </si>
  <si>
    <t>D-01.ALT-01.TPR-001-1003</t>
  </si>
  <si>
    <t>D-01.ALT-01.TPR-001-1004</t>
  </si>
  <si>
    <t>D-01.ALT-02.SNT-001-1000</t>
  </si>
  <si>
    <t>D-01.ALT-02.SNT-005-1000</t>
  </si>
  <si>
    <t>D-01.ALT-01.TPR-002-1000</t>
  </si>
  <si>
    <t>D-01.ALT-01.TPR-003-1000</t>
  </si>
  <si>
    <t>D-01.ALT-02.SNT-008-1000</t>
  </si>
  <si>
    <t>D-01.ALT-01.TPR-004-1000</t>
  </si>
  <si>
    <t>D-01.ALT-02.SNT-011-1000</t>
  </si>
  <si>
    <t>D-01.ALT-02.SNT-015-1000</t>
  </si>
  <si>
    <t>D-01.ALT-01.TPR-005-1000</t>
  </si>
  <si>
    <t>D-01.ALT-01.TPR-006-1000</t>
  </si>
  <si>
    <t>D-01.ALT-02.SNT-023-1000</t>
  </si>
  <si>
    <t>D-01.ALT-02.SNT-029-1000</t>
  </si>
  <si>
    <t>D-01.ALT-02.SNT-002-1000</t>
  </si>
  <si>
    <t>D-01.ALT-02.SNT-006-1000</t>
  </si>
  <si>
    <t>D-01.ALT-02.SNT-034-1000</t>
  </si>
  <si>
    <t>D-01.ALT-02.SNT-037-1000</t>
  </si>
  <si>
    <t>D-01.ALT-02.SNT-043-1000</t>
  </si>
  <si>
    <t>D-01.ALT-02.SNT-002-1001</t>
  </si>
  <si>
    <t>D-01.ALT-02.SNT-002-1003</t>
  </si>
  <si>
    <t>D-01.ALT-02.SNT-002-1004</t>
  </si>
  <si>
    <t>D-01.ALT-02.SNT-003-1000</t>
  </si>
  <si>
    <t>D-01.ALT-02.SNT-003-1001</t>
  </si>
  <si>
    <t>D-01.ALT-03.KPR-014-1000</t>
  </si>
  <si>
    <t>D-01.ALT-03.KPR-015-1000</t>
  </si>
  <si>
    <t>D-01.ALT-03.KPR-016-1000</t>
  </si>
  <si>
    <t>D-01.ALT-03.KPR-017-1000</t>
  </si>
  <si>
    <t>D-01.ALT-03.KPR-018-1000</t>
  </si>
  <si>
    <t>D-01.ALT-03.KPR-019-1000</t>
  </si>
  <si>
    <t>D-01.ALT-02.SNT-003-1003</t>
  </si>
  <si>
    <t>D-01.ALT-02.SNT-003-1002</t>
  </si>
  <si>
    <t>D-01.ALT-04.TNL-002-1000</t>
  </si>
  <si>
    <t>D-01.ALT-04.TNL-003-1000</t>
  </si>
  <si>
    <t>D-01.ALT-04.TNL-004-1000</t>
  </si>
  <si>
    <t>D-01.ALT-04.TNL-005-1000</t>
  </si>
  <si>
    <t>D-01.ALT-02.SNT-003-1004</t>
  </si>
  <si>
    <t>D-01.ALT-04.TNL-007-1000</t>
  </si>
  <si>
    <t>D-01.ALT-04.TNL-009-1000</t>
  </si>
  <si>
    <t>D-01.ALT-04.TNL-010-1000</t>
  </si>
  <si>
    <t>D-01.ALT-02.SNT-004-1000</t>
  </si>
  <si>
    <t>D-01.ALT-02.SNT-033-1000</t>
  </si>
  <si>
    <t>D-01.ALT-04.TNL-016-1000</t>
  </si>
  <si>
    <t>D-01.ALT-04.TNL-017-1000</t>
  </si>
  <si>
    <t>D-01.ALT-02.SNT-007-1000</t>
  </si>
  <si>
    <t>D-01.ALT-02.SNT-007-1001</t>
  </si>
  <si>
    <t>D-01.ALT-05.TKP-002-1000</t>
  </si>
  <si>
    <t>D-01.ALT-05.TKP-003-1000</t>
  </si>
  <si>
    <t>D-01.ALT-05.TKP-004-1000</t>
  </si>
  <si>
    <t>D-01.ALT-05.TKP-005-1000</t>
  </si>
  <si>
    <t>D-01.ALT-06.AAK-001-1000</t>
  </si>
  <si>
    <t>D-01.ALT-07.SRT-001-1000</t>
  </si>
  <si>
    <t>D-01.ALT-02.SNT-007-1003</t>
  </si>
  <si>
    <t>D-01.ALT-02.SNT-007-1004</t>
  </si>
  <si>
    <t>D-01.ALT-02.SNT-001-1001</t>
  </si>
  <si>
    <t>D-01.ALT-02.SNT-001-1003</t>
  </si>
  <si>
    <t>D-01.ALT-02.SNT-001-1002</t>
  </si>
  <si>
    <t>D-01.ALT-02.SNT-001-1004</t>
  </si>
  <si>
    <t>D-01.ALT-02.SNT-009-1000</t>
  </si>
  <si>
    <t>D-01.ALT-02.SNT-018-1000</t>
  </si>
  <si>
    <t>D-01.ALT-02.SNT-018-1001</t>
  </si>
  <si>
    <t>D-01.ALT-02.SNT-018-1003</t>
  </si>
  <si>
    <t>D-01.ALT-02.SNT-018-1002</t>
  </si>
  <si>
    <t>D-01.ALT-02.SNT-018-1004</t>
  </si>
  <si>
    <t>D-01.ALT-02.SNT-021-1000</t>
  </si>
  <si>
    <t>D-01.ALT-02.SNT-005-1001</t>
  </si>
  <si>
    <t>D-01.ALT-02.SNT-005-1003</t>
  </si>
  <si>
    <t>D-01.ALT-02.SNT-005-1004</t>
  </si>
  <si>
    <t>D-01.ALT-02.SNT-030-1000</t>
  </si>
  <si>
    <t>D-01.ALT-03.KPR-001-1000</t>
  </si>
  <si>
    <t>D-01.ALT-03.KPR-008-1000</t>
  </si>
  <si>
    <t>D-01.ALT-02.SNT-008-1001</t>
  </si>
  <si>
    <t>D-01.ALT-02.SNT-008-1003</t>
  </si>
  <si>
    <t>D-01.ALT-02.SNT-008-1004</t>
  </si>
  <si>
    <t>D-01.ALT-02.SNT-011-1001</t>
  </si>
  <si>
    <t>D-01.ALT-02.SNT-011-1003</t>
  </si>
  <si>
    <t>D-01.ALT-02.SNT-011-1004</t>
  </si>
  <si>
    <t>D-01.ALT-03.KPR-010-1000</t>
  </si>
  <si>
    <t>D-01.ALT-03.KPR-011-1000</t>
  </si>
  <si>
    <t>D-01.ALT-03.KPR-013-1000</t>
  </si>
  <si>
    <t>D-01.ALT-03.KPR-022-1000</t>
  </si>
  <si>
    <t>D-01.ALT-02.SNT-029-1001</t>
  </si>
  <si>
    <t>D-01.ALT-02.SNT-029-1003</t>
  </si>
  <si>
    <t>D-01.ALT-02.SNT-029-1002</t>
  </si>
  <si>
    <t>D-01.ALT-02.SNT-029-1004</t>
  </si>
  <si>
    <t>D-01.ALT-02.SNT-037-1001</t>
  </si>
  <si>
    <t>D-01.ALT-02.SNT-037-1003</t>
  </si>
  <si>
    <t>D-01.ALT-02.SNT-037-1002</t>
  </si>
  <si>
    <t>D-01.ALT-02.SNT-037-1004</t>
  </si>
  <si>
    <t>D-01.ALT-02.SNT-043-1001</t>
  </si>
  <si>
    <t>D-01.ALT-02.SNT-043-1003</t>
  </si>
  <si>
    <t>D-01.ALT-02.SNT-043-1002</t>
  </si>
  <si>
    <t>D-01.ALT-02.SNT-043-1004</t>
  </si>
  <si>
    <t>D-01.ALT-04.TNL-001-1000</t>
  </si>
  <si>
    <t>D-01.ALT-04.TNL-001-1001</t>
  </si>
  <si>
    <t>D-01.ALT-04.TNL-001-1003</t>
  </si>
  <si>
    <t>D-01.ALT-04.TNL-002-1001</t>
  </si>
  <si>
    <t>D-01.ALT-04.TNL-002-1003</t>
  </si>
  <si>
    <t>D-01.ALT-04.TNL-002-1004</t>
  </si>
  <si>
    <t>D-01.ALT-04.TNL-003-1001</t>
  </si>
  <si>
    <t>D-01.ALT-04.TNL-003-1003</t>
  </si>
  <si>
    <t>D-01.ALT-04.TNL-003-1004</t>
  </si>
  <si>
    <t>D-01.ALT-04.TNL-004-1001</t>
  </si>
  <si>
    <t>D-01.ALT-04.TNL-004-1003</t>
  </si>
  <si>
    <t>D-01.ALT-04.TNL-004-1004</t>
  </si>
  <si>
    <t>D-01.ALT-04.TNL-005-1001</t>
  </si>
  <si>
    <t>D-01.ALT-04.TNL-005-1003</t>
  </si>
  <si>
    <t>D-01.ALT-04.TNL-005-1004</t>
  </si>
  <si>
    <t>D-01.ALT-04.TNL-001-1004</t>
  </si>
  <si>
    <t>D-01.ALT-04.TNL-006-1000</t>
  </si>
  <si>
    <t>D-01.ALT-04.TNL-006-1001</t>
  </si>
  <si>
    <t>D-01.ALT-04.TNL-007-1001</t>
  </si>
  <si>
    <t>D-01.ALT-04.TNL-007-1003</t>
  </si>
  <si>
    <t>D-01.ALT-04.TNL-007-1004</t>
  </si>
  <si>
    <t>D-01.ALT-04.TNL-009-1001</t>
  </si>
  <si>
    <t>D-01.ALT-04.TNL-009-1003</t>
  </si>
  <si>
    <t>D-01.ALT-04.TNL-009-1004</t>
  </si>
  <si>
    <t>D-01.ALT-04.TNL-010-1001</t>
  </si>
  <si>
    <t>D-01.ALT-04.TNL-010-1003</t>
  </si>
  <si>
    <t>D-01.ALT-04.TNL-010-1004</t>
  </si>
  <si>
    <t>D-01.ALT-04.TNL-006-1003</t>
  </si>
  <si>
    <t>D-01.ALT-04.TNL-006-1004</t>
  </si>
  <si>
    <t>D-01.ALT-04.TNL-011-1000</t>
  </si>
  <si>
    <t>D-01.ALT-04.TNL-011-1001</t>
  </si>
  <si>
    <t>D-01.ALT-04.TNL-011-1003</t>
  </si>
  <si>
    <t>D-01.ALT-04.TNL-011-1004</t>
  </si>
  <si>
    <t>D-01.ALT-04.TNL-016-1001</t>
  </si>
  <si>
    <t>D-01.ALT-04.TNL-016-1003</t>
  </si>
  <si>
    <t>D-01.ALT-04.TNL-016-1004</t>
  </si>
  <si>
    <t>D-01.ALT-04.TNL-017-1001</t>
  </si>
  <si>
    <t>D-01.ALT-04.TNL-017-1003</t>
  </si>
  <si>
    <t>D-01.ALT-04.TNL-017-1004</t>
  </si>
  <si>
    <t>D-01.ALT-04.TNL-013-1000</t>
  </si>
  <si>
    <t>D-01.ALT-04.TNL-013-1001</t>
  </si>
  <si>
    <t>D-01.ALT-04.TNL-013-1003</t>
  </si>
  <si>
    <t>D-01.ALT-04.TNL-013-1004</t>
  </si>
  <si>
    <t>D-01.ALT-04.TNL-018-1000</t>
  </si>
  <si>
    <t>D-01.ALT-04.TNL-018-1001</t>
  </si>
  <si>
    <t>D-01.ALT-04.TNL-018-1003</t>
  </si>
  <si>
    <t>D-01.ALT-04.TNL-018-1004</t>
  </si>
  <si>
    <t>D-01.ALT-05.TKP-001-1000</t>
  </si>
  <si>
    <t>2409</t>
  </si>
  <si>
    <t>D-11.ALT-12.SRV-102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</si>
</sst>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6">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
      <sz val="9"/>
      <color indexed="81"/>
      <name val="Tahoma"/>
      <charset val="1"/>
    </font>
    <font>
      <b/>
      <sz val="9"/>
      <color indexed="81"/>
      <name val="Tahoma"/>
      <charset val="1"/>
    </font>
  </fonts>
  <fills count="1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
      <left/>
      <right style="thin">
        <color auto="1"/>
      </right>
      <top style="thin">
        <color auto="1"/>
      </top>
      <bottom style="thin">
        <color auto="1"/>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cellStyleXfs>
  <cellXfs count="102">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164" fontId="0" fillId="13"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4"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3" borderId="0" xfId="0" applyFill="1"/>
    <xf numFmtId="0" fontId="0" fillId="13" borderId="0" xfId="0" quotePrefix="1" applyFill="1"/>
    <xf numFmtId="49" fontId="0" fillId="13" borderId="0" xfId="0" applyNumberFormat="1" applyFill="1"/>
    <xf numFmtId="40" fontId="0" fillId="13" borderId="0" xfId="2" applyNumberFormat="1" applyFont="1" applyFill="1"/>
    <xf numFmtId="40" fontId="0" fillId="13"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3" borderId="5" xfId="0" applyNumberFormat="1" applyFill="1" applyBorder="1"/>
    <xf numFmtId="0" fontId="0" fillId="4" borderId="0" xfId="0" applyFill="1"/>
    <xf numFmtId="14" fontId="3" fillId="2" borderId="22" xfId="0" applyNumberFormat="1" applyFont="1" applyFill="1" applyBorder="1" applyAlignment="1">
      <alignment horizontal="center" vertical="center"/>
    </xf>
    <xf numFmtId="164" fontId="0" fillId="0" borderId="0" xfId="0" quotePrefix="1" applyNumberFormat="1"/>
    <xf numFmtId="40" fontId="0" fillId="3" borderId="0" xfId="2" quotePrefix="1" applyNumberFormat="1" applyFont="1" applyFill="1"/>
    <xf numFmtId="0" fontId="0" fillId="0" borderId="0" xfId="0" applyFill="1"/>
    <xf numFmtId="4" fontId="0" fillId="15" borderId="26" xfId="0" applyNumberFormat="1" applyFill="1" applyBorder="1"/>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91">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style="thick">
          <color rgb="FFFF0000"/>
        </left>
        <right style="thick">
          <color rgb="FFFF0000"/>
        </right>
        <top/>
        <bottom/>
        <vertic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16 3" pivot="0" count="7" xr9:uid="{4FB28886-9BE7-4A27-86C8-864C2CA444A7}">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CB521" totalsRowShown="0" headerRowDxfId="76" headerRowBorderDxfId="75" tableBorderDxfId="74">
  <autoFilter ref="A1:CB521" xr:uid="{7A0EAC03-5ADD-46D1-BB5D-9A2211493634}"/>
  <tableColumns count="80">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73"/>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72" dataCellStyle="Comma"/>
    <tableColumn id="11" xr3:uid="{A4F52D3B-1672-4AE7-952F-A6988216B559}" name="Kalan Miktar" dataDxfId="71" dataCellStyle="Comma"/>
    <tableColumn id="12" xr3:uid="{EAB11F2C-225E-4DF7-9379-385975FEAAA3}" name="Kalan Dağılan Fark" dataDxfId="70"/>
    <tableColumn id="13" xr3:uid="{3552123D-0943-4518-87FC-C9AE2B93762A}" name="Toplam Miktar" dataDxfId="69" dataCellStyle="Comma"/>
    <tableColumn id="14" xr3:uid="{B7E11B84-661D-418A-9DE9-E09774655FCD}" name="1.10.2023" dataDxfId="68"/>
    <tableColumn id="15" xr3:uid="{AFFF0CB8-65C3-4D76-A09C-B9FC299080B9}" name="1.11.2023" dataDxfId="67"/>
    <tableColumn id="16" xr3:uid="{5585925E-4449-4F6B-BEC5-3150FB6ABD15}" name="1.12.2023" dataDxfId="66"/>
    <tableColumn id="17" xr3:uid="{9C89D215-9B73-40F6-A344-2A86C80FD8E2}" name="1.01.2024" dataDxfId="65"/>
    <tableColumn id="18" xr3:uid="{AC6928DC-6321-4E42-ADE5-A7066A5A4538}" name="1.02.2024" dataDxfId="64"/>
    <tableColumn id="19" xr3:uid="{9672CB4E-3A8B-4EEC-B70B-B2DB90844F25}" name="1.03.2024" dataDxfId="63"/>
    <tableColumn id="20" xr3:uid="{D52B1F22-F372-40F5-97EC-52440D86E83B}" name="1.04.2024" dataDxfId="62"/>
    <tableColumn id="21" xr3:uid="{E6167B93-711E-462B-8530-E2AF0A657077}" name="1.05.2024" dataDxfId="61"/>
    <tableColumn id="22" xr3:uid="{424EAD35-AC52-4A57-BC62-B733471E00B2}" name="1.06.2024" dataDxfId="60"/>
    <tableColumn id="23" xr3:uid="{2C52892D-009F-4882-979A-0B3B6840C9A0}" name="1.07.2024" dataDxfId="59"/>
    <tableColumn id="24" xr3:uid="{7C25AF6F-ABF8-4323-B9EA-877C77C35B34}" name="1.08.2024" dataDxfId="58"/>
    <tableColumn id="25" xr3:uid="{ECC84A29-E685-4DE3-AA9C-7324DEA5578B}" name="1.09.2024" dataDxfId="57"/>
    <tableColumn id="26" xr3:uid="{2B407A90-05D9-4121-BCB5-C7B544CEE29F}" name="1.10.2024" dataDxfId="56"/>
    <tableColumn id="27" xr3:uid="{D2FA5867-69D3-4822-9A4B-557A3780D632}" name="1.11.2024" dataDxfId="55"/>
    <tableColumn id="28" xr3:uid="{BF10DE85-0971-455A-9B77-D0CBEC0D4B81}" name="1.12.2024" dataDxfId="54"/>
    <tableColumn id="29" xr3:uid="{0D24134B-4C23-4D80-99B2-65706746B330}" name="1.01.2025" dataDxfId="53"/>
    <tableColumn id="30" xr3:uid="{856CFC69-4133-4160-81B8-DD1F353618A0}" name="1.02.2025" dataDxfId="52"/>
    <tableColumn id="31" xr3:uid="{B3C67FD1-5BCB-4B6B-AA1D-0BDC1D18F8EC}" name="1.03.2025" dataDxfId="51"/>
    <tableColumn id="32" xr3:uid="{2836488B-153E-4B94-9B26-61F089253A04}" name="1.04.2025" dataDxfId="50"/>
    <tableColumn id="33" xr3:uid="{1FD49296-5F87-403C-A4BD-8E2AD5F3A082}" name="1.05.2025" dataDxfId="49"/>
    <tableColumn id="34" xr3:uid="{09D26DBA-0371-4A5F-AA8D-917026C6E444}" name="1.06.2025" dataDxfId="48"/>
    <tableColumn id="35" xr3:uid="{7C5D5D82-615C-4EC2-8724-FE1C08FDA638}" name="1.07.2025" dataDxfId="47"/>
    <tableColumn id="36" xr3:uid="{C14F36D8-F7D1-4320-995E-1F39C0F251A8}" name="1.08.2025" dataDxfId="46"/>
    <tableColumn id="37" xr3:uid="{1272A712-BF4B-4912-994D-6ACE086AB9F8}" name="1.09.2025" dataDxfId="45"/>
    <tableColumn id="38" xr3:uid="{DAC98D3E-7D17-4AA7-BBB0-E5A65B251667}" name="1.10.2025" dataDxfId="44"/>
    <tableColumn id="39" xr3:uid="{C41E40BC-8050-4AC5-A8F5-9F4984CA6F41}" name="1.11.2025" dataDxfId="43"/>
    <tableColumn id="40" xr3:uid="{1FC54405-32E6-4F4E-BFFB-4794083CC706}" name="1.12.2025" dataDxfId="42"/>
    <tableColumn id="41" xr3:uid="{C9B7A0F3-0C66-48BC-98F0-5401C127411C}" name="1.01.2026" dataDxfId="41"/>
    <tableColumn id="42" xr3:uid="{F48FB81C-536B-4701-9EC9-89586D69A54B}" name="1.02.2026" dataDxfId="40"/>
    <tableColumn id="43" xr3:uid="{9E846EA4-AD81-4DC4-BF2B-00A34C02B9DD}" name="1.03.2026" dataDxfId="39"/>
    <tableColumn id="44" xr3:uid="{6AFC3F3A-B5ED-41DA-BA85-4052D9AB45B9}" name="1.04.2026" dataDxfId="38"/>
    <tableColumn id="45" xr3:uid="{03C93F38-70C5-45C4-9ED5-312F78920825}" name="1.05.2026" dataDxfId="37"/>
    <tableColumn id="46" xr3:uid="{766B0A33-93C7-45D4-888F-7E8457B92709}" name="1.06.2026" dataDxfId="36"/>
    <tableColumn id="47" xr3:uid="{C49C6EB1-C980-4D75-A933-324979D2F920}" name="1.07.2026" dataDxfId="35"/>
    <tableColumn id="48" xr3:uid="{F8FB6040-5E2F-460E-A084-72C2CE892714}" name="1.08.2026" dataDxfId="34"/>
    <tableColumn id="49" xr3:uid="{4ED47C0A-E46B-4335-A014-3C28D0151F88}" name="1.09.2026" dataDxfId="33"/>
    <tableColumn id="50" xr3:uid="{70D7F562-D331-49BE-A09C-91A2B636D182}" name="1.10.2026" dataDxfId="32"/>
    <tableColumn id="51" xr3:uid="{6D4C2011-7417-4422-A468-13141FAF62E7}" name="1.11.2026" dataDxfId="31"/>
    <tableColumn id="52" xr3:uid="{8E80BA48-D495-4D15-9E6B-4D37D0D26885}" name="1.12.2026" dataDxfId="30"/>
    <tableColumn id="53" xr3:uid="{C1270B76-4B45-4162-B2DB-28A9B446DF95}" name="1.01.2027" dataDxfId="29"/>
    <tableColumn id="54" xr3:uid="{D4457348-4DB6-410E-99E4-A4DC96F6A2AC}" name="1.02.2027" dataDxfId="28"/>
    <tableColumn id="55" xr3:uid="{C6CC2DA1-5FDE-48ED-96FC-93618759C678}" name="1.03.2027" dataDxfId="27"/>
    <tableColumn id="56" xr3:uid="{AE269F0B-EAEE-40C4-B3F9-6AA7DA82516D}" name="1.04.2027" dataDxfId="26"/>
    <tableColumn id="57" xr3:uid="{E4D95735-EB99-49CC-AB65-6462A12E5EC0}" name="1.05.2027" dataDxfId="25"/>
    <tableColumn id="58" xr3:uid="{C4B0DB98-FB1E-4D63-AD62-69319C4FDDF8}" name="1.06.2027" dataDxfId="24"/>
    <tableColumn id="59" xr3:uid="{B0BCED5D-0035-465C-A6E4-BB72477CABED}" name="1.07.2027" dataDxfId="23"/>
    <tableColumn id="60" xr3:uid="{343F196C-2235-441A-A4AE-617066C0F724}" name="1.08.2027" dataDxfId="22"/>
    <tableColumn id="61" xr3:uid="{17671FDB-2AAD-49A5-BE52-52DB8491CDE1}" name="1.09.2027" dataDxfId="21"/>
    <tableColumn id="62" xr3:uid="{B3DAEE03-9733-481B-8691-3BDA2CC1C4F7}" name="1.10.2027" dataDxfId="20"/>
    <tableColumn id="63" xr3:uid="{B78F8F10-EFE4-44F4-B5AA-8428486815EF}" name="1.11.2027" dataDxfId="19"/>
    <tableColumn id="64" xr3:uid="{C176E959-3364-4847-AF8D-89E3A79E420D}" name="1.12.2027" dataDxfId="18"/>
    <tableColumn id="65" xr3:uid="{37954031-9F58-448E-9AAE-C7314D81A78F}" name="1.01.2028" dataDxfId="17"/>
    <tableColumn id="66" xr3:uid="{3F88F8FC-A5E3-42B0-A0A7-7DD2700B0A3E}" name="1.02.2028" dataDxfId="16"/>
    <tableColumn id="67" xr3:uid="{2B33A452-AA0C-4582-A7C0-993EB20333C7}" name="1.03.2028" dataDxfId="15"/>
    <tableColumn id="68" xr3:uid="{2452F1BA-C8D1-4993-8024-0EA144112C16}" name="1.04.2028" dataDxfId="14"/>
    <tableColumn id="69" xr3:uid="{0935826B-7B81-4B0F-98BF-A871EA6D2523}" name="1.05.2028" dataDxfId="13"/>
    <tableColumn id="70" xr3:uid="{EA26C0DD-A671-4FBF-A057-22EBDCBD0E48}" name="1.06.2028" dataDxfId="12"/>
    <tableColumn id="71" xr3:uid="{5217242C-FAE8-4AEE-9D8B-B0E4D197A3F0}" name="1.07.2028" dataDxfId="11"/>
    <tableColumn id="72" xr3:uid="{BFDC6A2E-1AF9-4A9C-B29D-17D64E0D702F}" name="1.08.2028" dataDxfId="10"/>
    <tableColumn id="73" xr3:uid="{27A596D0-665B-44A7-8AD2-7C08DFCFC258}" name="1.09.2028" dataDxfId="9"/>
    <tableColumn id="74" xr3:uid="{41AC5CBC-83E2-4982-96F0-B701E6AA389E}" name="1.10.2028" dataDxfId="8"/>
    <tableColumn id="75" xr3:uid="{46703371-87F3-4E7A-926F-D31F6FE4FD0C}" name="1.11.2028" dataDxfId="7"/>
    <tableColumn id="76" xr3:uid="{378E736B-C92E-4649-91A4-9B999B466913}" name="1.12.2028" dataDxfId="6"/>
    <tableColumn id="77" xr3:uid="{3EF10F6E-E46D-4038-89E5-56D593049239}" name="KIRMATAŞ" dataDxfId="5">
      <calculatedColumnFormula>+_xlfn.XLOOKUP(Table1[[#This Row],[L4 Code]],KIRMATAŞ!B:B,KIRMATAŞ!B:B,"")</calculatedColumnFormula>
    </tableColumn>
    <tableColumn id="78" xr3:uid="{CBCAEDCA-F646-473F-87B6-8D1BD0D4C2E3}" name="SU TEMİNİ" dataDxfId="4">
      <calculatedColumnFormula>+_xlfn.XLOOKUP(Table1[[#This Row],[L4 Code]],'SU TEMİNİ'!C:C,'SU TEMİNİ'!C:C,"")</calculatedColumnFormula>
    </tableColumn>
    <tableColumn id="79" xr3:uid="{52682B1D-B530-4FD1-8395-21604C37D5E9}" name="TAŞ" dataDxfId="3">
      <calculatedColumnFormula>+_xlfn.XLOOKUP(Table1[[#This Row],[L4 Code]],TAŞ!C:C,TAŞ!C:C,"")</calculatedColumnFormula>
    </tableColumn>
    <tableColumn id="80" xr3:uid="{AF72E9C4-049D-4E4E-AE2B-AC47F18C7C37}" name="BAĞLANTI" dataDxfId="2">
      <calculatedColumnFormula>Table1[[#This Row],[L4 Code]]&amp;"-"&amp;Table1[[#This Row],[T1 Code]]</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B521"/>
  <sheetViews>
    <sheetView zoomScale="70" zoomScaleNormal="70" workbookViewId="0">
      <pane xSplit="13" ySplit="1" topLeftCell="N206" activePane="bottomRight" state="frozen"/>
      <selection pane="topRight" activeCell="N1" sqref="N1"/>
      <selection pane="bottomLeft" activeCell="A2" sqref="A2"/>
      <selection pane="bottomRight" activeCell="BW243" sqref="BW243"/>
    </sheetView>
  </sheetViews>
  <sheetFormatPr defaultRowHeight="14.5"/>
  <cols>
    <col min="1" max="1" width="11.08984375" customWidth="1"/>
    <col min="2" max="2" width="22.7265625" customWidth="1"/>
    <col min="3" max="3" width="32.26953125" customWidth="1"/>
    <col min="4" max="4" width="16.26953125" bestFit="1" customWidth="1"/>
    <col min="5" max="5" width="26.453125" customWidth="1"/>
    <col min="6" max="6" width="8.7265625" style="77" customWidth="1"/>
    <col min="7" max="7" width="21.6328125" customWidth="1"/>
    <col min="8" max="8" width="9.26953125" customWidth="1"/>
    <col min="9" max="9" width="30.08984375" bestFit="1" customWidth="1"/>
    <col min="10" max="10" width="15.81640625" style="5" customWidth="1"/>
    <col min="11" max="12" width="16.54296875" style="5" customWidth="1"/>
    <col min="13" max="13" width="17.81640625" style="5" customWidth="1"/>
    <col min="14" max="23" width="11.81640625" style="8" customWidth="1"/>
    <col min="24" max="24" width="13.90625" style="8" customWidth="1"/>
    <col min="25" max="76" width="11.81640625" style="8" customWidth="1"/>
    <col min="77" max="79" width="8.7265625" customWidth="1"/>
  </cols>
  <sheetData>
    <row r="1" spans="1:80">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94" t="s">
        <v>5232</v>
      </c>
      <c r="Y1" s="93"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97" t="s">
        <v>5291</v>
      </c>
      <c r="BZ1" s="97" t="s">
        <v>5292</v>
      </c>
      <c r="CA1" s="97" t="s">
        <v>3397</v>
      </c>
      <c r="CB1" s="97" t="s">
        <v>5299</v>
      </c>
    </row>
    <row r="2" spans="1:80">
      <c r="A2" s="3" t="s">
        <v>5444</v>
      </c>
      <c r="B2" s="96" t="s">
        <v>2</v>
      </c>
      <c r="C2" t="str">
        <f>+_xlfn.XLOOKUP(B2,'L4'!B:B,'L4'!C:C)</f>
        <v>KAZI - YARMA VE YAN ARIYET</v>
      </c>
      <c r="D2" t="s">
        <v>4967</v>
      </c>
      <c r="E2" t="str">
        <f>+_xlfn.XLOOKUP(D2,'M2'!H:H,'M2'!I:I)</f>
        <v>PROJE GENELİ</v>
      </c>
      <c r="F2" s="77" t="s">
        <v>4973</v>
      </c>
      <c r="G2" t="s">
        <v>4983</v>
      </c>
      <c r="H2" s="3" t="s">
        <v>4984</v>
      </c>
      <c r="I2" s="3" t="s">
        <v>109</v>
      </c>
      <c r="J2" s="78">
        <v>22888989.096000008</v>
      </c>
      <c r="K2" s="78">
        <f t="shared" ref="K2:K7" si="0">+M2-SUM(N2:X2)</f>
        <v>22464232.498999998</v>
      </c>
      <c r="L2" s="5">
        <f t="shared" ref="L2:L7" si="1">-SUM(Y2:BT2)+K2</f>
        <v>0</v>
      </c>
      <c r="M2" s="78">
        <v>22994687.108999997</v>
      </c>
      <c r="N2" s="8">
        <v>0</v>
      </c>
      <c r="R2" s="8">
        <v>0</v>
      </c>
      <c r="S2" s="8">
        <v>0</v>
      </c>
      <c r="T2" s="8">
        <v>0</v>
      </c>
      <c r="U2" s="8">
        <v>0</v>
      </c>
      <c r="V2" s="8">
        <v>113673</v>
      </c>
      <c r="W2" s="8">
        <v>134056.60999999999</v>
      </c>
      <c r="X2" s="10">
        <v>282725</v>
      </c>
      <c r="Y2" s="8">
        <v>811178.61455377808</v>
      </c>
      <c r="Z2" s="8">
        <v>811410.90231038653</v>
      </c>
      <c r="AA2" s="8">
        <v>570678.59621379152</v>
      </c>
      <c r="AB2" s="8">
        <v>494457.42407314345</v>
      </c>
      <c r="AC2" s="8">
        <v>881878.34897387167</v>
      </c>
      <c r="AD2" s="8">
        <v>815882.25234293239</v>
      </c>
      <c r="AE2" s="8">
        <v>943360.1180136574</v>
      </c>
      <c r="AF2" s="8">
        <v>943838.29311299534</v>
      </c>
      <c r="AG2" s="8">
        <v>940125.45354806026</v>
      </c>
      <c r="AH2" s="8">
        <v>981207.6550484217</v>
      </c>
      <c r="AI2" s="8">
        <v>980729.47994908388</v>
      </c>
      <c r="AJ2" s="8">
        <v>980729.47994908388</v>
      </c>
      <c r="AK2" s="8">
        <v>978374.58965700842</v>
      </c>
      <c r="AL2" s="8">
        <v>980729.47994908388</v>
      </c>
      <c r="AM2" s="8">
        <v>731439.53507528885</v>
      </c>
      <c r="AN2" s="8">
        <v>644565.69580558711</v>
      </c>
      <c r="AO2" s="8">
        <v>644565.69580558711</v>
      </c>
      <c r="AP2" s="8">
        <v>731439.53507528885</v>
      </c>
      <c r="AQ2" s="8">
        <v>818791.54944432806</v>
      </c>
      <c r="AR2" s="8">
        <v>899738.77946491772</v>
      </c>
      <c r="AS2" s="8">
        <v>900390.83641856024</v>
      </c>
      <c r="AT2" s="8">
        <v>880319.52165396349</v>
      </c>
      <c r="AU2" s="8">
        <v>900390.83641856024</v>
      </c>
      <c r="AV2" s="8">
        <v>859786.81001753686</v>
      </c>
      <c r="AW2" s="8">
        <v>834012.99821922334</v>
      </c>
      <c r="AX2" s="8">
        <v>545628.44194654096</v>
      </c>
      <c r="AY2" s="8">
        <v>478953.89188694331</v>
      </c>
      <c r="AZ2" s="8">
        <v>479627.68407237378</v>
      </c>
      <c r="BY2" s="8" t="str">
        <f>+_xlfn.XLOOKUP(Table1[[#This Row],[L4 Code]],KIRMATAŞ!B:B,KIRMATAŞ!B:B,"")</f>
        <v/>
      </c>
      <c r="BZ2" s="8" t="str">
        <f>+_xlfn.XLOOKUP(Table1[[#This Row],[L4 Code]],'SU TEMİNİ'!C:C,'SU TEMİNİ'!C:C,"")</f>
        <v/>
      </c>
      <c r="CA2" s="8" t="str">
        <f>+_xlfn.XLOOKUP(Table1[[#This Row],[L4 Code]],TAŞ!C:C,TAŞ!C:C,"")</f>
        <v/>
      </c>
      <c r="CB2" s="8" t="s">
        <v>5300</v>
      </c>
    </row>
    <row r="3" spans="1:80">
      <c r="A3" s="3" t="s">
        <v>5444</v>
      </c>
      <c r="B3" s="96"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 t="shared" si="0"/>
        <v>581203.84099999978</v>
      </c>
      <c r="L3" s="5">
        <f t="shared" si="1"/>
        <v>0</v>
      </c>
      <c r="M3" s="78">
        <v>2508585.6209999998</v>
      </c>
      <c r="R3" s="8">
        <v>112308.24</v>
      </c>
      <c r="S3" s="8">
        <v>203414.24</v>
      </c>
      <c r="T3" s="8">
        <v>316338.5</v>
      </c>
      <c r="U3" s="8">
        <v>283653.91700000002</v>
      </c>
      <c r="V3" s="8">
        <v>315142.50099999981</v>
      </c>
      <c r="W3" s="8">
        <v>343938.91200000024</v>
      </c>
      <c r="X3" s="10">
        <v>352585.47</v>
      </c>
      <c r="Y3" s="8">
        <f>(+$K3)*0.0436791724019847</f>
        <v>25386.502771734693</v>
      </c>
      <c r="Z3" s="8">
        <f>(+$K3)*0.0436791724019847</f>
        <v>25386.502771734693</v>
      </c>
      <c r="AA3" s="8">
        <f>(+$K3)*0.00727986206699744</f>
        <v>4231.0837952891097</v>
      </c>
      <c r="AB3" s="8">
        <f>(+$K3)*0</f>
        <v>0</v>
      </c>
      <c r="AC3" s="8">
        <f>((+$K3)*0.0363993103349872)--1208.88108436832</f>
        <v>22364.300060813872</v>
      </c>
      <c r="AD3" s="8">
        <f>((+$K3)*0.0363993103349872)--1208.88108436832</f>
        <v>22364.300060813872</v>
      </c>
      <c r="AE3" s="8">
        <f>((+$K3)*0.0509590344689821)--1208.88108436832</f>
        <v>30826.467651392104</v>
      </c>
      <c r="AF3" s="8">
        <f>((+$K3)*0.0509590344689821)--1208.88108436832</f>
        <v>30826.467651392104</v>
      </c>
      <c r="AG3" s="8">
        <f>((+$K3)*0.0509590344689821)--1208.88108436832</f>
        <v>30826.467651392104</v>
      </c>
      <c r="AH3" s="8">
        <f>((+$K3)*0.0582388965359796)--1208.88108436832</f>
        <v>35057.551446681238</v>
      </c>
      <c r="AI3" s="8">
        <f>((+$K3)*0.0582388965359796)--1208.88108436832</f>
        <v>35057.551446681238</v>
      </c>
      <c r="AJ3" s="8">
        <f>((+$K3)*0.0582388965359796)--1208.88108436832</f>
        <v>35057.551446681238</v>
      </c>
      <c r="AK3" s="8">
        <f>((+$K3)*0.0582388965359796)--1208.88108436832</f>
        <v>35057.551446681238</v>
      </c>
      <c r="AL3" s="8">
        <f>((+$K3)*0.0582388965359796)--1208.88108436832</f>
        <v>35057.551446681238</v>
      </c>
      <c r="AM3" s="8">
        <f>((+$K3)*0.0218395862009923)--1208.88108436832</f>
        <v>13902.132470235638</v>
      </c>
      <c r="AN3" s="8">
        <f>((+$K3)*0.0145597241339949)--1208.88108436832</f>
        <v>9671.0486749465508</v>
      </c>
      <c r="AO3" s="8">
        <f>((+$K3)*0.0145597241339949)--1208.88108436832</f>
        <v>9671.0486749465508</v>
      </c>
      <c r="AP3" s="8">
        <f>((+$K3)*0.0218395862009923)--1208.88108436832</f>
        <v>13902.132470235638</v>
      </c>
      <c r="AQ3" s="8">
        <f>((+$K3)*0.0291194482679898)--1208.88108436832</f>
        <v>18133.216265524781</v>
      </c>
      <c r="AR3" s="8">
        <f>((+$K3)*0.0436791724019847)--1208.88108436832</f>
        <v>26595.383856103013</v>
      </c>
      <c r="AS3" s="8">
        <f>((+$K3)*0.0436791724019847)--1208.88108436832</f>
        <v>26595.383856103013</v>
      </c>
      <c r="AT3" s="8">
        <f>((+$K3)*0.0436791724019847)--1208.88108436832</f>
        <v>26595.383856103013</v>
      </c>
      <c r="AU3" s="8">
        <f>((+$K3)*0.0436791724019847)--1208.88108436832</f>
        <v>26595.383856103013</v>
      </c>
      <c r="AV3" s="8">
        <f>((+$K3)*0.0363993103349872)--1208.88108436832</f>
        <v>22364.300060813872</v>
      </c>
      <c r="AW3" s="8">
        <f>((+$K3)*0.0317783450893399)--1208.88108436832</f>
        <v>19678.577310916153</v>
      </c>
      <c r="AX3" s="8">
        <f t="shared" ref="AX3:AZ4" si="2">(+$K3)*0</f>
        <v>0</v>
      </c>
      <c r="AY3" s="8">
        <f t="shared" si="2"/>
        <v>0</v>
      </c>
      <c r="AZ3" s="8">
        <f t="shared" si="2"/>
        <v>0</v>
      </c>
      <c r="BY3" s="8" t="str">
        <f>+_xlfn.XLOOKUP(Table1[[#This Row],[L4 Code]],KIRMATAŞ!B:B,KIRMATAŞ!B:B,"")</f>
        <v/>
      </c>
      <c r="BZ3" s="8" t="str">
        <f>+_xlfn.XLOOKUP(Table1[[#This Row],[L4 Code]],'SU TEMİNİ'!C:C,'SU TEMİNİ'!C:C,"")</f>
        <v/>
      </c>
      <c r="CA3" s="8" t="str">
        <f>+_xlfn.XLOOKUP(Table1[[#This Row],[L4 Code]],TAŞ!C:C,TAŞ!C:C,"")</f>
        <v/>
      </c>
      <c r="CB3" s="98" t="s">
        <v>5301</v>
      </c>
    </row>
    <row r="4" spans="1:80">
      <c r="A4" s="3" t="s">
        <v>5444</v>
      </c>
      <c r="B4" s="96"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 t="shared" si="0"/>
        <v>506171.23699999996</v>
      </c>
      <c r="L4" s="5">
        <f t="shared" si="1"/>
        <v>0</v>
      </c>
      <c r="M4" s="78">
        <v>1925810.7660000001</v>
      </c>
      <c r="P4" s="8">
        <v>155000</v>
      </c>
      <c r="Q4" s="8">
        <v>259190.93</v>
      </c>
      <c r="R4" s="8">
        <v>308457.84999999998</v>
      </c>
      <c r="S4" s="8">
        <v>398212.13</v>
      </c>
      <c r="T4" s="8">
        <v>188311.14000000013</v>
      </c>
      <c r="U4" s="8">
        <v>49036.518999999855</v>
      </c>
      <c r="V4" s="8">
        <v>22426.989999999991</v>
      </c>
      <c r="W4" s="8">
        <v>39003.969999999972</v>
      </c>
      <c r="X4" s="10">
        <v>0</v>
      </c>
      <c r="Y4" s="8">
        <f>(+$K4)*0.0436791724019847</f>
        <v>22109.140725848854</v>
      </c>
      <c r="Z4" s="8">
        <f>(+$K4)*0.0436791724019847</f>
        <v>22109.140725848854</v>
      </c>
      <c r="AA4" s="8">
        <f>(+$K4)*0.00727986206699744</f>
        <v>3684.8567876414709</v>
      </c>
      <c r="AB4" s="8">
        <f>(+$K4)*0</f>
        <v>0</v>
      </c>
      <c r="AC4" s="8">
        <f>((+$K4)*0.0363993103349872)--1052.81622504042</f>
        <v>19477.100163247775</v>
      </c>
      <c r="AD4" s="8">
        <f>((+$K4)*0.0363993103349872)--1052.81622504042</f>
        <v>19477.100163247775</v>
      </c>
      <c r="AE4" s="8">
        <f>((+$K4)*0.0509590344689821)--1052.81622504042</f>
        <v>26846.813738530727</v>
      </c>
      <c r="AF4" s="8">
        <f>((+$K4)*0.0509590344689821)--1052.81622504042</f>
        <v>26846.813738530727</v>
      </c>
      <c r="AG4" s="8">
        <f>((+$K4)*0.0509590344689821)--1052.81622504042</f>
        <v>26846.813738530727</v>
      </c>
      <c r="AH4" s="8">
        <f>((+$K4)*0.0582388965359796)--1052.81622504042</f>
        <v>30531.670526172227</v>
      </c>
      <c r="AI4" s="8">
        <f>((+$K4)*0.0582388965359796)--1052.81622504042</f>
        <v>30531.670526172227</v>
      </c>
      <c r="AJ4" s="8">
        <f>((+$K4)*0.0582388965359796)--1052.81622504042</f>
        <v>30531.670526172227</v>
      </c>
      <c r="AK4" s="8">
        <f>((+$K4)*0.0582388965359796)--1052.81622504042</f>
        <v>30531.670526172227</v>
      </c>
      <c r="AL4" s="8">
        <f>((+$K4)*0.0582388965359796)--1052.81622504042</f>
        <v>30531.670526172227</v>
      </c>
      <c r="AM4" s="8">
        <f>((+$K4)*0.0218395862009923)--1052.81622504042</f>
        <v>12107.386587964822</v>
      </c>
      <c r="AN4" s="8">
        <f>((+$K4)*0.0145597241339949)--1052.81622504042</f>
        <v>8422.5298003233711</v>
      </c>
      <c r="AO4" s="8">
        <f>((+$K4)*0.0145597241339949)--1052.81622504042</f>
        <v>8422.5298003233711</v>
      </c>
      <c r="AP4" s="8">
        <f>((+$K4)*0.0218395862009923)--1052.81622504042</f>
        <v>12107.386587964822</v>
      </c>
      <c r="AQ4" s="8">
        <f>((+$K4)*0.0291194482679898)--1052.81622504042</f>
        <v>15792.243375606324</v>
      </c>
      <c r="AR4" s="8">
        <f>((+$K4)*0.0436791724019847)--1052.81622504042</f>
        <v>23161.956950889275</v>
      </c>
      <c r="AS4" s="8">
        <f>((+$K4)*0.0436791724019847)--1052.81622504042</f>
        <v>23161.956950889275</v>
      </c>
      <c r="AT4" s="8">
        <f>((+$K4)*0.0436791724019847)--1052.81622504042</f>
        <v>23161.956950889275</v>
      </c>
      <c r="AU4" s="8">
        <f>((+$K4)*0.0436791724019847)--1052.81622504042</f>
        <v>23161.956950889275</v>
      </c>
      <c r="AV4" s="8">
        <f>((+$K4)*0.0363993103349872)--1052.81622504042</f>
        <v>19477.100163247775</v>
      </c>
      <c r="AW4" s="8">
        <f>((+$K4)*0.0317783450893399)--1052.81622504042</f>
        <v>17138.100468724471</v>
      </c>
      <c r="AX4" s="8">
        <f t="shared" si="2"/>
        <v>0</v>
      </c>
      <c r="AY4" s="8">
        <f t="shared" si="2"/>
        <v>0</v>
      </c>
      <c r="AZ4" s="8">
        <f t="shared" si="2"/>
        <v>0</v>
      </c>
      <c r="BY4" s="8" t="str">
        <f>+_xlfn.XLOOKUP(Table1[[#This Row],[L4 Code]],KIRMATAŞ!B:B,KIRMATAŞ!B:B,"")</f>
        <v/>
      </c>
      <c r="BZ4" s="8" t="str">
        <f>+_xlfn.XLOOKUP(Table1[[#This Row],[L4 Code]],'SU TEMİNİ'!C:C,'SU TEMİNİ'!C:C,"")</f>
        <v/>
      </c>
      <c r="CA4" s="8" t="str">
        <f>+_xlfn.XLOOKUP(Table1[[#This Row],[L4 Code]],TAŞ!C:C,TAŞ!C:C,"")</f>
        <v/>
      </c>
      <c r="CB4" s="98" t="s">
        <v>5301</v>
      </c>
    </row>
    <row r="5" spans="1:80">
      <c r="A5" s="3" t="s">
        <v>5444</v>
      </c>
      <c r="B5" s="96"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 t="shared" si="0"/>
        <v>49230.3</v>
      </c>
      <c r="L5" s="5">
        <f t="shared" si="1"/>
        <v>49230.3</v>
      </c>
      <c r="M5" s="78">
        <v>100000</v>
      </c>
      <c r="R5" s="8">
        <v>12090</v>
      </c>
      <c r="S5" s="8">
        <v>9489.42</v>
      </c>
      <c r="T5" s="8">
        <v>0</v>
      </c>
      <c r="U5" s="8">
        <v>7730.1640000000007</v>
      </c>
      <c r="V5" s="8">
        <v>3281</v>
      </c>
      <c r="W5" s="8">
        <v>18179.115999999998</v>
      </c>
      <c r="X5" s="10">
        <v>0</v>
      </c>
      <c r="BY5" s="8" t="str">
        <f>+_xlfn.XLOOKUP(Table1[[#This Row],[L4 Code]],KIRMATAŞ!B:B,KIRMATAŞ!B:B,"")</f>
        <v/>
      </c>
      <c r="BZ5" s="8" t="str">
        <f>+_xlfn.XLOOKUP(Table1[[#This Row],[L4 Code]],'SU TEMİNİ'!C:C,'SU TEMİNİ'!C:C,"")</f>
        <v/>
      </c>
      <c r="CA5" s="8" t="str">
        <f>+_xlfn.XLOOKUP(Table1[[#This Row],[L4 Code]],TAŞ!C:C,TAŞ!C:C,"")</f>
        <v/>
      </c>
      <c r="CB5" s="98" t="s">
        <v>5302</v>
      </c>
    </row>
    <row r="6" spans="1:80">
      <c r="A6" s="3" t="s">
        <v>5444</v>
      </c>
      <c r="B6" s="96"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 t="shared" si="0"/>
        <v>0</v>
      </c>
      <c r="L6" s="5">
        <f t="shared" si="1"/>
        <v>0</v>
      </c>
      <c r="M6" s="78">
        <f>+SUM(N6:W6)</f>
        <v>88352.01999999999</v>
      </c>
      <c r="R6" s="8">
        <v>80609.759999999995</v>
      </c>
      <c r="S6" s="8">
        <v>8293.17</v>
      </c>
      <c r="T6" s="8">
        <v>-550.91</v>
      </c>
      <c r="U6" s="8">
        <v>0</v>
      </c>
      <c r="V6" s="8">
        <v>0</v>
      </c>
      <c r="W6" s="8">
        <v>0</v>
      </c>
      <c r="X6" s="10">
        <v>0</v>
      </c>
      <c r="AF6" s="8">
        <v>0</v>
      </c>
      <c r="BY6" s="8" t="str">
        <f>+_xlfn.XLOOKUP(Table1[[#This Row],[L4 Code]],KIRMATAŞ!B:B,KIRMATAŞ!B:B,"")</f>
        <v/>
      </c>
      <c r="BZ6" s="8" t="str">
        <f>+_xlfn.XLOOKUP(Table1[[#This Row],[L4 Code]],'SU TEMİNİ'!C:C,'SU TEMİNİ'!C:C,"")</f>
        <v/>
      </c>
      <c r="CA6" s="8" t="str">
        <f>+_xlfn.XLOOKUP(Table1[[#This Row],[L4 Code]],TAŞ!C:C,TAŞ!C:C,"")</f>
        <v/>
      </c>
      <c r="CB6" s="98" t="s">
        <v>5303</v>
      </c>
    </row>
    <row r="7" spans="1:80">
      <c r="A7" s="3" t="s">
        <v>5444</v>
      </c>
      <c r="B7" s="96" t="s">
        <v>2</v>
      </c>
      <c r="C7" t="str">
        <f>+_xlfn.XLOOKUP(B7,'L4'!B:B,'L4'!C:C)</f>
        <v>KAZI - YARMA VE YAN ARIYET</v>
      </c>
      <c r="D7" t="s">
        <v>5181</v>
      </c>
      <c r="E7" t="str">
        <f>+_xlfn.XLOOKUP(D7,'M2'!H:H,'M2'!I:I)</f>
        <v>ÖZDOĞAN İNŞAAT - GENEL</v>
      </c>
      <c r="F7" s="77" t="s">
        <v>4971</v>
      </c>
      <c r="G7" t="s">
        <v>4998</v>
      </c>
      <c r="H7" s="3" t="s">
        <v>5185</v>
      </c>
      <c r="I7" s="3" t="s">
        <v>38</v>
      </c>
      <c r="J7" s="78">
        <v>750450</v>
      </c>
      <c r="K7" s="78">
        <f t="shared" si="0"/>
        <v>0</v>
      </c>
      <c r="L7" s="5">
        <f t="shared" si="1"/>
        <v>0</v>
      </c>
      <c r="M7" s="78">
        <v>898280.08700000006</v>
      </c>
      <c r="P7" s="8">
        <v>190071.49</v>
      </c>
      <c r="Q7" s="8">
        <v>210000</v>
      </c>
      <c r="R7" s="8">
        <v>262239.94000000006</v>
      </c>
      <c r="S7" s="8">
        <v>139106.76</v>
      </c>
      <c r="T7" s="8">
        <v>39333.630000000005</v>
      </c>
      <c r="U7" s="8">
        <v>46951.930999999982</v>
      </c>
      <c r="V7" s="8">
        <v>0</v>
      </c>
      <c r="W7" s="8">
        <v>0</v>
      </c>
      <c r="X7" s="10">
        <v>10576.33600000001</v>
      </c>
      <c r="Y7" s="8">
        <v>0</v>
      </c>
      <c r="Z7" s="8">
        <v>0</v>
      </c>
      <c r="AA7" s="8">
        <v>0</v>
      </c>
      <c r="AB7" s="8">
        <v>0</v>
      </c>
      <c r="AC7" s="8">
        <v>0</v>
      </c>
      <c r="AD7" s="8">
        <v>0</v>
      </c>
      <c r="AE7" s="8">
        <v>0</v>
      </c>
      <c r="AF7" s="8">
        <v>0</v>
      </c>
      <c r="AG7" s="8">
        <v>0</v>
      </c>
      <c r="AH7" s="8">
        <v>0</v>
      </c>
      <c r="AI7" s="8">
        <v>0</v>
      </c>
      <c r="AJ7" s="8">
        <v>0</v>
      </c>
      <c r="AK7" s="8">
        <v>0</v>
      </c>
      <c r="AL7" s="8">
        <v>0</v>
      </c>
      <c r="AM7" s="8">
        <v>0</v>
      </c>
      <c r="AN7" s="8">
        <v>0</v>
      </c>
      <c r="AO7" s="8">
        <v>0</v>
      </c>
      <c r="BY7" s="8" t="str">
        <f>+_xlfn.XLOOKUP(Table1[[#This Row],[L4 Code]],KIRMATAŞ!B:B,KIRMATAŞ!B:B,"")</f>
        <v/>
      </c>
      <c r="BZ7" s="8" t="str">
        <f>+_xlfn.XLOOKUP(Table1[[#This Row],[L4 Code]],'SU TEMİNİ'!C:C,'SU TEMİNİ'!C:C,"")</f>
        <v/>
      </c>
      <c r="CA7" s="8" t="str">
        <f>+_xlfn.XLOOKUP(Table1[[#This Row],[L4 Code]],TAŞ!C:C,TAŞ!C:C,"")</f>
        <v/>
      </c>
      <c r="CB7" s="98" t="s">
        <v>5304</v>
      </c>
    </row>
    <row r="8" spans="1:80">
      <c r="A8" s="3" t="s">
        <v>5444</v>
      </c>
      <c r="B8" s="96" t="s">
        <v>5</v>
      </c>
      <c r="C8" t="str">
        <f>+_xlfn.XLOOKUP(B8,'L4'!B:B,'L4'!C:C)</f>
        <v>KAZI - SANAT YAPISI ( KÖPRÜ HARIÇ )</v>
      </c>
      <c r="D8" t="s">
        <v>4967</v>
      </c>
      <c r="E8" t="str">
        <f>+_xlfn.XLOOKUP(D8,'M2'!H:H,'M2'!I:I)</f>
        <v>PROJE GENELİ</v>
      </c>
      <c r="F8" s="77" t="s">
        <v>4973</v>
      </c>
      <c r="G8" t="s">
        <v>4983</v>
      </c>
      <c r="H8" s="3" t="s">
        <v>4984</v>
      </c>
      <c r="I8" s="3" t="s">
        <v>147</v>
      </c>
      <c r="J8" s="78">
        <v>177341.09500000003</v>
      </c>
      <c r="K8" s="78">
        <f>+M8-SUM(N8:W8)</f>
        <v>171275.19635510849</v>
      </c>
      <c r="L8" s="5">
        <f>+SUM(X8:BT8)-K8</f>
        <v>0</v>
      </c>
      <c r="M8" s="78">
        <f>+SUM(N8:BX8)</f>
        <v>177341.095</v>
      </c>
      <c r="N8" s="8">
        <v>0</v>
      </c>
      <c r="O8" s="8">
        <v>0</v>
      </c>
      <c r="P8" s="8">
        <v>0</v>
      </c>
      <c r="Q8" s="8">
        <v>0</v>
      </c>
      <c r="S8" s="8">
        <v>2116.1116525354164</v>
      </c>
      <c r="T8" s="8">
        <v>2845.3659434645833</v>
      </c>
      <c r="V8" s="8">
        <v>1187.1130488915005</v>
      </c>
      <c r="W8" s="8">
        <v>-82.692000000000917</v>
      </c>
      <c r="X8" s="10"/>
      <c r="Y8" s="8">
        <v>4051.3865939681082</v>
      </c>
      <c r="Z8" s="8">
        <v>2757.9006938569401</v>
      </c>
      <c r="AA8" s="8">
        <v>4310.7666988233786</v>
      </c>
      <c r="AB8" s="8">
        <v>3017.2807987122105</v>
      </c>
      <c r="AC8" s="8">
        <v>3863.7264424634632</v>
      </c>
      <c r="AD8" s="8">
        <v>8353.9078061278906</v>
      </c>
      <c r="AE8" s="8">
        <v>7376.0119778988546</v>
      </c>
      <c r="AF8" s="8">
        <v>6327.9850225849023</v>
      </c>
      <c r="AG8" s="8">
        <v>7116.6318730435842</v>
      </c>
      <c r="AH8" s="8">
        <v>7116.6318730435842</v>
      </c>
      <c r="AI8" s="8">
        <v>6068.6049177296309</v>
      </c>
      <c r="AJ8" s="8">
        <v>6068.6049177296309</v>
      </c>
      <c r="AK8" s="8">
        <v>5725.3922190385538</v>
      </c>
      <c r="AL8" s="8">
        <v>5725.3922190385538</v>
      </c>
      <c r="AM8" s="8">
        <v>5407.7336729025128</v>
      </c>
      <c r="AN8" s="8">
        <v>4114.2477727913429</v>
      </c>
      <c r="AO8" s="8">
        <v>4283.1086534969536</v>
      </c>
      <c r="AP8" s="8">
        <v>7918.1074090332449</v>
      </c>
      <c r="AQ8" s="8">
        <v>8966.1343643471992</v>
      </c>
      <c r="AR8" s="8">
        <v>8966.1343643471992</v>
      </c>
      <c r="AS8" s="8">
        <v>8966.1343643471992</v>
      </c>
      <c r="AT8" s="8">
        <v>7918.1074090332449</v>
      </c>
      <c r="AU8" s="8">
        <v>6870.0804537192926</v>
      </c>
      <c r="AV8" s="8">
        <v>6870.0804537192926</v>
      </c>
      <c r="AW8" s="8">
        <v>5149.9596726395521</v>
      </c>
      <c r="AX8" s="8">
        <v>6407.592019016296</v>
      </c>
      <c r="AY8" s="8">
        <v>6407.592019016296</v>
      </c>
      <c r="AZ8" s="8">
        <v>5149.9596726395521</v>
      </c>
      <c r="BY8" s="8" t="str">
        <f>+_xlfn.XLOOKUP(Table1[[#This Row],[L4 Code]],KIRMATAŞ!B:B,KIRMATAŞ!B:B,"")</f>
        <v/>
      </c>
      <c r="BZ8" s="8" t="str">
        <f>+_xlfn.XLOOKUP(Table1[[#This Row],[L4 Code]],'SU TEMİNİ'!C:C,'SU TEMİNİ'!C:C,"")</f>
        <v/>
      </c>
      <c r="CA8" s="8" t="str">
        <f>+_xlfn.XLOOKUP(Table1[[#This Row],[L4 Code]],TAŞ!C:C,TAŞ!C:C,"")</f>
        <v/>
      </c>
      <c r="CB8" s="8" t="s">
        <v>5305</v>
      </c>
    </row>
    <row r="9" spans="1:80">
      <c r="A9" s="3" t="s">
        <v>5444</v>
      </c>
      <c r="B9" s="96"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99">
        <f t="shared" ref="K9" si="3">+M9-SUM(N9:X9)</f>
        <v>3705559.84</v>
      </c>
      <c r="L9" s="5">
        <f t="shared" ref="L9" si="4">-SUM(Y9:BT9)+K9</f>
        <v>0</v>
      </c>
      <c r="M9" s="78">
        <v>5030000</v>
      </c>
      <c r="R9" s="8">
        <v>0</v>
      </c>
      <c r="S9" s="8">
        <v>226504</v>
      </c>
      <c r="T9" s="8">
        <v>283287.908</v>
      </c>
      <c r="U9" s="8">
        <v>356674.79100000003</v>
      </c>
      <c r="V9" s="8">
        <v>234643.89099999983</v>
      </c>
      <c r="W9" s="8">
        <v>167357.10500000021</v>
      </c>
      <c r="X9" s="10">
        <v>55972.464999999851</v>
      </c>
      <c r="Y9" s="8">
        <v>46109.38568458963</v>
      </c>
      <c r="Z9" s="8">
        <v>3521.10754966887</v>
      </c>
      <c r="AA9" s="8">
        <v>1912.70039735099</v>
      </c>
      <c r="AB9" s="8">
        <v>1912.70039735099</v>
      </c>
      <c r="AC9" s="8">
        <v>97809.974091333148</v>
      </c>
      <c r="AD9" s="8">
        <v>145758.61093832389</v>
      </c>
      <c r="AE9" s="8">
        <v>193707.24778531498</v>
      </c>
      <c r="AF9" s="8">
        <v>193229.07268597721</v>
      </c>
      <c r="AG9" s="8">
        <v>193707.24778531498</v>
      </c>
      <c r="AH9" s="8">
        <v>193229.07268597721</v>
      </c>
      <c r="AI9" s="8">
        <v>193707.24778531498</v>
      </c>
      <c r="AJ9" s="8">
        <v>193707.24778531498</v>
      </c>
      <c r="AK9" s="8">
        <v>193707.24778531498</v>
      </c>
      <c r="AL9" s="8">
        <v>193707.24778531498</v>
      </c>
      <c r="AM9" s="8">
        <v>145758.61093832389</v>
      </c>
      <c r="AN9" s="8">
        <v>97809.974091333148</v>
      </c>
      <c r="AO9" s="8">
        <v>97809.974091333148</v>
      </c>
      <c r="AP9" s="8">
        <v>145758.61093832389</v>
      </c>
      <c r="AQ9" s="8">
        <v>193229.07268597721</v>
      </c>
      <c r="AR9" s="8">
        <v>193489.89546743417</v>
      </c>
      <c r="AS9" s="8">
        <v>192837.83851379179</v>
      </c>
      <c r="AT9" s="8">
        <v>212909.15327838843</v>
      </c>
      <c r="AU9" s="8">
        <v>192837.83851379179</v>
      </c>
      <c r="AV9" s="8">
        <v>192837.83851379179</v>
      </c>
      <c r="AW9" s="8">
        <v>192837.83851379179</v>
      </c>
      <c r="AX9" s="8">
        <v>1043.29112582782</v>
      </c>
      <c r="AY9" s="8">
        <v>673.79218543046204</v>
      </c>
      <c r="AZ9" s="8">
        <v>0</v>
      </c>
      <c r="BY9" s="8" t="str">
        <f>+_xlfn.XLOOKUP(Table1[[#This Row],[L4 Code]],KIRMATAŞ!B:B,KIRMATAŞ!B:B,"")</f>
        <v/>
      </c>
      <c r="BZ9" s="8" t="str">
        <f>+_xlfn.XLOOKUP(Table1[[#This Row],[L4 Code]],'SU TEMİNİ'!C:C,'SU TEMİNİ'!C:C,"")</f>
        <v/>
      </c>
      <c r="CA9" s="8" t="str">
        <f>+_xlfn.XLOOKUP(Table1[[#This Row],[L4 Code]],TAŞ!C:C,TAŞ!C:C,"")</f>
        <v/>
      </c>
      <c r="CB9" s="98" t="s">
        <v>5302</v>
      </c>
    </row>
    <row r="10" spans="1:80">
      <c r="A10" s="3" t="s">
        <v>5444</v>
      </c>
      <c r="B10" s="96"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4155962.55</v>
      </c>
      <c r="L10" s="5">
        <f>-SUM(Y10:BT10)+K10</f>
        <v>0</v>
      </c>
      <c r="M10" s="78">
        <v>4594384</v>
      </c>
      <c r="S10" s="8">
        <v>29958.22</v>
      </c>
      <c r="T10" s="8">
        <v>53724.01</v>
      </c>
      <c r="U10" s="8">
        <v>137575.53</v>
      </c>
      <c r="V10" s="8">
        <v>79290.77</v>
      </c>
      <c r="W10" s="8">
        <v>84925.52</v>
      </c>
      <c r="X10" s="10">
        <v>52947.4</v>
      </c>
      <c r="Y10" s="8">
        <v>115881.72748576156</v>
      </c>
      <c r="Z10" s="8">
        <v>115881.72748576156</v>
      </c>
      <c r="AA10" s="8">
        <v>115881.72748576156</v>
      </c>
      <c r="AB10" s="8">
        <v>115881.72748576156</v>
      </c>
      <c r="AC10" s="8">
        <v>0</v>
      </c>
      <c r="AD10" s="8">
        <v>152569.38929401987</v>
      </c>
      <c r="AE10" s="8">
        <v>201880.76269221646</v>
      </c>
      <c r="AF10" s="8">
        <v>201880.76269221646</v>
      </c>
      <c r="AG10" s="8">
        <v>201880.76269221646</v>
      </c>
      <c r="AH10" s="8">
        <v>201880.76269221646</v>
      </c>
      <c r="AI10" s="8">
        <v>201880.76269221646</v>
      </c>
      <c r="AJ10" s="8">
        <v>201880.76269221646</v>
      </c>
      <c r="AK10" s="8">
        <v>201880.76269221646</v>
      </c>
      <c r="AL10" s="8">
        <v>201880.76269221646</v>
      </c>
      <c r="AM10" s="8">
        <v>152569.38929401987</v>
      </c>
      <c r="AN10" s="8">
        <v>103258.01589582326</v>
      </c>
      <c r="AO10" s="8">
        <v>103258.01589582326</v>
      </c>
      <c r="AP10" s="8">
        <v>152569.38929401987</v>
      </c>
      <c r="AQ10" s="8">
        <v>201880.76269221646</v>
      </c>
      <c r="AR10" s="8">
        <v>201880.76269221646</v>
      </c>
      <c r="AS10" s="8">
        <v>201880.76269221646</v>
      </c>
      <c r="AT10" s="8">
        <v>201880.76269221646</v>
      </c>
      <c r="AU10" s="8">
        <v>201880.76269221646</v>
      </c>
      <c r="AV10" s="8">
        <v>201880.76269221646</v>
      </c>
      <c r="AW10" s="8">
        <v>201880.76269221646</v>
      </c>
      <c r="AX10" s="8">
        <v>0</v>
      </c>
      <c r="AY10" s="8">
        <v>0</v>
      </c>
      <c r="AZ10" s="8">
        <v>0</v>
      </c>
      <c r="BY10" s="8" t="str">
        <f>+_xlfn.XLOOKUP(Table1[[#This Row],[L4 Code]],KIRMATAŞ!B:B,KIRMATAŞ!B:B,"")</f>
        <v/>
      </c>
      <c r="BZ10" s="8" t="str">
        <f>+_xlfn.XLOOKUP(Table1[[#This Row],[L4 Code]],'SU TEMİNİ'!C:C,'SU TEMİNİ'!C:C,"")</f>
        <v/>
      </c>
      <c r="CA10" s="8" t="str">
        <f>+_xlfn.XLOOKUP(Table1[[#This Row],[L4 Code]],TAŞ!C:C,TAŞ!C:C,"")</f>
        <v/>
      </c>
      <c r="CB10" s="98" t="s">
        <v>5303</v>
      </c>
    </row>
    <row r="11" spans="1:80">
      <c r="A11" s="3" t="s">
        <v>5444</v>
      </c>
      <c r="B11" s="96"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162686.86499999999</v>
      </c>
      <c r="L11" s="5">
        <f>-SUM(Y11:BT11)+K11</f>
        <v>0</v>
      </c>
      <c r="M11" s="78">
        <v>1000000</v>
      </c>
      <c r="P11" s="8">
        <v>0</v>
      </c>
      <c r="Q11" s="8">
        <v>0</v>
      </c>
      <c r="R11" s="8">
        <v>0</v>
      </c>
      <c r="S11" s="8">
        <v>162000</v>
      </c>
      <c r="T11" s="8">
        <v>186141.05</v>
      </c>
      <c r="U11" s="8">
        <v>132741.90500000003</v>
      </c>
      <c r="V11" s="8">
        <v>179340.79399999994</v>
      </c>
      <c r="W11" s="8">
        <v>95132.021000000066</v>
      </c>
      <c r="X11" s="10">
        <v>81957.364999999991</v>
      </c>
      <c r="Y11" s="8">
        <v>2354.8902920752862</v>
      </c>
      <c r="Z11" s="8">
        <v>2354.8902920752862</v>
      </c>
      <c r="AA11" s="8">
        <v>2354.8902920752862</v>
      </c>
      <c r="AB11" s="8">
        <v>1011.465982003098</v>
      </c>
      <c r="AC11" s="8">
        <v>4060.155675991884</v>
      </c>
      <c r="AD11" s="8">
        <v>6090.2335139878269</v>
      </c>
      <c r="AE11" s="8">
        <v>8120.311351983768</v>
      </c>
      <c r="AF11" s="8">
        <v>8120.311351983768</v>
      </c>
      <c r="AG11" s="8">
        <v>8120.311351983768</v>
      </c>
      <c r="AH11" s="8">
        <v>8120.311351983768</v>
      </c>
      <c r="AI11" s="8">
        <v>8120.311351983768</v>
      </c>
      <c r="AJ11" s="8">
        <v>8120.311351983768</v>
      </c>
      <c r="AK11" s="8">
        <v>10475.201644059143</v>
      </c>
      <c r="AL11" s="8">
        <v>8120.311351983768</v>
      </c>
      <c r="AM11" s="8">
        <v>6090.2335139878269</v>
      </c>
      <c r="AN11" s="8">
        <v>4060.155675991884</v>
      </c>
      <c r="AO11" s="8">
        <v>4060.155675991884</v>
      </c>
      <c r="AP11" s="8">
        <v>6090.2335139878269</v>
      </c>
      <c r="AQ11" s="8">
        <v>8120.311351983768</v>
      </c>
      <c r="AR11" s="8">
        <v>8120.311351983768</v>
      </c>
      <c r="AS11" s="8">
        <v>8120.311351983768</v>
      </c>
      <c r="AT11" s="8">
        <v>8120.311351983768</v>
      </c>
      <c r="AU11" s="8">
        <v>8120.311351983768</v>
      </c>
      <c r="AV11" s="8">
        <v>8120.311351983768</v>
      </c>
      <c r="AW11" s="8">
        <v>8120.311351983768</v>
      </c>
      <c r="BY11" s="8" t="str">
        <f>+_xlfn.XLOOKUP(Table1[[#This Row],[L4 Code]],KIRMATAŞ!B:B,KIRMATAŞ!B:B,"")</f>
        <v/>
      </c>
      <c r="BZ11" s="8" t="str">
        <f>+_xlfn.XLOOKUP(Table1[[#This Row],[L4 Code]],'SU TEMİNİ'!C:C,'SU TEMİNİ'!C:C,"")</f>
        <v/>
      </c>
      <c r="CA11" s="8" t="str">
        <f>+_xlfn.XLOOKUP(Table1[[#This Row],[L4 Code]],TAŞ!C:C,TAŞ!C:C,"")</f>
        <v/>
      </c>
      <c r="CB11" s="98" t="s">
        <v>5304</v>
      </c>
    </row>
    <row r="12" spans="1:80">
      <c r="A12" s="3" t="s">
        <v>5444</v>
      </c>
      <c r="B12" s="96" t="s">
        <v>8</v>
      </c>
      <c r="C12" t="str">
        <f>+_xlfn.XLOOKUP(B12,'L4'!B:B,'L4'!C:C)</f>
        <v>NERVÜRLÜ ÇELIK ZATI BEDELI</v>
      </c>
      <c r="D12" t="s">
        <v>4967</v>
      </c>
      <c r="E12" t="str">
        <f>+_xlfn.XLOOKUP(D12,'M2'!H:H,'M2'!I:I)</f>
        <v>PROJE GENELİ</v>
      </c>
      <c r="F12" s="77" t="s">
        <v>4973</v>
      </c>
      <c r="G12" t="s">
        <v>4983</v>
      </c>
      <c r="H12" s="3" t="s">
        <v>4984</v>
      </c>
      <c r="I12" s="3" t="s">
        <v>163</v>
      </c>
      <c r="J12" s="78">
        <v>72686.437368401632</v>
      </c>
      <c r="K12" s="78">
        <f t="shared" ref="K12:K27" si="5">+M12-SUM(N12:W12)</f>
        <v>79455.066900110411</v>
      </c>
      <c r="L12" s="5">
        <f t="shared" ref="L12:L27" si="6">+SUM(X12:BT12)-K12</f>
        <v>0</v>
      </c>
      <c r="M12" s="78">
        <f t="shared" ref="M12:M27" si="7">+SUM(N12:BX12)</f>
        <v>79560.410568401625</v>
      </c>
      <c r="N12" s="8">
        <v>0</v>
      </c>
      <c r="O12" s="8">
        <v>0</v>
      </c>
      <c r="P12" s="8">
        <v>0</v>
      </c>
      <c r="Q12" s="8">
        <v>0</v>
      </c>
      <c r="R12" s="8">
        <v>16.636921875353941</v>
      </c>
      <c r="S12" s="8">
        <v>27.446986329319561</v>
      </c>
      <c r="U12" s="8">
        <v>5.0731448246780388</v>
      </c>
      <c r="W12" s="8">
        <v>56.186615261860716</v>
      </c>
      <c r="X12" s="10">
        <v>57.132682895085047</v>
      </c>
      <c r="Y12" s="8">
        <v>1321.6236732788655</v>
      </c>
      <c r="Z12" s="8">
        <v>2869.9147110223917</v>
      </c>
      <c r="AA12" s="8">
        <v>2916.1180540151031</v>
      </c>
      <c r="AB12" s="8">
        <v>2827.8741067555452</v>
      </c>
      <c r="AC12" s="8">
        <v>3277.0699041796806</v>
      </c>
      <c r="AD12" s="8">
        <v>3902.987020837038</v>
      </c>
      <c r="AE12" s="8">
        <v>3021.6866084238745</v>
      </c>
      <c r="AF12" s="8">
        <v>3498.0262809520218</v>
      </c>
      <c r="AG12" s="8">
        <v>3908.6427312210644</v>
      </c>
      <c r="AH12" s="8">
        <v>4563.5700058120528</v>
      </c>
      <c r="AI12" s="8">
        <v>4519.9003831319906</v>
      </c>
      <c r="AJ12" s="8">
        <v>4201.9104429164463</v>
      </c>
      <c r="AK12" s="8">
        <v>3299.8460931030986</v>
      </c>
      <c r="AL12" s="8">
        <v>2502.8098546067617</v>
      </c>
      <c r="AM12" s="8">
        <v>1948.9039149090181</v>
      </c>
      <c r="AN12" s="8">
        <v>1804.0032188434252</v>
      </c>
      <c r="AO12" s="8">
        <v>2178.8524552253871</v>
      </c>
      <c r="AP12" s="8">
        <v>2426.0836095560562</v>
      </c>
      <c r="AQ12" s="8">
        <v>2841.8408561383158</v>
      </c>
      <c r="AR12" s="8">
        <v>3282.3050180283458</v>
      </c>
      <c r="AS12" s="8">
        <v>3282.3050180283458</v>
      </c>
      <c r="AT12" s="8">
        <v>3205.6199148371111</v>
      </c>
      <c r="AU12" s="8">
        <v>3140.8184984052368</v>
      </c>
      <c r="AV12" s="8">
        <v>2700.3543365152073</v>
      </c>
      <c r="AW12" s="8">
        <v>1442.4854759919613</v>
      </c>
      <c r="AX12" s="8">
        <v>1534.9482772445242</v>
      </c>
      <c r="AY12" s="8">
        <v>1534.9482772445242</v>
      </c>
      <c r="AZ12" s="8">
        <v>1442.4854759919613</v>
      </c>
      <c r="BY12" s="8" t="str">
        <f>+_xlfn.XLOOKUP(Table1[[#This Row],[L4 Code]],KIRMATAŞ!B:B,KIRMATAŞ!B:B,"")</f>
        <v/>
      </c>
      <c r="BZ12" s="8" t="str">
        <f>+_xlfn.XLOOKUP(Table1[[#This Row],[L4 Code]],'SU TEMİNİ'!C:C,'SU TEMİNİ'!C:C,"")</f>
        <v/>
      </c>
      <c r="CA12" s="8" t="str">
        <f>+_xlfn.XLOOKUP(Table1[[#This Row],[L4 Code]],TAŞ!C:C,TAŞ!C:C,"")</f>
        <v/>
      </c>
      <c r="CB12" s="8" t="s">
        <v>5306</v>
      </c>
    </row>
    <row r="13" spans="1:80">
      <c r="A13" s="3" t="s">
        <v>5444</v>
      </c>
      <c r="B13" s="96" t="s">
        <v>2615</v>
      </c>
      <c r="C13" t="str">
        <f>+_xlfn.XLOOKUP(B13,'L4'!B:B,'L4'!C:C)</f>
        <v>KAZI - ARIYET OCAĞI</v>
      </c>
      <c r="D13" t="s">
        <v>4967</v>
      </c>
      <c r="E13" t="str">
        <f>+_xlfn.XLOOKUP(D13,'M2'!H:H,'M2'!I:I)</f>
        <v>PROJE GENELİ</v>
      </c>
      <c r="F13" s="77" t="s">
        <v>4973</v>
      </c>
      <c r="G13" t="s">
        <v>4983</v>
      </c>
      <c r="H13" s="3" t="s">
        <v>4984</v>
      </c>
      <c r="I13" s="3" t="s">
        <v>119</v>
      </c>
      <c r="J13" s="78">
        <v>8870000</v>
      </c>
      <c r="K13" s="78">
        <f t="shared" si="5"/>
        <v>8870000</v>
      </c>
      <c r="L13" s="5">
        <f t="shared" si="6"/>
        <v>0</v>
      </c>
      <c r="M13" s="78">
        <f t="shared" si="7"/>
        <v>8870000</v>
      </c>
      <c r="N13" s="8">
        <v>0</v>
      </c>
      <c r="O13" s="8">
        <v>0</v>
      </c>
      <c r="P13" s="8">
        <v>0</v>
      </c>
      <c r="Q13" s="8">
        <v>0</v>
      </c>
      <c r="R13" s="8">
        <v>0</v>
      </c>
      <c r="S13" s="8">
        <v>0</v>
      </c>
      <c r="T13" s="8">
        <v>0</v>
      </c>
      <c r="U13" s="8">
        <v>0</v>
      </c>
      <c r="V13" s="8">
        <v>0</v>
      </c>
      <c r="W13" s="8">
        <v>0</v>
      </c>
      <c r="X13" s="10"/>
      <c r="Y13" s="8">
        <v>300000</v>
      </c>
      <c r="Z13" s="8">
        <v>300000</v>
      </c>
      <c r="AA13" s="8">
        <v>300000</v>
      </c>
      <c r="AB13" s="8">
        <v>270000</v>
      </c>
      <c r="AC13" s="8">
        <v>150000</v>
      </c>
      <c r="AD13" s="8">
        <v>150000</v>
      </c>
      <c r="AE13" s="8">
        <v>250000</v>
      </c>
      <c r="AF13" s="8">
        <v>350000</v>
      </c>
      <c r="AG13" s="8">
        <v>450000</v>
      </c>
      <c r="AH13" s="8">
        <v>450000</v>
      </c>
      <c r="AI13" s="8">
        <v>450000</v>
      </c>
      <c r="AJ13" s="8">
        <v>450000</v>
      </c>
      <c r="AK13" s="8">
        <v>450000</v>
      </c>
      <c r="AL13" s="8">
        <v>450000</v>
      </c>
      <c r="AM13" s="8">
        <v>300000</v>
      </c>
      <c r="AN13" s="8">
        <v>150000</v>
      </c>
      <c r="AO13" s="8">
        <v>0</v>
      </c>
      <c r="AP13" s="8">
        <v>150000</v>
      </c>
      <c r="AQ13" s="8">
        <v>250000</v>
      </c>
      <c r="AR13" s="8">
        <v>350000</v>
      </c>
      <c r="AS13" s="8">
        <v>450000</v>
      </c>
      <c r="AT13" s="8">
        <v>450000</v>
      </c>
      <c r="AU13" s="8">
        <v>450000</v>
      </c>
      <c r="AV13" s="8">
        <v>450000</v>
      </c>
      <c r="AW13" s="8">
        <v>450000</v>
      </c>
      <c r="AX13" s="8">
        <v>450000</v>
      </c>
      <c r="AY13" s="8">
        <v>200000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t="str">
        <f>+_xlfn.XLOOKUP(Table1[[#This Row],[L4 Code]],KIRMATAŞ!B:B,KIRMATAŞ!B:B,"")</f>
        <v/>
      </c>
      <c r="BZ13" s="8" t="str">
        <f>+_xlfn.XLOOKUP(Table1[[#This Row],[L4 Code]],'SU TEMİNİ'!C:C,'SU TEMİNİ'!C:C,"")</f>
        <v/>
      </c>
      <c r="CA13" s="8" t="str">
        <f>+_xlfn.XLOOKUP(Table1[[#This Row],[L4 Code]],TAŞ!C:C,TAŞ!C:C,"")</f>
        <v/>
      </c>
      <c r="CB13" s="8" t="s">
        <v>5307</v>
      </c>
    </row>
    <row r="14" spans="1:80">
      <c r="A14" s="3" t="s">
        <v>5444</v>
      </c>
      <c r="B14" s="96" t="s">
        <v>2616</v>
      </c>
      <c r="C14" t="str">
        <f>+_xlfn.XLOOKUP(B14,'L4'!B:B,'L4'!C:C)</f>
        <v>KAZI - SIYIRMA</v>
      </c>
      <c r="D14" t="s">
        <v>4967</v>
      </c>
      <c r="E14" t="str">
        <f>+_xlfn.XLOOKUP(D14,'M2'!H:H,'M2'!I:I)</f>
        <v>PROJE GENELİ</v>
      </c>
      <c r="F14" s="77" t="s">
        <v>4973</v>
      </c>
      <c r="G14" t="s">
        <v>4983</v>
      </c>
      <c r="H14" s="3" t="s">
        <v>4984</v>
      </c>
      <c r="I14" s="3" t="s">
        <v>124</v>
      </c>
      <c r="J14" s="78">
        <v>2085258.0000000007</v>
      </c>
      <c r="K14" s="78">
        <f t="shared" si="5"/>
        <v>2082528.9060000007</v>
      </c>
      <c r="L14" s="5">
        <f t="shared" si="6"/>
        <v>0</v>
      </c>
      <c r="M14" s="78">
        <f t="shared" si="7"/>
        <v>2085258.0000000007</v>
      </c>
      <c r="N14" s="8">
        <v>0</v>
      </c>
      <c r="O14" s="8">
        <v>0</v>
      </c>
      <c r="P14" s="8">
        <v>0</v>
      </c>
      <c r="Q14" s="8">
        <v>0</v>
      </c>
      <c r="R14" s="8">
        <v>0</v>
      </c>
      <c r="S14" s="8">
        <v>0</v>
      </c>
      <c r="T14" s="8">
        <v>0</v>
      </c>
      <c r="U14" s="8">
        <v>0</v>
      </c>
      <c r="V14" s="8">
        <v>2286.7539999999999</v>
      </c>
      <c r="W14" s="8">
        <v>442.34000000000015</v>
      </c>
      <c r="X14" s="10"/>
      <c r="Y14" s="8">
        <v>49934.562198058949</v>
      </c>
      <c r="Z14" s="8">
        <v>49934.562198058949</v>
      </c>
      <c r="AA14" s="8">
        <v>49934.562198058949</v>
      </c>
      <c r="AB14" s="8">
        <v>49934.562198058949</v>
      </c>
      <c r="AC14" s="8">
        <v>24967.281099029475</v>
      </c>
      <c r="AD14" s="8">
        <v>49934.562198058949</v>
      </c>
      <c r="AE14" s="8">
        <v>49934.562198058949</v>
      </c>
      <c r="AF14" s="8">
        <v>49934.562198058949</v>
      </c>
      <c r="AG14" s="8">
        <v>99869.124396117899</v>
      </c>
      <c r="AH14" s="8">
        <v>124836.40549514737</v>
      </c>
      <c r="AI14" s="8">
        <v>124836.40549514737</v>
      </c>
      <c r="AJ14" s="8">
        <v>124836.40549514737</v>
      </c>
      <c r="AK14" s="8">
        <v>99869.124396117899</v>
      </c>
      <c r="AL14" s="8">
        <v>99869.124396117899</v>
      </c>
      <c r="AM14" s="8">
        <v>49934.562198058949</v>
      </c>
      <c r="AN14" s="8">
        <v>24967.281099029475</v>
      </c>
      <c r="AO14" s="8">
        <v>24967.281099029475</v>
      </c>
      <c r="AP14" s="8">
        <v>24967.281099029475</v>
      </c>
      <c r="AQ14" s="8">
        <v>49934.562198058949</v>
      </c>
      <c r="AR14" s="8">
        <v>74901.843297088431</v>
      </c>
      <c r="AS14" s="8">
        <v>124836.40549514737</v>
      </c>
      <c r="AT14" s="8">
        <v>124836.40549514737</v>
      </c>
      <c r="AU14" s="8">
        <v>124836.40549514737</v>
      </c>
      <c r="AV14" s="8">
        <v>124836.40549514737</v>
      </c>
      <c r="AW14" s="8">
        <v>124836.40549514737</v>
      </c>
      <c r="AX14" s="8">
        <v>99869.124396117899</v>
      </c>
      <c r="AY14" s="8">
        <v>60179.136978612856</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c r="BY14" s="8" t="str">
        <f>+_xlfn.XLOOKUP(Table1[[#This Row],[L4 Code]],KIRMATAŞ!B:B,KIRMATAŞ!B:B,"")</f>
        <v/>
      </c>
      <c r="BZ14" s="8" t="str">
        <f>+_xlfn.XLOOKUP(Table1[[#This Row],[L4 Code]],'SU TEMİNİ'!C:C,'SU TEMİNİ'!C:C,"")</f>
        <v/>
      </c>
      <c r="CA14" s="8" t="str">
        <f>+_xlfn.XLOOKUP(Table1[[#This Row],[L4 Code]],TAŞ!C:C,TAŞ!C:C,"")</f>
        <v/>
      </c>
      <c r="CB14" s="8" t="s">
        <v>5308</v>
      </c>
    </row>
    <row r="15" spans="1:80">
      <c r="A15" s="3" t="s">
        <v>5444</v>
      </c>
      <c r="B15" s="96" t="s">
        <v>10</v>
      </c>
      <c r="C15" t="str">
        <f>+_xlfn.XLOOKUP(B15,'L4'!B:B,'L4'!C:C)</f>
        <v>TÜNEL TIPI DRENAJ BORUSU DÖŞENMESI</v>
      </c>
      <c r="D15" t="s">
        <v>4967</v>
      </c>
      <c r="E15" t="str">
        <f>+_xlfn.XLOOKUP(D15,'M2'!H:H,'M2'!I:I)</f>
        <v>PROJE GENELİ</v>
      </c>
      <c r="F15" s="77" t="s">
        <v>4973</v>
      </c>
      <c r="G15" t="s">
        <v>4983</v>
      </c>
      <c r="H15" s="3" t="s">
        <v>4984</v>
      </c>
      <c r="I15" s="3" t="s">
        <v>177</v>
      </c>
      <c r="J15" s="78">
        <v>0</v>
      </c>
      <c r="K15" s="78">
        <f t="shared" si="5"/>
        <v>34404</v>
      </c>
      <c r="L15" s="5">
        <f t="shared" si="6"/>
        <v>0</v>
      </c>
      <c r="M15" s="78">
        <f t="shared" si="7"/>
        <v>34404</v>
      </c>
      <c r="N15" s="8">
        <v>0</v>
      </c>
      <c r="O15" s="8">
        <v>0</v>
      </c>
      <c r="P15" s="8">
        <v>0</v>
      </c>
      <c r="Q15" s="8">
        <v>0</v>
      </c>
      <c r="R15" s="8">
        <v>0</v>
      </c>
      <c r="S15" s="8">
        <v>0</v>
      </c>
      <c r="T15" s="8">
        <v>0</v>
      </c>
      <c r="U15" s="8">
        <v>0</v>
      </c>
      <c r="V15" s="8">
        <v>0</v>
      </c>
      <c r="W15" s="8">
        <v>0</v>
      </c>
      <c r="X15" s="10">
        <v>0</v>
      </c>
      <c r="Y15" s="8">
        <v>1228.7142857142858</v>
      </c>
      <c r="Z15" s="8">
        <v>1228.7142857142856</v>
      </c>
      <c r="AA15" s="8">
        <v>1228.7142857142856</v>
      </c>
      <c r="AB15" s="8">
        <v>1228.7142857142856</v>
      </c>
      <c r="AC15" s="8">
        <v>1228.7142857142856</v>
      </c>
      <c r="AD15" s="8">
        <v>1228.7142857142858</v>
      </c>
      <c r="AE15" s="8">
        <v>1228.7142857142856</v>
      </c>
      <c r="AF15" s="8">
        <v>1228.7142857142856</v>
      </c>
      <c r="AG15" s="8">
        <v>1228.7142857142851</v>
      </c>
      <c r="AH15" s="8">
        <v>1228.7142857142849</v>
      </c>
      <c r="AI15" s="8">
        <v>1228.7142857142849</v>
      </c>
      <c r="AJ15" s="8">
        <v>1228.7142857142849</v>
      </c>
      <c r="AK15" s="8">
        <v>1228.7142857142853</v>
      </c>
      <c r="AL15" s="8">
        <v>1228.7142857142853</v>
      </c>
      <c r="AM15" s="8">
        <v>1228.7142857142853</v>
      </c>
      <c r="AN15" s="8">
        <v>1228.7142857142853</v>
      </c>
      <c r="AO15" s="8">
        <v>1228.7142857142853</v>
      </c>
      <c r="AP15" s="8">
        <v>1228.7142857142851</v>
      </c>
      <c r="AQ15" s="8">
        <v>1228.7142857142851</v>
      </c>
      <c r="AR15" s="8">
        <v>1228.7142857142851</v>
      </c>
      <c r="AS15" s="8">
        <v>1228.7142857142851</v>
      </c>
      <c r="AT15" s="8">
        <v>1228.7142857142851</v>
      </c>
      <c r="AU15" s="8">
        <v>1228.7142857142851</v>
      </c>
      <c r="AV15" s="8">
        <v>1228.7142857142851</v>
      </c>
      <c r="AW15" s="8">
        <v>1228.7142857142856</v>
      </c>
      <c r="AX15" s="8">
        <v>1228.7142857142856</v>
      </c>
      <c r="AY15" s="8">
        <v>1228.7142857142856</v>
      </c>
      <c r="AZ15" s="8">
        <v>1228.7142857142856</v>
      </c>
      <c r="BY15" s="8" t="str">
        <f>+_xlfn.XLOOKUP(Table1[[#This Row],[L4 Code]],KIRMATAŞ!B:B,KIRMATAŞ!B:B,"")</f>
        <v/>
      </c>
      <c r="BZ15" s="8" t="str">
        <f>+_xlfn.XLOOKUP(Table1[[#This Row],[L4 Code]],'SU TEMİNİ'!C:C,'SU TEMİNİ'!C:C,"")</f>
        <v/>
      </c>
      <c r="CA15" s="8" t="str">
        <f>+_xlfn.XLOOKUP(Table1[[#This Row],[L4 Code]],TAŞ!C:C,TAŞ!C:C,"")</f>
        <v/>
      </c>
      <c r="CB15" s="8" t="s">
        <v>5309</v>
      </c>
    </row>
    <row r="16" spans="1:80">
      <c r="A16" s="3" t="s">
        <v>5444</v>
      </c>
      <c r="B16" s="96" t="s">
        <v>2617</v>
      </c>
      <c r="C16" t="str">
        <f>+_xlfn.XLOOKUP(B16,'L4'!B:B,'L4'!C:C)</f>
        <v>DOLGU - İSTIFSIZ TAŞ - TABAN İYILEŞTIRME</v>
      </c>
      <c r="D16" t="s">
        <v>4967</v>
      </c>
      <c r="E16" t="str">
        <f>+_xlfn.XLOOKUP(D16,'M2'!H:H,'M2'!I:I)</f>
        <v>PROJE GENELİ</v>
      </c>
      <c r="F16" s="77" t="s">
        <v>4973</v>
      </c>
      <c r="G16" t="s">
        <v>4983</v>
      </c>
      <c r="H16" s="3" t="s">
        <v>4984</v>
      </c>
      <c r="I16" s="3" t="s">
        <v>129</v>
      </c>
      <c r="J16" s="78">
        <v>2840413.0940000005</v>
      </c>
      <c r="K16" s="78">
        <f t="shared" si="5"/>
        <v>2837684.094</v>
      </c>
      <c r="L16" s="5">
        <f t="shared" si="6"/>
        <v>0</v>
      </c>
      <c r="M16" s="78">
        <f t="shared" si="7"/>
        <v>2837684.094</v>
      </c>
      <c r="N16" s="8">
        <v>0</v>
      </c>
      <c r="O16" s="8">
        <v>0</v>
      </c>
      <c r="P16" s="8">
        <v>0</v>
      </c>
      <c r="Q16" s="8">
        <v>0</v>
      </c>
      <c r="R16" s="8">
        <v>0</v>
      </c>
      <c r="S16" s="8">
        <v>0</v>
      </c>
      <c r="T16" s="8">
        <v>0</v>
      </c>
      <c r="U16" s="8">
        <v>0</v>
      </c>
      <c r="V16" s="8">
        <v>0</v>
      </c>
      <c r="W16" s="8">
        <v>0</v>
      </c>
      <c r="X16" s="10"/>
      <c r="Y16" s="8">
        <v>50763.059310238306</v>
      </c>
      <c r="Z16" s="8">
        <v>50763.059310238306</v>
      </c>
      <c r="AA16" s="8">
        <v>50763.059310238306</v>
      </c>
      <c r="AB16" s="8">
        <v>50763.059310238306</v>
      </c>
      <c r="AC16" s="8">
        <v>50763.059310238306</v>
      </c>
      <c r="AD16" s="8">
        <v>75787.102632186783</v>
      </c>
      <c r="AE16" s="8">
        <v>75787.102632186783</v>
      </c>
      <c r="AF16" s="8">
        <v>125835.18927608371</v>
      </c>
      <c r="AG16" s="8">
        <v>125835.18927608371</v>
      </c>
      <c r="AH16" s="8">
        <v>150859.23259803216</v>
      </c>
      <c r="AI16" s="8">
        <v>150859.23259803216</v>
      </c>
      <c r="AJ16" s="8">
        <v>150859.23259803216</v>
      </c>
      <c r="AK16" s="8">
        <v>125835.18927608371</v>
      </c>
      <c r="AL16" s="8">
        <v>125835.18927608371</v>
      </c>
      <c r="AM16" s="8">
        <v>75787.102632186783</v>
      </c>
      <c r="AN16" s="8">
        <v>50763.059310238306</v>
      </c>
      <c r="AO16" s="8">
        <v>60772.676639017693</v>
      </c>
      <c r="AP16" s="8">
        <v>60772.676639017693</v>
      </c>
      <c r="AQ16" s="8">
        <v>85796.719960966162</v>
      </c>
      <c r="AR16" s="8">
        <v>110820.76328291462</v>
      </c>
      <c r="AS16" s="8">
        <v>160868.84992681153</v>
      </c>
      <c r="AT16" s="8">
        <v>160868.84992681153</v>
      </c>
      <c r="AU16" s="8">
        <v>160868.84992681153</v>
      </c>
      <c r="AV16" s="8">
        <v>160868.84992681153</v>
      </c>
      <c r="AW16" s="8">
        <v>160868.84992681153</v>
      </c>
      <c r="AX16" s="8">
        <v>135844.80660486309</v>
      </c>
      <c r="AY16" s="8">
        <v>76045.350759269277</v>
      </c>
      <c r="AZ16" s="8">
        <v>15428.731823472343</v>
      </c>
      <c r="BA16" s="8">
        <v>0</v>
      </c>
      <c r="BB16" s="8">
        <v>0</v>
      </c>
      <c r="BC16" s="8">
        <v>0</v>
      </c>
      <c r="BD16" s="8">
        <v>0</v>
      </c>
      <c r="BE16" s="8">
        <v>0</v>
      </c>
      <c r="BF16" s="8">
        <v>0</v>
      </c>
      <c r="BG16" s="8">
        <v>0</v>
      </c>
      <c r="BH16" s="8">
        <v>0</v>
      </c>
      <c r="BI16" s="8">
        <v>0</v>
      </c>
      <c r="BJ16" s="8">
        <v>0</v>
      </c>
      <c r="BK16" s="8">
        <v>0</v>
      </c>
      <c r="BL16" s="8">
        <v>0</v>
      </c>
      <c r="BM16" s="8">
        <v>0</v>
      </c>
      <c r="BN16" s="8">
        <v>0</v>
      </c>
      <c r="BO16" s="8">
        <v>0</v>
      </c>
      <c r="BP16" s="8">
        <v>0</v>
      </c>
      <c r="BQ16" s="8">
        <v>0</v>
      </c>
      <c r="BR16" s="8">
        <v>0</v>
      </c>
      <c r="BS16" s="8">
        <v>0</v>
      </c>
      <c r="BT16" s="8">
        <v>0</v>
      </c>
      <c r="BU16" s="8">
        <v>0</v>
      </c>
      <c r="BV16" s="8">
        <v>0</v>
      </c>
      <c r="BW16" s="8">
        <v>0</v>
      </c>
      <c r="BX16" s="8">
        <v>0</v>
      </c>
      <c r="BY16" s="8" t="str">
        <f>+_xlfn.XLOOKUP(Table1[[#This Row],[L4 Code]],KIRMATAŞ!B:B,KIRMATAŞ!B:B,"")</f>
        <v/>
      </c>
      <c r="BZ16" s="8" t="str">
        <f>+_xlfn.XLOOKUP(Table1[[#This Row],[L4 Code]],'SU TEMİNİ'!C:C,'SU TEMİNİ'!C:C,"")</f>
        <v/>
      </c>
      <c r="CA16" s="8" t="str">
        <f>+_xlfn.XLOOKUP(Table1[[#This Row],[L4 Code]],TAŞ!C:C,TAŞ!C:C,"")</f>
        <v>D-01.ALT-01.TPR-004</v>
      </c>
      <c r="CB16" s="8" t="s">
        <v>5310</v>
      </c>
    </row>
    <row r="17" spans="1:80">
      <c r="A17" s="3" t="s">
        <v>5444</v>
      </c>
      <c r="B17" s="96" t="s">
        <v>11</v>
      </c>
      <c r="C17" t="str">
        <f>+_xlfn.XLOOKUP(B17,'L4'!B:B,'L4'!C:C)</f>
        <v>KORUGE DRENAJ BORUSU - Ø 400 MM</v>
      </c>
      <c r="D17" t="s">
        <v>4967</v>
      </c>
      <c r="E17" t="str">
        <f>+_xlfn.XLOOKUP(D17,'M2'!H:H,'M2'!I:I)</f>
        <v>PROJE GENELİ</v>
      </c>
      <c r="F17" s="77" t="s">
        <v>4973</v>
      </c>
      <c r="G17" t="s">
        <v>4983</v>
      </c>
      <c r="H17" s="3" t="s">
        <v>4984</v>
      </c>
      <c r="I17" s="3" t="s">
        <v>188</v>
      </c>
      <c r="J17" s="78">
        <v>85215.54</v>
      </c>
      <c r="K17" s="78">
        <f t="shared" si="5"/>
        <v>85215.540000000008</v>
      </c>
      <c r="L17" s="5">
        <f t="shared" si="6"/>
        <v>0</v>
      </c>
      <c r="M17" s="78">
        <f t="shared" si="7"/>
        <v>85215.540000000008</v>
      </c>
      <c r="N17" s="8">
        <v>0</v>
      </c>
      <c r="O17" s="8">
        <v>0</v>
      </c>
      <c r="P17" s="8">
        <v>0</v>
      </c>
      <c r="Q17" s="8">
        <v>0</v>
      </c>
      <c r="R17" s="8">
        <v>0</v>
      </c>
      <c r="S17" s="8">
        <v>0</v>
      </c>
      <c r="T17" s="8">
        <v>0</v>
      </c>
      <c r="U17" s="8">
        <v>0</v>
      </c>
      <c r="V17" s="8">
        <v>0</v>
      </c>
      <c r="W17" s="8">
        <v>0</v>
      </c>
      <c r="X17" s="10">
        <v>0</v>
      </c>
      <c r="Y17" s="8">
        <v>0</v>
      </c>
      <c r="Z17" s="8">
        <v>0</v>
      </c>
      <c r="AA17" s="8">
        <v>0</v>
      </c>
      <c r="AB17" s="8">
        <v>0</v>
      </c>
      <c r="AC17" s="8">
        <v>0</v>
      </c>
      <c r="AD17" s="8">
        <v>0</v>
      </c>
      <c r="AE17" s="8">
        <v>5322.3281532093715</v>
      </c>
      <c r="AF17" s="8">
        <v>5336.0795051596078</v>
      </c>
      <c r="AG17" s="8">
        <v>5322.3281532093715</v>
      </c>
      <c r="AH17" s="8">
        <v>5329.924600870927</v>
      </c>
      <c r="AI17" s="8">
        <v>5331.1084575196173</v>
      </c>
      <c r="AJ17" s="8">
        <v>5304.7382993933961</v>
      </c>
      <c r="AK17" s="8">
        <v>5345.7733461255084</v>
      </c>
      <c r="AL17" s="8">
        <v>5355.9560307716019</v>
      </c>
      <c r="AM17" s="8">
        <v>0</v>
      </c>
      <c r="AN17" s="8">
        <v>0</v>
      </c>
      <c r="AO17" s="8">
        <v>0</v>
      </c>
      <c r="AP17" s="8">
        <v>0</v>
      </c>
      <c r="AQ17" s="8">
        <v>5305.0239823032734</v>
      </c>
      <c r="AR17" s="8">
        <v>5312.6204299648289</v>
      </c>
      <c r="AS17" s="8">
        <v>5311.6287354730266</v>
      </c>
      <c r="AT17" s="8">
        <v>5296.4358401499148</v>
      </c>
      <c r="AU17" s="8">
        <v>5349.2334493636381</v>
      </c>
      <c r="AV17" s="8">
        <v>5349.2334493636381</v>
      </c>
      <c r="AW17" s="8">
        <v>5321.5637835611369</v>
      </c>
      <c r="AX17" s="8">
        <v>5321.5637835611369</v>
      </c>
      <c r="AY17" s="8">
        <v>0</v>
      </c>
      <c r="AZ17" s="8">
        <v>0</v>
      </c>
      <c r="BA17" s="8">
        <v>0</v>
      </c>
      <c r="BB17" s="8">
        <v>0</v>
      </c>
      <c r="BC17" s="8">
        <v>0</v>
      </c>
      <c r="BD17" s="8">
        <v>0</v>
      </c>
      <c r="BE17" s="8">
        <v>0</v>
      </c>
      <c r="BF17" s="8">
        <v>0</v>
      </c>
      <c r="BG17" s="8">
        <v>0</v>
      </c>
      <c r="BH17" s="8">
        <v>0</v>
      </c>
      <c r="BI17" s="8">
        <v>0</v>
      </c>
      <c r="BJ17" s="8">
        <v>0</v>
      </c>
      <c r="BK17" s="8">
        <v>0</v>
      </c>
      <c r="BL17" s="8">
        <v>0</v>
      </c>
      <c r="BM17" s="8">
        <v>0</v>
      </c>
      <c r="BN17" s="8">
        <v>0</v>
      </c>
      <c r="BO17" s="8">
        <v>0</v>
      </c>
      <c r="BP17" s="8">
        <v>0</v>
      </c>
      <c r="BQ17" s="8">
        <v>0</v>
      </c>
      <c r="BR17" s="8">
        <v>0</v>
      </c>
      <c r="BS17" s="8">
        <v>0</v>
      </c>
      <c r="BT17" s="8">
        <v>0</v>
      </c>
      <c r="BU17" s="8">
        <v>0</v>
      </c>
      <c r="BV17" s="8">
        <v>0</v>
      </c>
      <c r="BW17" s="8">
        <v>0</v>
      </c>
      <c r="BX17" s="8">
        <v>0</v>
      </c>
      <c r="BY17" s="8" t="str">
        <f>+_xlfn.XLOOKUP(Table1[[#This Row],[L4 Code]],KIRMATAŞ!B:B,KIRMATAŞ!B:B,"")</f>
        <v/>
      </c>
      <c r="BZ17" s="8" t="str">
        <f>+_xlfn.XLOOKUP(Table1[[#This Row],[L4 Code]],'SU TEMİNİ'!C:C,'SU TEMİNİ'!C:C,"")</f>
        <v/>
      </c>
      <c r="CA17" s="8" t="str">
        <f>+_xlfn.XLOOKUP(Table1[[#This Row],[L4 Code]],TAŞ!C:C,TAŞ!C:C,"")</f>
        <v/>
      </c>
      <c r="CB17" s="8" t="s">
        <v>5311</v>
      </c>
    </row>
    <row r="18" spans="1:80">
      <c r="A18" s="3" t="s">
        <v>5444</v>
      </c>
      <c r="B18" s="96" t="s">
        <v>2625</v>
      </c>
      <c r="C18" t="str">
        <f>+_xlfn.XLOOKUP(B18,'L4'!B:B,'L4'!C:C)</f>
        <v>FONTTAN IZGARA. KAPAK. GARGUY</v>
      </c>
      <c r="D18" t="s">
        <v>4967</v>
      </c>
      <c r="E18" t="str">
        <f>+_xlfn.XLOOKUP(D18,'M2'!H:H,'M2'!I:I)</f>
        <v>PROJE GENELİ</v>
      </c>
      <c r="F18" s="77" t="s">
        <v>4973</v>
      </c>
      <c r="G18" t="s">
        <v>4983</v>
      </c>
      <c r="H18" s="3" t="s">
        <v>4984</v>
      </c>
      <c r="I18" s="3" t="s">
        <v>193</v>
      </c>
      <c r="J18" s="78">
        <v>2625</v>
      </c>
      <c r="K18" s="78">
        <f t="shared" si="5"/>
        <v>2625</v>
      </c>
      <c r="L18" s="5">
        <f t="shared" si="6"/>
        <v>0</v>
      </c>
      <c r="M18" s="78">
        <f t="shared" si="7"/>
        <v>2625</v>
      </c>
      <c r="N18" s="8">
        <v>0</v>
      </c>
      <c r="O18" s="8">
        <v>0</v>
      </c>
      <c r="P18" s="8">
        <v>0</v>
      </c>
      <c r="Q18" s="8">
        <v>0</v>
      </c>
      <c r="R18" s="8">
        <v>0</v>
      </c>
      <c r="S18" s="8">
        <v>0</v>
      </c>
      <c r="T18" s="8">
        <v>0</v>
      </c>
      <c r="U18" s="8">
        <v>0</v>
      </c>
      <c r="V18" s="8">
        <v>0</v>
      </c>
      <c r="W18" s="8">
        <v>0</v>
      </c>
      <c r="X18" s="10">
        <v>0</v>
      </c>
      <c r="Y18" s="8">
        <v>0</v>
      </c>
      <c r="Z18" s="8">
        <v>0</v>
      </c>
      <c r="AA18" s="8">
        <v>0</v>
      </c>
      <c r="AB18" s="8">
        <v>0</v>
      </c>
      <c r="AC18" s="8">
        <v>0</v>
      </c>
      <c r="AD18" s="8">
        <v>0</v>
      </c>
      <c r="AE18" s="8">
        <v>164.0625</v>
      </c>
      <c r="AF18" s="8">
        <v>164.0625</v>
      </c>
      <c r="AG18" s="8">
        <v>164.0625</v>
      </c>
      <c r="AH18" s="8">
        <v>164.0625</v>
      </c>
      <c r="AI18" s="8">
        <v>164.0625</v>
      </c>
      <c r="AJ18" s="8">
        <v>164.0625</v>
      </c>
      <c r="AK18" s="8">
        <v>164.0625</v>
      </c>
      <c r="AL18" s="8">
        <v>164.0625</v>
      </c>
      <c r="AQ18" s="8">
        <v>164.0625</v>
      </c>
      <c r="AR18" s="8">
        <v>164.0625</v>
      </c>
      <c r="AS18" s="8">
        <v>164.0625</v>
      </c>
      <c r="AT18" s="8">
        <v>164.0625</v>
      </c>
      <c r="AU18" s="8">
        <v>164.0625</v>
      </c>
      <c r="AV18" s="8">
        <v>164.0625</v>
      </c>
      <c r="AW18" s="8">
        <v>164.0625</v>
      </c>
      <c r="AX18" s="8">
        <v>164.0625</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c r="BY18" s="8" t="str">
        <f>+_xlfn.XLOOKUP(Table1[[#This Row],[L4 Code]],KIRMATAŞ!B:B,KIRMATAŞ!B:B,"")</f>
        <v/>
      </c>
      <c r="BZ18" s="8" t="str">
        <f>+_xlfn.XLOOKUP(Table1[[#This Row],[L4 Code]],'SU TEMİNİ'!C:C,'SU TEMİNİ'!C:C,"")</f>
        <v/>
      </c>
      <c r="CA18" s="8" t="str">
        <f>+_xlfn.XLOOKUP(Table1[[#This Row],[L4 Code]],TAŞ!C:C,TAŞ!C:C,"")</f>
        <v/>
      </c>
      <c r="CB18" s="8" t="s">
        <v>5312</v>
      </c>
    </row>
    <row r="19" spans="1:80">
      <c r="A19" s="3" t="s">
        <v>5444</v>
      </c>
      <c r="B19" s="96" t="s">
        <v>2618</v>
      </c>
      <c r="C19" t="str">
        <f>+_xlfn.XLOOKUP(B19,'L4'!B:B,'L4'!C:C)</f>
        <v>DOLGU - ALTTEMEL. YAKLAŞIM</v>
      </c>
      <c r="D19" t="s">
        <v>4967</v>
      </c>
      <c r="E19" t="str">
        <f>+_xlfn.XLOOKUP(D19,'M2'!H:H,'M2'!I:I)</f>
        <v>PROJE GENELİ</v>
      </c>
      <c r="F19" s="77" t="s">
        <v>4973</v>
      </c>
      <c r="G19" t="s">
        <v>4983</v>
      </c>
      <c r="H19" s="3" t="s">
        <v>4984</v>
      </c>
      <c r="I19" s="3" t="s">
        <v>134</v>
      </c>
      <c r="J19" s="78">
        <v>2006730</v>
      </c>
      <c r="K19" s="78">
        <f t="shared" si="5"/>
        <v>2006730</v>
      </c>
      <c r="L19" s="5">
        <f t="shared" si="6"/>
        <v>0</v>
      </c>
      <c r="M19" s="78">
        <f t="shared" si="7"/>
        <v>2006730</v>
      </c>
      <c r="N19" s="8">
        <v>0</v>
      </c>
      <c r="O19" s="8">
        <v>0</v>
      </c>
      <c r="P19" s="8">
        <v>0</v>
      </c>
      <c r="Q19" s="8">
        <v>0</v>
      </c>
      <c r="R19" s="8">
        <v>0</v>
      </c>
      <c r="S19" s="8">
        <v>0</v>
      </c>
      <c r="T19" s="8">
        <v>0</v>
      </c>
      <c r="U19" s="8">
        <v>0</v>
      </c>
      <c r="V19" s="8">
        <v>0</v>
      </c>
      <c r="W19" s="8">
        <v>0</v>
      </c>
      <c r="X19" s="10">
        <v>0</v>
      </c>
      <c r="Y19" s="8">
        <v>75000</v>
      </c>
      <c r="Z19" s="8">
        <v>50000</v>
      </c>
      <c r="AA19" s="8">
        <v>50000</v>
      </c>
      <c r="AB19" s="8">
        <v>50000</v>
      </c>
      <c r="AC19" s="8">
        <v>25000</v>
      </c>
      <c r="AD19" s="8">
        <v>50000</v>
      </c>
      <c r="AE19" s="8">
        <v>50000</v>
      </c>
      <c r="AF19" s="8">
        <v>100000</v>
      </c>
      <c r="AG19" s="8">
        <v>100000</v>
      </c>
      <c r="AH19" s="8">
        <v>125000</v>
      </c>
      <c r="AI19" s="8">
        <v>125000</v>
      </c>
      <c r="AJ19" s="8">
        <v>125000</v>
      </c>
      <c r="AK19" s="8">
        <v>125000</v>
      </c>
      <c r="AL19" s="8">
        <v>100000</v>
      </c>
      <c r="AM19" s="8">
        <v>50000</v>
      </c>
      <c r="AN19" s="8">
        <v>20000</v>
      </c>
      <c r="AO19" s="8">
        <v>20000</v>
      </c>
      <c r="AP19" s="8">
        <v>20000</v>
      </c>
      <c r="AQ19" s="8">
        <v>40000</v>
      </c>
      <c r="AR19" s="8">
        <v>40000</v>
      </c>
      <c r="AS19" s="8">
        <v>100000</v>
      </c>
      <c r="AT19" s="8">
        <v>100000</v>
      </c>
      <c r="AU19" s="8">
        <v>100000</v>
      </c>
      <c r="AV19" s="8">
        <v>100000</v>
      </c>
      <c r="AW19" s="8">
        <v>100000</v>
      </c>
      <c r="AX19" s="8">
        <v>100000</v>
      </c>
      <c r="AY19" s="8">
        <v>66730</v>
      </c>
      <c r="BL19" s="8">
        <v>0</v>
      </c>
      <c r="BM19" s="8">
        <v>0</v>
      </c>
      <c r="BN19" s="8">
        <v>0</v>
      </c>
      <c r="BO19" s="8">
        <v>0</v>
      </c>
      <c r="BP19" s="8">
        <v>0</v>
      </c>
      <c r="BQ19" s="8">
        <v>0</v>
      </c>
      <c r="BR19" s="8">
        <v>0</v>
      </c>
      <c r="BS19" s="8">
        <v>0</v>
      </c>
      <c r="BT19" s="8">
        <v>0</v>
      </c>
      <c r="BU19" s="8">
        <v>0</v>
      </c>
      <c r="BV19" s="8">
        <v>0</v>
      </c>
      <c r="BW19" s="8">
        <v>0</v>
      </c>
      <c r="BX19" s="8">
        <v>0</v>
      </c>
      <c r="BY19" s="8" t="str">
        <f>+_xlfn.XLOOKUP(Table1[[#This Row],[L4 Code]],KIRMATAŞ!B:B,KIRMATAŞ!B:B,"")</f>
        <v>D-01.ALT-01.TPR-005</v>
      </c>
      <c r="BZ19" s="8" t="str">
        <f>+_xlfn.XLOOKUP(Table1[[#This Row],[L4 Code]],'SU TEMİNİ'!C:C,'SU TEMİNİ'!C:C,"")</f>
        <v/>
      </c>
      <c r="CA19" s="8" t="str">
        <f>+_xlfn.XLOOKUP(Table1[[#This Row],[L4 Code]],TAŞ!C:C,TAŞ!C:C,"")</f>
        <v/>
      </c>
      <c r="CB19" s="8" t="s">
        <v>5313</v>
      </c>
    </row>
    <row r="20" spans="1:80">
      <c r="A20" s="3" t="s">
        <v>5444</v>
      </c>
      <c r="B20" s="96" t="s">
        <v>2619</v>
      </c>
      <c r="C20" t="str">
        <f>+_xlfn.XLOOKUP(B20,'L4'!B:B,'L4'!C:C)</f>
        <v>DOLGU - ÇIMENTOLU. YAKLAŞIM</v>
      </c>
      <c r="D20" t="s">
        <v>4967</v>
      </c>
      <c r="E20" t="str">
        <f>+_xlfn.XLOOKUP(D20,'M2'!H:H,'M2'!I:I)</f>
        <v>PROJE GENELİ</v>
      </c>
      <c r="F20" s="77" t="s">
        <v>4973</v>
      </c>
      <c r="G20" t="s">
        <v>4983</v>
      </c>
      <c r="H20" s="3" t="s">
        <v>4984</v>
      </c>
      <c r="I20" s="3" t="s">
        <v>139</v>
      </c>
      <c r="J20" s="78">
        <v>108520</v>
      </c>
      <c r="K20" s="78">
        <f t="shared" si="5"/>
        <v>108520</v>
      </c>
      <c r="L20" s="5">
        <f t="shared" si="6"/>
        <v>0</v>
      </c>
      <c r="M20" s="78">
        <f t="shared" si="7"/>
        <v>108520</v>
      </c>
      <c r="N20" s="8">
        <v>0</v>
      </c>
      <c r="O20" s="8">
        <v>0</v>
      </c>
      <c r="P20" s="8">
        <v>0</v>
      </c>
      <c r="Q20" s="8">
        <v>0</v>
      </c>
      <c r="R20" s="8">
        <v>0</v>
      </c>
      <c r="S20" s="8">
        <v>0</v>
      </c>
      <c r="T20" s="8">
        <v>0</v>
      </c>
      <c r="U20" s="8">
        <v>0</v>
      </c>
      <c r="V20" s="8">
        <v>0</v>
      </c>
      <c r="W20" s="8">
        <v>0</v>
      </c>
      <c r="X20" s="10">
        <v>0</v>
      </c>
      <c r="Y20" s="8">
        <v>0</v>
      </c>
      <c r="Z20" s="8">
        <v>0</v>
      </c>
      <c r="AA20" s="8">
        <v>0</v>
      </c>
      <c r="AB20" s="8">
        <v>0</v>
      </c>
      <c r="AC20" s="8">
        <v>0</v>
      </c>
      <c r="AD20" s="8">
        <v>0</v>
      </c>
      <c r="AE20" s="8">
        <v>10000</v>
      </c>
      <c r="AF20" s="8">
        <v>10000</v>
      </c>
      <c r="AG20" s="8">
        <v>10000</v>
      </c>
      <c r="AH20" s="8">
        <v>10000</v>
      </c>
      <c r="AI20" s="8">
        <v>10000</v>
      </c>
      <c r="AJ20" s="8">
        <v>10000</v>
      </c>
      <c r="AK20" s="8">
        <v>10000</v>
      </c>
      <c r="AT20" s="8">
        <v>10000</v>
      </c>
      <c r="AU20" s="8">
        <v>10000</v>
      </c>
      <c r="AV20" s="8">
        <v>10000</v>
      </c>
      <c r="AW20" s="8">
        <v>8520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t="str">
        <f>+_xlfn.XLOOKUP(Table1[[#This Row],[L4 Code]],KIRMATAŞ!B:B,KIRMATAŞ!B:B,"")</f>
        <v>D-01.ALT-01.TPR-006</v>
      </c>
      <c r="BZ20" s="8" t="str">
        <f>+_xlfn.XLOOKUP(Table1[[#This Row],[L4 Code]],'SU TEMİNİ'!C:C,'SU TEMİNİ'!C:C,"")</f>
        <v/>
      </c>
      <c r="CA20" s="8" t="str">
        <f>+_xlfn.XLOOKUP(Table1[[#This Row],[L4 Code]],TAŞ!C:C,TAŞ!C:C,"")</f>
        <v/>
      </c>
      <c r="CB20" s="8" t="s">
        <v>5314</v>
      </c>
    </row>
    <row r="21" spans="1:80">
      <c r="A21" s="3" t="s">
        <v>5444</v>
      </c>
      <c r="B21" s="96" t="s">
        <v>2627</v>
      </c>
      <c r="C21" t="str">
        <f>+_xlfn.XLOOKUP(B21,'L4'!B:B,'L4'!C:C)</f>
        <v>KIRMATAŞ KOLON - Ø 70 CM.</v>
      </c>
      <c r="D21" t="s">
        <v>4967</v>
      </c>
      <c r="E21" t="str">
        <f>+_xlfn.XLOOKUP(D21,'M2'!H:H,'M2'!I:I)</f>
        <v>PROJE GENELİ</v>
      </c>
      <c r="F21" s="77" t="s">
        <v>4973</v>
      </c>
      <c r="G21" t="s">
        <v>4983</v>
      </c>
      <c r="H21" s="3" t="s">
        <v>4984</v>
      </c>
      <c r="I21" s="3" t="s">
        <v>209</v>
      </c>
      <c r="J21" s="78">
        <v>1134160</v>
      </c>
      <c r="K21" s="78">
        <f t="shared" si="5"/>
        <v>1134160</v>
      </c>
      <c r="L21" s="5">
        <f t="shared" si="6"/>
        <v>0</v>
      </c>
      <c r="M21" s="78">
        <f t="shared" si="7"/>
        <v>1134160</v>
      </c>
      <c r="N21" s="8">
        <v>0</v>
      </c>
      <c r="O21" s="8">
        <v>0</v>
      </c>
      <c r="P21" s="8">
        <v>0</v>
      </c>
      <c r="Q21" s="8">
        <v>0</v>
      </c>
      <c r="R21" s="8">
        <v>0</v>
      </c>
      <c r="S21" s="8">
        <v>0</v>
      </c>
      <c r="T21" s="8">
        <v>0</v>
      </c>
      <c r="U21" s="8">
        <v>0</v>
      </c>
      <c r="V21" s="8">
        <v>0</v>
      </c>
      <c r="W21" s="8">
        <v>0</v>
      </c>
      <c r="X21" s="10">
        <v>0</v>
      </c>
      <c r="Y21" s="8">
        <v>0</v>
      </c>
      <c r="Z21" s="8">
        <v>0</v>
      </c>
      <c r="AA21" s="8">
        <v>0</v>
      </c>
      <c r="AB21" s="8">
        <v>0</v>
      </c>
      <c r="AC21" s="8">
        <v>0</v>
      </c>
      <c r="AD21" s="8">
        <v>0</v>
      </c>
      <c r="AE21" s="8">
        <v>70885</v>
      </c>
      <c r="AF21" s="8">
        <v>70885</v>
      </c>
      <c r="AG21" s="8">
        <v>70885</v>
      </c>
      <c r="AH21" s="8">
        <v>70885</v>
      </c>
      <c r="AI21" s="8">
        <v>70885</v>
      </c>
      <c r="AJ21" s="8">
        <v>70885</v>
      </c>
      <c r="AK21" s="8">
        <v>70885</v>
      </c>
      <c r="AL21" s="8">
        <v>70885</v>
      </c>
      <c r="AM21" s="8">
        <v>0</v>
      </c>
      <c r="AN21" s="8">
        <v>0</v>
      </c>
      <c r="AO21" s="8">
        <v>0</v>
      </c>
      <c r="AP21" s="8">
        <v>0</v>
      </c>
      <c r="AQ21" s="8">
        <v>70885</v>
      </c>
      <c r="AR21" s="8">
        <v>70885</v>
      </c>
      <c r="AS21" s="8">
        <v>70885</v>
      </c>
      <c r="AT21" s="8">
        <v>70885</v>
      </c>
      <c r="AU21" s="8">
        <v>70885</v>
      </c>
      <c r="AV21" s="8">
        <v>70885</v>
      </c>
      <c r="AW21" s="8">
        <v>70885</v>
      </c>
      <c r="AX21" s="8">
        <v>70885</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t="str">
        <f>+_xlfn.XLOOKUP(Table1[[#This Row],[L4 Code]],KIRMATAŞ!B:B,KIRMATAŞ!B:B,"")</f>
        <v>D-01.ALT-02.SNT-023</v>
      </c>
      <c r="BZ21" s="8" t="str">
        <f>+_xlfn.XLOOKUP(Table1[[#This Row],[L4 Code]],'SU TEMİNİ'!C:C,'SU TEMİNİ'!C:C,"")</f>
        <v/>
      </c>
      <c r="CA21" s="8" t="str">
        <f>+_xlfn.XLOOKUP(Table1[[#This Row],[L4 Code]],TAŞ!C:C,TAŞ!C:C,"")</f>
        <v/>
      </c>
      <c r="CB21" s="8" t="s">
        <v>5315</v>
      </c>
    </row>
    <row r="22" spans="1:80">
      <c r="A22" s="3" t="s">
        <v>5444</v>
      </c>
      <c r="B22" s="96" t="s">
        <v>13</v>
      </c>
      <c r="C22" t="str">
        <f>+_xlfn.XLOOKUP(B22,'L4'!B:B,'L4'!C:C)</f>
        <v>HASIR ÇELIK TEMINI VE İŞÇILIĞI</v>
      </c>
      <c r="D22" t="s">
        <v>4967</v>
      </c>
      <c r="E22" t="str">
        <f>+_xlfn.XLOOKUP(D22,'M2'!H:H,'M2'!I:I)</f>
        <v>PROJE GENELİ</v>
      </c>
      <c r="F22" s="77" t="s">
        <v>4973</v>
      </c>
      <c r="G22" t="s">
        <v>4983</v>
      </c>
      <c r="H22" s="3" t="s">
        <v>4984</v>
      </c>
      <c r="I22" s="3" t="s">
        <v>214</v>
      </c>
      <c r="J22" s="78">
        <v>1546.8728132011991</v>
      </c>
      <c r="K22" s="78">
        <f t="shared" si="5"/>
        <v>1246.9234310993297</v>
      </c>
      <c r="L22" s="5">
        <f t="shared" si="6"/>
        <v>0</v>
      </c>
      <c r="M22" s="78">
        <f t="shared" si="7"/>
        <v>1507.9414310993297</v>
      </c>
      <c r="N22" s="8">
        <v>0</v>
      </c>
      <c r="O22" s="8">
        <v>0</v>
      </c>
      <c r="P22" s="8">
        <v>47.700122891409578</v>
      </c>
      <c r="Q22" s="8">
        <v>213.31787710859044</v>
      </c>
      <c r="X22" s="10"/>
      <c r="Y22" s="8">
        <v>112.89970860068411</v>
      </c>
      <c r="Z22" s="8">
        <v>235.19677282183699</v>
      </c>
      <c r="AA22" s="8">
        <v>107.35386349302657</v>
      </c>
      <c r="AB22" s="8">
        <v>119.45017070512658</v>
      </c>
      <c r="AC22" s="8">
        <v>15.175402372781988</v>
      </c>
      <c r="AD22" s="8">
        <v>57.043075142417536</v>
      </c>
      <c r="AE22" s="8">
        <v>222.49068963462344</v>
      </c>
      <c r="AF22" s="8">
        <v>119.3446095190962</v>
      </c>
      <c r="AG22" s="8">
        <v>118.67920134993599</v>
      </c>
      <c r="AH22" s="8">
        <v>111.22878601478686</v>
      </c>
      <c r="AN22" s="8">
        <v>15.001002371267212</v>
      </c>
      <c r="AO22" s="8">
        <v>12.626038637067801</v>
      </c>
      <c r="AW22" s="8">
        <v>0.43411043667880733</v>
      </c>
      <c r="BY22" s="8" t="str">
        <f>+_xlfn.XLOOKUP(Table1[[#This Row],[L4 Code]],KIRMATAŞ!B:B,KIRMATAŞ!B:B,"")</f>
        <v/>
      </c>
      <c r="BZ22" s="8" t="str">
        <f>+_xlfn.XLOOKUP(Table1[[#This Row],[L4 Code]],'SU TEMİNİ'!C:C,'SU TEMİNİ'!C:C,"")</f>
        <v/>
      </c>
      <c r="CA22" s="8" t="str">
        <f>+_xlfn.XLOOKUP(Table1[[#This Row],[L4 Code]],TAŞ!C:C,TAŞ!C:C,"")</f>
        <v/>
      </c>
      <c r="CB22" s="8" t="s">
        <v>5316</v>
      </c>
    </row>
    <row r="23" spans="1:80">
      <c r="A23" s="3" t="s">
        <v>5444</v>
      </c>
      <c r="B23" s="96" t="s">
        <v>6</v>
      </c>
      <c r="C23" t="str">
        <f>+_xlfn.XLOOKUP(B23,'L4'!B:B,'L4'!C:C)</f>
        <v>BETON - DEMIRSIZ - TEMEL - KÖPRÜ HARICI</v>
      </c>
      <c r="D23" t="s">
        <v>4967</v>
      </c>
      <c r="E23" t="str">
        <f>+_xlfn.XLOOKUP(D23,'M2'!H:H,'M2'!I:I)</f>
        <v>PROJE GENELİ</v>
      </c>
      <c r="F23" s="77" t="s">
        <v>4973</v>
      </c>
      <c r="G23" t="s">
        <v>4983</v>
      </c>
      <c r="H23" s="3" t="s">
        <v>4984</v>
      </c>
      <c r="I23" s="3" t="s">
        <v>151</v>
      </c>
      <c r="J23" s="78">
        <v>12110.234027685949</v>
      </c>
      <c r="K23" s="78">
        <f t="shared" si="5"/>
        <v>13364.415885732315</v>
      </c>
      <c r="L23" s="5">
        <f t="shared" si="6"/>
        <v>0</v>
      </c>
      <c r="M23" s="78">
        <f t="shared" si="7"/>
        <v>13719.19402768595</v>
      </c>
      <c r="N23" s="8">
        <v>0</v>
      </c>
      <c r="O23" s="8">
        <v>0</v>
      </c>
      <c r="P23" s="8">
        <v>0</v>
      </c>
      <c r="Q23" s="8">
        <v>0</v>
      </c>
      <c r="R23" s="8">
        <v>80.261431251402939</v>
      </c>
      <c r="S23" s="8">
        <v>94.483580473484935</v>
      </c>
      <c r="T23" s="8">
        <v>107.49298827511211</v>
      </c>
      <c r="U23" s="8">
        <v>0.8800000000000523</v>
      </c>
      <c r="V23" s="8">
        <v>68.738999999999976</v>
      </c>
      <c r="W23" s="8">
        <v>2.9211419536357495</v>
      </c>
      <c r="X23" s="10">
        <v>8.3738580463642105</v>
      </c>
      <c r="Y23" s="8">
        <v>225.26743350213189</v>
      </c>
      <c r="Z23" s="8">
        <v>385.45763522702151</v>
      </c>
      <c r="AA23" s="8">
        <v>429.21354583098196</v>
      </c>
      <c r="AB23" s="8">
        <v>405.24869638740756</v>
      </c>
      <c r="AC23" s="8">
        <v>544.34324405305142</v>
      </c>
      <c r="AD23" s="8">
        <v>765.53992679489147</v>
      </c>
      <c r="AE23" s="8">
        <v>506.77006985415778</v>
      </c>
      <c r="AF23" s="8">
        <v>493.88623381418734</v>
      </c>
      <c r="AG23" s="8">
        <v>662.9292235283699</v>
      </c>
      <c r="AH23" s="8">
        <v>845.05313011155067</v>
      </c>
      <c r="AI23" s="8">
        <v>839.41562964727382</v>
      </c>
      <c r="AJ23" s="8">
        <v>839.41562964727382</v>
      </c>
      <c r="AK23" s="8">
        <v>734.07204304544655</v>
      </c>
      <c r="AL23" s="8">
        <v>566.72666033682685</v>
      </c>
      <c r="AM23" s="8">
        <v>435.99269074634611</v>
      </c>
      <c r="AN23" s="8">
        <v>396.59361193131554</v>
      </c>
      <c r="AO23" s="8">
        <v>409.38728259210939</v>
      </c>
      <c r="AP23" s="8">
        <v>462.95448194353503</v>
      </c>
      <c r="AQ23" s="8">
        <v>468.59198240781177</v>
      </c>
      <c r="AR23" s="8">
        <v>468.59198240781177</v>
      </c>
      <c r="AS23" s="8">
        <v>468.59198240781177</v>
      </c>
      <c r="AT23" s="8">
        <v>437.01335912753029</v>
      </c>
      <c r="AU23" s="8">
        <v>457.31698147925852</v>
      </c>
      <c r="AV23" s="8">
        <v>457.31698147925852</v>
      </c>
      <c r="AW23" s="8">
        <v>159.22874057825726</v>
      </c>
      <c r="AX23" s="8">
        <v>165.94705411303727</v>
      </c>
      <c r="AY23" s="8">
        <v>165.94705411303727</v>
      </c>
      <c r="AZ23" s="8">
        <v>159.22874057825726</v>
      </c>
      <c r="BY23" s="8" t="str">
        <f>+_xlfn.XLOOKUP(Table1[[#This Row],[L4 Code]],KIRMATAŞ!B:B,KIRMATAŞ!B:B,"")</f>
        <v>D-01.ALT-02.SNT-002</v>
      </c>
      <c r="BZ23" s="8" t="str">
        <f>+_xlfn.XLOOKUP(Table1[[#This Row],[L4 Code]],'SU TEMİNİ'!C:C,'SU TEMİNİ'!C:C,"")</f>
        <v/>
      </c>
      <c r="CA23" s="8" t="str">
        <f>+_xlfn.XLOOKUP(Table1[[#This Row],[L4 Code]],TAŞ!C:C,TAŞ!C:C,"")</f>
        <v/>
      </c>
      <c r="CB23" s="8" t="s">
        <v>5317</v>
      </c>
    </row>
    <row r="24" spans="1:80">
      <c r="A24" s="3" t="s">
        <v>5444</v>
      </c>
      <c r="B24" s="96" t="s">
        <v>2623</v>
      </c>
      <c r="C24" t="str">
        <f>+_xlfn.XLOOKUP(B24,'L4'!B:B,'L4'!C:C)</f>
        <v>MOLOZ TAŞ İNŞAAT - HAZIR BETON HARCIYLA</v>
      </c>
      <c r="D24" t="s">
        <v>4967</v>
      </c>
      <c r="E24" t="str">
        <f>+_xlfn.XLOOKUP(D24,'M2'!H:H,'M2'!I:I)</f>
        <v>PROJE GENELİ</v>
      </c>
      <c r="F24" s="77" t="s">
        <v>4973</v>
      </c>
      <c r="G24" t="s">
        <v>4983</v>
      </c>
      <c r="H24" s="3" t="s">
        <v>4984</v>
      </c>
      <c r="I24" s="3" t="s">
        <v>168</v>
      </c>
      <c r="J24" s="78">
        <v>8100</v>
      </c>
      <c r="K24" s="78">
        <f t="shared" si="5"/>
        <v>8100</v>
      </c>
      <c r="L24" s="5">
        <f t="shared" si="6"/>
        <v>0</v>
      </c>
      <c r="M24" s="78">
        <f t="shared" si="7"/>
        <v>8100</v>
      </c>
      <c r="N24" s="8">
        <v>0</v>
      </c>
      <c r="O24" s="8">
        <v>0</v>
      </c>
      <c r="P24" s="8">
        <v>0</v>
      </c>
      <c r="Q24" s="8">
        <v>0</v>
      </c>
      <c r="R24" s="8">
        <v>0</v>
      </c>
      <c r="S24" s="8">
        <v>0</v>
      </c>
      <c r="T24" s="8">
        <v>0</v>
      </c>
      <c r="U24" s="8">
        <v>0</v>
      </c>
      <c r="V24" s="8">
        <v>0</v>
      </c>
      <c r="W24" s="8">
        <v>0</v>
      </c>
      <c r="X24" s="10">
        <v>0</v>
      </c>
      <c r="Y24" s="8">
        <v>0</v>
      </c>
      <c r="Z24" s="8">
        <v>0</v>
      </c>
      <c r="AA24" s="8">
        <v>0</v>
      </c>
      <c r="AB24" s="8">
        <v>0</v>
      </c>
      <c r="AC24" s="8">
        <v>0</v>
      </c>
      <c r="AD24" s="8">
        <v>0</v>
      </c>
      <c r="AE24" s="8">
        <v>1012.5</v>
      </c>
      <c r="AF24" s="8">
        <v>1012.5</v>
      </c>
      <c r="AG24" s="8">
        <v>1012.5</v>
      </c>
      <c r="AH24" s="8">
        <v>1012.5</v>
      </c>
      <c r="AI24" s="8">
        <v>1012.5</v>
      </c>
      <c r="AJ24" s="8">
        <v>1012.5</v>
      </c>
      <c r="AK24" s="8">
        <v>1012.5</v>
      </c>
      <c r="AL24" s="8">
        <v>1012.5</v>
      </c>
      <c r="AM24" s="8">
        <v>0</v>
      </c>
      <c r="AN24" s="8">
        <v>0</v>
      </c>
      <c r="AO24" s="8">
        <v>0</v>
      </c>
      <c r="AP24" s="8">
        <v>0</v>
      </c>
      <c r="AQ24" s="8">
        <v>0</v>
      </c>
      <c r="AR24" s="8">
        <v>0</v>
      </c>
      <c r="AS24" s="8">
        <v>0</v>
      </c>
      <c r="AT24" s="8">
        <v>0</v>
      </c>
      <c r="AU24" s="8">
        <v>0</v>
      </c>
      <c r="AV24" s="8">
        <v>0</v>
      </c>
      <c r="AW24" s="8">
        <v>0</v>
      </c>
      <c r="AX24" s="8">
        <v>0</v>
      </c>
      <c r="AY24" s="8">
        <v>0</v>
      </c>
      <c r="AZ24" s="8">
        <v>0</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t="str">
        <f>+_xlfn.XLOOKUP(Table1[[#This Row],[L4 Code]],KIRMATAŞ!B:B,KIRMATAŞ!B:B,"")</f>
        <v>D-01.ALT-02.SNT-006</v>
      </c>
      <c r="BZ24" s="8" t="str">
        <f>+_xlfn.XLOOKUP(Table1[[#This Row],[L4 Code]],'SU TEMİNİ'!C:C,'SU TEMİNİ'!C:C,"")</f>
        <v/>
      </c>
      <c r="CA24" s="8" t="str">
        <f>+_xlfn.XLOOKUP(Table1[[#This Row],[L4 Code]],TAŞ!C:C,TAŞ!C:C,"")</f>
        <v>D-01.ALT-02.SNT-006</v>
      </c>
      <c r="CB24" s="8" t="s">
        <v>5318</v>
      </c>
    </row>
    <row r="25" spans="1:80">
      <c r="A25" s="3" t="s">
        <v>5444</v>
      </c>
      <c r="B25" s="96" t="s">
        <v>2630</v>
      </c>
      <c r="C25" t="str">
        <f>+_xlfn.XLOOKUP(B25,'L4'!B:B,'L4'!C:C)</f>
        <v>SU TUTUCU TEMINI VE YERINE KONULMASI</v>
      </c>
      <c r="D25" t="s">
        <v>4967</v>
      </c>
      <c r="E25" t="str">
        <f>+_xlfn.XLOOKUP(D25,'M2'!H:H,'M2'!I:I)</f>
        <v>PROJE GENELİ</v>
      </c>
      <c r="F25" s="77" t="s">
        <v>4973</v>
      </c>
      <c r="G25" t="s">
        <v>4983</v>
      </c>
      <c r="H25" s="3" t="s">
        <v>4984</v>
      </c>
      <c r="I25" s="3" t="s">
        <v>229</v>
      </c>
      <c r="J25" s="78">
        <v>27968.994399644635</v>
      </c>
      <c r="K25" s="78">
        <f t="shared" si="5"/>
        <v>27894.946456366259</v>
      </c>
      <c r="L25" s="5">
        <f t="shared" si="6"/>
        <v>0</v>
      </c>
      <c r="M25" s="78">
        <f t="shared" si="7"/>
        <v>27968.994399644624</v>
      </c>
      <c r="N25" s="8">
        <v>0</v>
      </c>
      <c r="O25" s="8">
        <v>0</v>
      </c>
      <c r="P25" s="8">
        <v>0</v>
      </c>
      <c r="Q25" s="8">
        <v>0</v>
      </c>
      <c r="R25" s="8">
        <v>0</v>
      </c>
      <c r="S25" s="8">
        <v>0</v>
      </c>
      <c r="T25" s="8">
        <v>0</v>
      </c>
      <c r="U25" s="8">
        <v>0</v>
      </c>
      <c r="V25" s="8">
        <v>0</v>
      </c>
      <c r="W25" s="8">
        <v>74.047943278364855</v>
      </c>
      <c r="X25" s="10">
        <v>156.04205672163516</v>
      </c>
      <c r="Y25" s="8">
        <v>378.73116461614939</v>
      </c>
      <c r="Z25" s="8">
        <v>587.51404680877351</v>
      </c>
      <c r="AA25" s="8">
        <v>723.28900904337991</v>
      </c>
      <c r="AB25" s="8">
        <v>587.51404680877351</v>
      </c>
      <c r="AC25" s="8">
        <v>702.66838673560062</v>
      </c>
      <c r="AD25" s="8">
        <v>1490.3490772539535</v>
      </c>
      <c r="AE25" s="8">
        <v>997.79033425007617</v>
      </c>
      <c r="AF25" s="8">
        <v>925.59594195834029</v>
      </c>
      <c r="AG25" s="8">
        <v>1326.9967631003924</v>
      </c>
      <c r="AH25" s="8">
        <v>1667.7542947173861</v>
      </c>
      <c r="AI25" s="8">
        <v>1595.5599024256501</v>
      </c>
      <c r="AJ25" s="8">
        <v>1595.5599024256501</v>
      </c>
      <c r="AK25" s="8">
        <v>1443.1520521488499</v>
      </c>
      <c r="AL25" s="8">
        <v>1111.779791529782</v>
      </c>
      <c r="AM25" s="8">
        <v>912.52326880459066</v>
      </c>
      <c r="AN25" s="8">
        <v>747.87054965328991</v>
      </c>
      <c r="AO25" s="8">
        <v>766.38261716046452</v>
      </c>
      <c r="AP25" s="8">
        <v>1110.1269339214134</v>
      </c>
      <c r="AQ25" s="8">
        <v>1182.3213262131494</v>
      </c>
      <c r="AR25" s="8">
        <v>1182.3213262131494</v>
      </c>
      <c r="AS25" s="8">
        <v>1182.3213262131494</v>
      </c>
      <c r="AT25" s="8">
        <v>1110.1269339214134</v>
      </c>
      <c r="AU25" s="8">
        <v>1037.9325416296776</v>
      </c>
      <c r="AV25" s="8">
        <v>1037.9325416296776</v>
      </c>
      <c r="AW25" s="8">
        <v>542.64991135531591</v>
      </c>
      <c r="AX25" s="8">
        <v>624.74524887563268</v>
      </c>
      <c r="AY25" s="8">
        <v>624.74524887563268</v>
      </c>
      <c r="AZ25" s="8">
        <v>542.64991135531591</v>
      </c>
      <c r="BK25" s="8">
        <v>0</v>
      </c>
      <c r="BL25" s="8">
        <v>0</v>
      </c>
      <c r="BM25" s="8">
        <v>0</v>
      </c>
      <c r="BN25" s="8">
        <v>0</v>
      </c>
      <c r="BO25" s="8">
        <v>0</v>
      </c>
      <c r="BP25" s="8">
        <v>0</v>
      </c>
      <c r="BQ25" s="8">
        <v>0</v>
      </c>
      <c r="BR25" s="8">
        <v>0</v>
      </c>
      <c r="BS25" s="8">
        <v>0</v>
      </c>
      <c r="BT25" s="8">
        <v>0</v>
      </c>
      <c r="BU25" s="8">
        <v>0</v>
      </c>
      <c r="BV25" s="8">
        <v>0</v>
      </c>
      <c r="BW25" s="8">
        <v>0</v>
      </c>
      <c r="BX25" s="8">
        <v>0</v>
      </c>
      <c r="BY25" s="8" t="str">
        <f>+_xlfn.XLOOKUP(Table1[[#This Row],[L4 Code]],KIRMATAŞ!B:B,KIRMATAŞ!B:B,"")</f>
        <v/>
      </c>
      <c r="BZ25" s="8" t="str">
        <f>+_xlfn.XLOOKUP(Table1[[#This Row],[L4 Code]],'SU TEMİNİ'!C:C,'SU TEMİNİ'!C:C,"")</f>
        <v/>
      </c>
      <c r="CA25" s="8" t="str">
        <f>+_xlfn.XLOOKUP(Table1[[#This Row],[L4 Code]],TAŞ!C:C,TAŞ!C:C,"")</f>
        <v/>
      </c>
      <c r="CB25" s="8" t="s">
        <v>5319</v>
      </c>
    </row>
    <row r="26" spans="1:80">
      <c r="A26" s="3" t="s">
        <v>5444</v>
      </c>
      <c r="B26" s="96" t="s">
        <v>14</v>
      </c>
      <c r="C26" t="str">
        <f>+_xlfn.XLOOKUP(B26,'L4'!B:B,'L4'!C:C)</f>
        <v>ZEMIN ÇIVISI VE YERINE YERLEŞTIRILMESI</v>
      </c>
      <c r="D26" t="s">
        <v>4967</v>
      </c>
      <c r="E26" t="str">
        <f>+_xlfn.XLOOKUP(D26,'M2'!H:H,'M2'!I:I)</f>
        <v>PROJE GENELİ</v>
      </c>
      <c r="F26" s="77" t="s">
        <v>4973</v>
      </c>
      <c r="G26" t="s">
        <v>4983</v>
      </c>
      <c r="H26" s="3" t="s">
        <v>4984</v>
      </c>
      <c r="I26" s="3" t="s">
        <v>234</v>
      </c>
      <c r="J26" s="78">
        <v>234208.84130219783</v>
      </c>
      <c r="K26" s="78">
        <f t="shared" si="5"/>
        <v>231405.4159448905</v>
      </c>
      <c r="L26" s="5">
        <f t="shared" si="6"/>
        <v>0</v>
      </c>
      <c r="M26" s="78">
        <f t="shared" si="7"/>
        <v>231405.4159448905</v>
      </c>
      <c r="N26" s="8">
        <v>0</v>
      </c>
      <c r="O26" s="8">
        <v>0</v>
      </c>
      <c r="P26" s="8">
        <v>0</v>
      </c>
      <c r="Q26" s="8">
        <v>0</v>
      </c>
      <c r="R26" s="8">
        <v>0</v>
      </c>
      <c r="S26" s="8">
        <v>0</v>
      </c>
      <c r="T26" s="8">
        <v>0</v>
      </c>
      <c r="X26" s="10"/>
      <c r="Y26" s="8">
        <v>11048.306071672296</v>
      </c>
      <c r="Z26" s="8">
        <v>25358.680859608325</v>
      </c>
      <c r="AA26" s="8">
        <v>16473.205107996724</v>
      </c>
      <c r="AB26" s="8">
        <v>16184.720388516525</v>
      </c>
      <c r="AC26" s="8">
        <v>7338.3879758806033</v>
      </c>
      <c r="AD26" s="8">
        <v>17193.963765668686</v>
      </c>
      <c r="AE26" s="8">
        <v>41706.788012761892</v>
      </c>
      <c r="AF26" s="8">
        <v>31308.098483453628</v>
      </c>
      <c r="AG26" s="8">
        <v>25317.023042838809</v>
      </c>
      <c r="AH26" s="8">
        <v>25317.023042838809</v>
      </c>
      <c r="AI26" s="8">
        <v>1374.8216192828861</v>
      </c>
      <c r="AJ26" s="8">
        <v>1374.8216192828861</v>
      </c>
      <c r="AK26" s="8">
        <v>1140.9332511790512</v>
      </c>
      <c r="AL26" s="8">
        <v>1471.491147258896</v>
      </c>
      <c r="AM26" s="8">
        <v>1560.9630748117779</v>
      </c>
      <c r="AN26" s="8">
        <v>1925.2872151604552</v>
      </c>
      <c r="AO26" s="8">
        <v>1877.7257417835056</v>
      </c>
      <c r="AP26" s="8">
        <v>853.88945824501934</v>
      </c>
      <c r="AQ26" s="8">
        <v>558.70145540387739</v>
      </c>
      <c r="AR26" s="8">
        <v>558.70145540387739</v>
      </c>
      <c r="AS26" s="8">
        <v>558.70145540387739</v>
      </c>
      <c r="AT26" s="8">
        <v>726.91038240581838</v>
      </c>
      <c r="AW26" s="8">
        <v>176.27131803225666</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t="str">
        <f>+_xlfn.XLOOKUP(Table1[[#This Row],[L4 Code]],KIRMATAŞ!B:B,KIRMATAŞ!B:B,"")</f>
        <v/>
      </c>
      <c r="BZ26" s="8" t="str">
        <f>+_xlfn.XLOOKUP(Table1[[#This Row],[L4 Code]],'SU TEMİNİ'!C:C,'SU TEMİNİ'!C:C,"")</f>
        <v/>
      </c>
      <c r="CA26" s="8" t="str">
        <f>+_xlfn.XLOOKUP(Table1[[#This Row],[L4 Code]],TAŞ!C:C,TAŞ!C:C,"")</f>
        <v/>
      </c>
      <c r="CB26" s="8" t="s">
        <v>5320</v>
      </c>
    </row>
    <row r="27" spans="1:80">
      <c r="A27" s="3" t="s">
        <v>5444</v>
      </c>
      <c r="B27" s="96" t="s">
        <v>15</v>
      </c>
      <c r="C27" t="str">
        <f>+_xlfn.XLOOKUP(B27,'L4'!B:B,'L4'!C:C)</f>
        <v>BARBAKAN DELIĞI - GEOTEKSTIL SARIMLI</v>
      </c>
      <c r="D27" t="s">
        <v>4967</v>
      </c>
      <c r="E27" t="str">
        <f>+_xlfn.XLOOKUP(D27,'M2'!H:H,'M2'!I:I)</f>
        <v>PROJE GENELİ</v>
      </c>
      <c r="F27" s="77" t="s">
        <v>4973</v>
      </c>
      <c r="G27" t="s">
        <v>4983</v>
      </c>
      <c r="H27" s="3" t="s">
        <v>4984</v>
      </c>
      <c r="I27" s="3" t="s">
        <v>239</v>
      </c>
      <c r="J27" s="78">
        <v>139810.76978177991</v>
      </c>
      <c r="K27" s="78">
        <f t="shared" si="5"/>
        <v>133690.61936906015</v>
      </c>
      <c r="L27" s="5">
        <f t="shared" si="6"/>
        <v>0</v>
      </c>
      <c r="M27" s="78">
        <f t="shared" si="7"/>
        <v>140024.76236906016</v>
      </c>
      <c r="N27" s="8">
        <v>0</v>
      </c>
      <c r="O27" s="8">
        <v>0</v>
      </c>
      <c r="P27" s="8">
        <v>691.14076630002137</v>
      </c>
      <c r="Q27" s="8">
        <v>5641.0022336999782</v>
      </c>
      <c r="R27" s="8">
        <v>0</v>
      </c>
      <c r="S27" s="8">
        <v>0</v>
      </c>
      <c r="T27" s="8">
        <v>0</v>
      </c>
      <c r="U27" s="8">
        <v>2</v>
      </c>
      <c r="V27" s="8">
        <v>0</v>
      </c>
      <c r="W27" s="8">
        <v>0</v>
      </c>
      <c r="X27" s="10"/>
      <c r="Y27" s="8">
        <v>4975.687536938326</v>
      </c>
      <c r="Z27" s="8">
        <v>9001.9554029493211</v>
      </c>
      <c r="AA27" s="8">
        <v>6373.5542107607071</v>
      </c>
      <c r="AB27" s="8">
        <v>6297.6100338941187</v>
      </c>
      <c r="AC27" s="8">
        <v>5007.8107235560547</v>
      </c>
      <c r="AD27" s="8">
        <v>7552.4085897676187</v>
      </c>
      <c r="AE27" s="8">
        <v>13866.074406193675</v>
      </c>
      <c r="AF27" s="8">
        <v>11185.774616796702</v>
      </c>
      <c r="AG27" s="8">
        <v>9643.4831450981674</v>
      </c>
      <c r="AH27" s="8">
        <v>9643.4831450981674</v>
      </c>
      <c r="AI27" s="8">
        <v>3474.2723062204172</v>
      </c>
      <c r="AJ27" s="8">
        <v>3474.2723062204172</v>
      </c>
      <c r="AK27" s="8">
        <v>3410.9338232853429</v>
      </c>
      <c r="AL27" s="8">
        <v>3498.7445038216542</v>
      </c>
      <c r="AM27" s="8">
        <v>3521.3946060480876</v>
      </c>
      <c r="AN27" s="8">
        <v>3613.6244176566242</v>
      </c>
      <c r="AO27" s="8">
        <v>3601.5840798267395</v>
      </c>
      <c r="AP27" s="8">
        <v>3342.396677481217</v>
      </c>
      <c r="AQ27" s="8">
        <v>3267.6688983527656</v>
      </c>
      <c r="AR27" s="8">
        <v>3267.6688983527656</v>
      </c>
      <c r="AS27" s="8">
        <v>3267.6688983527656</v>
      </c>
      <c r="AT27" s="8">
        <v>3314.6288957722863</v>
      </c>
      <c r="AU27" s="8">
        <v>2958.5318752213834</v>
      </c>
      <c r="AV27" s="8">
        <v>2958.5318752213834</v>
      </c>
      <c r="AW27" s="8">
        <v>3170.8554961734458</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t="str">
        <f>+_xlfn.XLOOKUP(Table1[[#This Row],[L4 Code]],KIRMATAŞ!B:B,KIRMATAŞ!B:B,"")</f>
        <v/>
      </c>
      <c r="BZ27" s="8" t="str">
        <f>+_xlfn.XLOOKUP(Table1[[#This Row],[L4 Code]],'SU TEMİNİ'!C:C,'SU TEMİNİ'!C:C,"")</f>
        <v/>
      </c>
      <c r="CA27" s="8" t="str">
        <f>+_xlfn.XLOOKUP(Table1[[#This Row],[L4 Code]],TAŞ!C:C,TAŞ!C:C,"")</f>
        <v/>
      </c>
      <c r="CB27" s="8" t="s">
        <v>5321</v>
      </c>
    </row>
    <row r="28" spans="1:80">
      <c r="A28" s="3" t="s">
        <v>5444</v>
      </c>
      <c r="B28" s="96"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2325.5</v>
      </c>
      <c r="L28" s="5">
        <f>-SUM(Y28:BT28)+K28</f>
        <v>0</v>
      </c>
      <c r="M28" s="78">
        <v>2325.5</v>
      </c>
      <c r="R28" s="8">
        <v>0</v>
      </c>
      <c r="S28" s="8">
        <v>0</v>
      </c>
      <c r="T28" s="8">
        <v>0</v>
      </c>
      <c r="U28" s="8">
        <v>0</v>
      </c>
      <c r="V28" s="8">
        <v>0</v>
      </c>
      <c r="W28" s="8">
        <v>0</v>
      </c>
      <c r="X28" s="10">
        <v>0</v>
      </c>
      <c r="Y28" s="8">
        <f>((+$K28))*0.0145148407184903</f>
        <v>33.754262090849188</v>
      </c>
      <c r="Z28" s="8">
        <f>((+$K28))*0.0265218405192253</f>
        <v>61.676540127458431</v>
      </c>
      <c r="AA28" s="8">
        <f>((+$K28))*0.0306443281624845</f>
        <v>71.263385141857711</v>
      </c>
      <c r="AB28" s="8">
        <f>((+$K28))*0.0281906072942687</f>
        <v>65.557257262821864</v>
      </c>
      <c r="AC28" s="8">
        <f>((+$K28))*0.0394872038481905</f>
        <v>91.827492548967015</v>
      </c>
      <c r="AD28" s="8">
        <f>((+$K28))*0.0588418489677388</f>
        <v>136.83671977447659</v>
      </c>
      <c r="AE28" s="8">
        <f>((+$K28))*0.0380896663205734</f>
        <v>88.577519028493441</v>
      </c>
      <c r="AF28" s="8">
        <f>((+$K28))*0.0371836197087442</f>
        <v>86.470507632684644</v>
      </c>
      <c r="AG28" s="8">
        <f>((+$K28))*0.0502373378795371</f>
        <v>116.82692923886353</v>
      </c>
      <c r="AH28" s="8">
        <f>((+$K28))*0.0645385635235093</f>
        <v>150.08442947392086</v>
      </c>
      <c r="AI28" s="8">
        <f>((+$K28))*0.0636325169116801</f>
        <v>147.97741807811209</v>
      </c>
      <c r="AJ28" s="8">
        <f>((+$K28))*0.0636325169116801</f>
        <v>147.97741807811209</v>
      </c>
      <c r="AK28" s="8">
        <f>((+$K28))*0.0559752881485116</f>
        <v>130.17053258936372</v>
      </c>
      <c r="AL28" s="8">
        <f>((+$K28))*0.042067952193886</f>
        <v>97.829022826881896</v>
      </c>
      <c r="AM28" s="8">
        <f>((+$K28))*0.0316616598883103</f>
        <v>73.629190070265608</v>
      </c>
      <c r="AN28" s="8">
        <f>((+$K28))*0.0279959707451816</f>
        <v>65.104629967919806</v>
      </c>
      <c r="AO28" s="8">
        <f>((+$K28))*0.0290752482973947</f>
        <v>67.614489915591378</v>
      </c>
      <c r="AP28" s="8">
        <f>((+$K28))*0.0348887366456556</f>
        <v>81.133757069472097</v>
      </c>
      <c r="AQ28" s="8">
        <f>((+$K28))*0.0357947832574848</f>
        <v>83.240768465280908</v>
      </c>
      <c r="AR28" s="8">
        <f>((+$K28))*0.0357947832574848</f>
        <v>83.240768465280908</v>
      </c>
      <c r="AS28" s="8">
        <f>((+$K28))*0.0357947832574848</f>
        <v>83.240768465280908</v>
      </c>
      <c r="AT28" s="8">
        <f>(((+$K28))*0.0348887366456556)+25.9411228160047</f>
        <v>107.0748798854768</v>
      </c>
      <c r="AU28" s="8">
        <f>((+$K28))*0.0339826900338263</f>
        <v>79.026745673663058</v>
      </c>
      <c r="AV28" s="8">
        <f>((+$K28))*0.0339826900338263</f>
        <v>79.026745673663058</v>
      </c>
      <c r="AW28" s="8">
        <f>((+$K28))*0.0098148834728633</f>
        <v>22.824511516143605</v>
      </c>
      <c r="AX28" s="8">
        <f>((+$K28))*0.0108984733225018</f>
        <v>25.344399711477937</v>
      </c>
      <c r="AY28" s="8">
        <f>((+$K28))*0.0108984733225018</f>
        <v>25.344399711477937</v>
      </c>
      <c r="AZ28" s="8">
        <f>((+$K28))*0.0098148834728633</f>
        <v>22.824511516143605</v>
      </c>
      <c r="BY28" s="8" t="str">
        <f>+_xlfn.XLOOKUP(Table1[[#This Row],[L4 Code]],KIRMATAŞ!B:B,KIRMATAŞ!B:B,"")</f>
        <v>D-01.ALT-02.SNT-002</v>
      </c>
      <c r="BZ28" s="8" t="str">
        <f>+_xlfn.XLOOKUP(Table1[[#This Row],[L4 Code]],'SU TEMİNİ'!C:C,'SU TEMİNİ'!C:C,"")</f>
        <v/>
      </c>
      <c r="CA28" s="8" t="str">
        <f>+_xlfn.XLOOKUP(Table1[[#This Row],[L4 Code]],TAŞ!C:C,TAŞ!C:C,"")</f>
        <v/>
      </c>
      <c r="CB28" s="8" t="s">
        <v>5322</v>
      </c>
    </row>
    <row r="29" spans="1:80">
      <c r="A29" s="3" t="s">
        <v>5444</v>
      </c>
      <c r="B29" s="96"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649.6</v>
      </c>
      <c r="L29" s="5">
        <f>-SUM(Y29:BT29)+K29</f>
        <v>0</v>
      </c>
      <c r="M29" s="78">
        <f>+J29</f>
        <v>649.6</v>
      </c>
      <c r="T29" s="8">
        <v>0</v>
      </c>
      <c r="U29" s="8">
        <v>0</v>
      </c>
      <c r="V29" s="8">
        <v>0</v>
      </c>
      <c r="W29" s="8">
        <v>0</v>
      </c>
      <c r="X29" s="10">
        <v>0</v>
      </c>
      <c r="Y29" s="8">
        <f>(+$K29)*0.0145148407184903</f>
        <v>9.4288405307312981</v>
      </c>
      <c r="Z29" s="8">
        <f>(+$K29)*0.0265218405192253</f>
        <v>17.228587601288755</v>
      </c>
      <c r="AA29" s="8">
        <f>(+$K29)*0.0306443281624845</f>
        <v>19.90655557434993</v>
      </c>
      <c r="AB29" s="8">
        <f>(+$K29)*0.0281906072942687</f>
        <v>18.312618498356947</v>
      </c>
      <c r="AC29" s="8">
        <f>(+$K29)*0.0394872038481905</f>
        <v>25.650887619784552</v>
      </c>
      <c r="AD29" s="8">
        <f>(+$K29)*0.0588418489677388</f>
        <v>38.223665089443124</v>
      </c>
      <c r="AE29" s="8">
        <f>(+$K29)*0.0380896663205734</f>
        <v>24.743047241844483</v>
      </c>
      <c r="AF29" s="8">
        <f>((+$K29)*0.0371836197087442)--7.24633557569382</f>
        <v>31.400814938494054</v>
      </c>
      <c r="AG29" s="8">
        <f>(+$K29)*0.0502373378795371</f>
        <v>32.634174686547304</v>
      </c>
      <c r="AH29" s="8">
        <f>(+$K29)*0.0645385635235093</f>
        <v>41.924250864871645</v>
      </c>
      <c r="AI29" s="8">
        <f>(+$K29)*0.0636325169116801</f>
        <v>41.335682985827397</v>
      </c>
      <c r="AJ29" s="8">
        <f>(+$K29)*0.0636325169116801</f>
        <v>41.335682985827397</v>
      </c>
      <c r="AK29" s="8">
        <f>(+$K29)*0.0559752881485116</f>
        <v>36.361547181273131</v>
      </c>
      <c r="AL29" s="8">
        <f>(+$K29)*0.042067952193886</f>
        <v>27.327341745148349</v>
      </c>
      <c r="AM29" s="8">
        <f>(+$K29)*0.0316616598883103</f>
        <v>20.567414263446373</v>
      </c>
      <c r="AN29" s="8">
        <f>(+$K29)*0.0279959707451816</f>
        <v>18.186182596069969</v>
      </c>
      <c r="AO29" s="8">
        <f>(+$K29)*0.0290752482973947</f>
        <v>18.887281293987598</v>
      </c>
      <c r="AP29" s="8">
        <f>(+$K29)*0.0348887366456556</f>
        <v>22.66372332501788</v>
      </c>
      <c r="AQ29" s="8">
        <f>(+$K29)*0.0357947832574848</f>
        <v>23.252291204062129</v>
      </c>
      <c r="AR29" s="8">
        <f>(+$K29)*0.0357947832574848</f>
        <v>23.252291204062129</v>
      </c>
      <c r="AS29" s="8">
        <f>(+$K29)*0.0357947832574848</f>
        <v>23.252291204062129</v>
      </c>
      <c r="AT29" s="8">
        <f>(+$K29)*0.0348887366456556</f>
        <v>22.66372332501788</v>
      </c>
      <c r="AU29" s="8">
        <f>(+$K29)*0.0339826900338263</f>
        <v>22.075155445973564</v>
      </c>
      <c r="AV29" s="8">
        <f>(+$K29)*0.0339826900338263</f>
        <v>22.075155445973564</v>
      </c>
      <c r="AW29" s="8">
        <f>(+$K29)*0.0098148834728633</f>
        <v>6.3757483039720002</v>
      </c>
      <c r="AX29" s="8">
        <f>(+$K29)*0.0108984733225018</f>
        <v>7.0796482702971693</v>
      </c>
      <c r="AY29" s="8">
        <f>(+$K29)*0.0108984733225018</f>
        <v>7.0796482702971693</v>
      </c>
      <c r="AZ29" s="8">
        <f>(+$K29)*0.0098148834728633</f>
        <v>6.3757483039720002</v>
      </c>
      <c r="BY29" s="8" t="str">
        <f>+_xlfn.XLOOKUP(Table1[[#This Row],[L4 Code]],KIRMATAŞ!B:B,KIRMATAŞ!B:B,"")</f>
        <v>D-01.ALT-02.SNT-002</v>
      </c>
      <c r="BZ29" s="8" t="str">
        <f>+_xlfn.XLOOKUP(Table1[[#This Row],[L4 Code]],'SU TEMİNİ'!C:C,'SU TEMİNİ'!C:C,"")</f>
        <v/>
      </c>
      <c r="CA29" s="8" t="str">
        <f>+_xlfn.XLOOKUP(Table1[[#This Row],[L4 Code]],TAŞ!C:C,TAŞ!C:C,"")</f>
        <v/>
      </c>
      <c r="CB29" s="8" t="s">
        <v>5323</v>
      </c>
    </row>
    <row r="30" spans="1:80">
      <c r="A30" s="3" t="s">
        <v>5444</v>
      </c>
      <c r="B30" s="96"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977.9</v>
      </c>
      <c r="L30" s="5">
        <f>-SUM(Y30:BT30)+K30</f>
        <v>0</v>
      </c>
      <c r="M30" s="78">
        <v>977.9</v>
      </c>
      <c r="P30" s="8">
        <v>0</v>
      </c>
      <c r="Q30" s="8">
        <v>0</v>
      </c>
      <c r="R30" s="8">
        <v>0</v>
      </c>
      <c r="S30" s="8">
        <v>0</v>
      </c>
      <c r="T30" s="8">
        <v>0</v>
      </c>
      <c r="U30" s="8">
        <v>0</v>
      </c>
      <c r="V30" s="8">
        <v>0</v>
      </c>
      <c r="W30" s="8">
        <v>0</v>
      </c>
      <c r="X30" s="10">
        <v>0</v>
      </c>
      <c r="Y30" s="8">
        <v>22.946170968187317</v>
      </c>
      <c r="Z30" s="8">
        <v>15.663262960113425</v>
      </c>
      <c r="AA30" s="8">
        <v>24.406597744098203</v>
      </c>
      <c r="AB30" s="8">
        <v>17.123689736024311</v>
      </c>
      <c r="AC30" s="8">
        <v>21.889559821462022</v>
      </c>
      <c r="AD30" s="8">
        <v>47.171302597572087</v>
      </c>
      <c r="AE30" s="8">
        <v>41.665308788239336</v>
      </c>
      <c r="AF30" s="8">
        <v>35.764445156964115</v>
      </c>
      <c r="AG30" s="8">
        <v>40.204882012328554</v>
      </c>
      <c r="AH30" s="8">
        <v>40.204882012328554</v>
      </c>
      <c r="AI30" s="8">
        <v>34.30401838105324</v>
      </c>
      <c r="AJ30" s="8">
        <v>34.30401838105324</v>
      </c>
      <c r="AK30" s="8">
        <v>42.133975685161552</v>
      </c>
      <c r="AL30" s="8">
        <v>32.371576356323779</v>
      </c>
      <c r="AM30" s="8">
        <v>30.583015716205153</v>
      </c>
      <c r="AN30" s="8">
        <v>23.300107708131165</v>
      </c>
      <c r="AO30" s="8">
        <v>24.250870495909307</v>
      </c>
      <c r="AP30" s="8">
        <v>44.717550143332311</v>
      </c>
      <c r="AQ30" s="8">
        <v>50.618413774607532</v>
      </c>
      <c r="AR30" s="8">
        <v>50.618413774607532</v>
      </c>
      <c r="AS30" s="8">
        <v>50.618413774607532</v>
      </c>
      <c r="AT30" s="8">
        <v>44.717550143332311</v>
      </c>
      <c r="AU30" s="8">
        <v>38.816686512057096</v>
      </c>
      <c r="AV30" s="8">
        <v>38.816686512057096</v>
      </c>
      <c r="AW30" s="8">
        <v>29.13163203229557</v>
      </c>
      <c r="AX30" s="8">
        <v>36.212668389825872</v>
      </c>
      <c r="AY30" s="8">
        <v>36.212668389825872</v>
      </c>
      <c r="AZ30" s="8">
        <v>29.13163203229557</v>
      </c>
      <c r="BY30" s="8" t="str">
        <f>+_xlfn.XLOOKUP(Table1[[#This Row],[L4 Code]],KIRMATAŞ!B:B,KIRMATAŞ!B:B,"")</f>
        <v>D-01.ALT-02.SNT-002</v>
      </c>
      <c r="BZ30" s="8" t="str">
        <f>+_xlfn.XLOOKUP(Table1[[#This Row],[L4 Code]],'SU TEMİNİ'!C:C,'SU TEMİNİ'!C:C,"")</f>
        <v/>
      </c>
      <c r="CA30" s="8" t="str">
        <f>+_xlfn.XLOOKUP(Table1[[#This Row],[L4 Code]],TAŞ!C:C,TAŞ!C:C,"")</f>
        <v/>
      </c>
      <c r="CB30" s="8" t="s">
        <v>5324</v>
      </c>
    </row>
    <row r="31" spans="1:80">
      <c r="A31" s="3" t="s">
        <v>5444</v>
      </c>
      <c r="B31" s="96" t="s">
        <v>7</v>
      </c>
      <c r="C31" t="str">
        <f>+_xlfn.XLOOKUP(B31,'L4'!B:B,'L4'!C:C)</f>
        <v>BETON - DRENAJ HENDEĞI. TÜNEL DOLGU</v>
      </c>
      <c r="D31" t="s">
        <v>4967</v>
      </c>
      <c r="E31" t="str">
        <f>+_xlfn.XLOOKUP(D31,'M2'!H:H,'M2'!I:I)</f>
        <v>PROJE GENELİ</v>
      </c>
      <c r="F31" s="77" t="s">
        <v>4973</v>
      </c>
      <c r="G31" t="s">
        <v>4983</v>
      </c>
      <c r="H31" s="3" t="s">
        <v>4984</v>
      </c>
      <c r="I31" s="3" t="s">
        <v>155</v>
      </c>
      <c r="J31" s="78">
        <v>948.20359600000006</v>
      </c>
      <c r="K31" s="78">
        <f>+M31-SUM(N31:W31)</f>
        <v>202312.10459600011</v>
      </c>
      <c r="L31" s="5">
        <f>+SUM(X31:BT31)-K31</f>
        <v>0</v>
      </c>
      <c r="M31" s="78">
        <f>+SUM(N31:BX31)</f>
        <v>202495.9635960001</v>
      </c>
      <c r="N31" s="8">
        <v>0</v>
      </c>
      <c r="O31" s="8">
        <v>0</v>
      </c>
      <c r="P31" s="8">
        <v>0</v>
      </c>
      <c r="Q31" s="8">
        <v>0</v>
      </c>
      <c r="W31" s="8">
        <v>183.85899999999992</v>
      </c>
      <c r="X31" s="10">
        <v>0</v>
      </c>
      <c r="Y31" s="8">
        <v>0</v>
      </c>
      <c r="Z31" s="8">
        <v>8800.4170127209654</v>
      </c>
      <c r="AA31" s="8">
        <v>8782.2522995070958</v>
      </c>
      <c r="AB31" s="8">
        <v>8797.3829034011596</v>
      </c>
      <c r="AC31" s="8">
        <v>8787.4815710771218</v>
      </c>
      <c r="AD31" s="8">
        <v>8830.171267938802</v>
      </c>
      <c r="AE31" s="8">
        <v>8742.6078312164118</v>
      </c>
      <c r="AF31" s="8">
        <v>8754.8671691263135</v>
      </c>
      <c r="AG31" s="8">
        <v>8840.2334041552531</v>
      </c>
      <c r="AH31" s="8">
        <v>8938.1438664977632</v>
      </c>
      <c r="AI31" s="8">
        <v>8950.4032044076648</v>
      </c>
      <c r="AJ31" s="8">
        <v>8950.4032044076648</v>
      </c>
      <c r="AK31" s="8">
        <v>8896.7973427325778</v>
      </c>
      <c r="AL31" s="8">
        <v>8821.8654373827085</v>
      </c>
      <c r="AM31" s="8">
        <v>8768.328533158352</v>
      </c>
      <c r="AN31" s="8">
        <v>8775.1616402437303</v>
      </c>
      <c r="AO31" s="8">
        <v>8773.1863832278323</v>
      </c>
      <c r="AP31" s="8">
        <v>8730.6658375298011</v>
      </c>
      <c r="AQ31" s="8">
        <v>8718.4064996198977</v>
      </c>
      <c r="AR31" s="8">
        <v>8718.4064996198977</v>
      </c>
      <c r="AS31" s="8">
        <v>8718.4064996198977</v>
      </c>
      <c r="AT31" s="8">
        <v>8730.6658375298011</v>
      </c>
      <c r="AU31" s="8">
        <v>8742.9251754397028</v>
      </c>
      <c r="AV31" s="8">
        <v>8742.9251754397028</v>
      </c>
      <c r="BY31" s="8" t="str">
        <f>+_xlfn.XLOOKUP(Table1[[#This Row],[L4 Code]],KIRMATAŞ!B:B,KIRMATAŞ!B:B,"")</f>
        <v>D-01.ALT-02.SNT-003</v>
      </c>
      <c r="BZ31" s="8" t="str">
        <f>+_xlfn.XLOOKUP(Table1[[#This Row],[L4 Code]],'SU TEMİNİ'!C:C,'SU TEMİNİ'!C:C,"")</f>
        <v/>
      </c>
      <c r="CA31" s="8" t="str">
        <f>+_xlfn.XLOOKUP(Table1[[#This Row],[L4 Code]],TAŞ!C:C,TAŞ!C:C,"")</f>
        <v/>
      </c>
      <c r="CB31" s="8" t="s">
        <v>5325</v>
      </c>
    </row>
    <row r="32" spans="1:80">
      <c r="A32" s="3" t="s">
        <v>5444</v>
      </c>
      <c r="B32" s="96"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274.27330796572585</v>
      </c>
      <c r="L32" s="5">
        <f>-SUM(Y32:BT32)+K32</f>
        <v>0</v>
      </c>
      <c r="M32" s="78">
        <v>521.27728186572585</v>
      </c>
      <c r="R32" s="8">
        <v>23</v>
      </c>
      <c r="S32" s="8">
        <v>117.965</v>
      </c>
      <c r="T32" s="8">
        <v>55</v>
      </c>
      <c r="U32" s="8">
        <v>-2.6099999985262912E-5</v>
      </c>
      <c r="V32" s="8">
        <v>51.039000000000016</v>
      </c>
      <c r="W32" s="8">
        <v>0</v>
      </c>
      <c r="X32" s="10">
        <v>0</v>
      </c>
      <c r="Y32" s="8">
        <f>((+$K32))*0</f>
        <v>0</v>
      </c>
      <c r="Z32" s="8">
        <f>((+$K32))*0.0314935939058961</f>
        <v>8.6378521802993475</v>
      </c>
      <c r="AA32" s="8">
        <f>((+$K32))*0.0314935939058961</f>
        <v>8.6378521802993475</v>
      </c>
      <c r="AB32" s="8">
        <f>((+$K32))*0.0314935939058961</f>
        <v>8.6378521802993475</v>
      </c>
      <c r="AC32" s="8">
        <f>((+$K32))*0.0314935939058961</f>
        <v>8.6378521802993475</v>
      </c>
      <c r="AD32" s="8">
        <f>((+$K32))*0.0617819869185816</f>
        <v>16.945149924854576</v>
      </c>
      <c r="AE32" s="8">
        <f>((+$K32))*0.0302883930126855</f>
        <v>8.3072977445552283</v>
      </c>
      <c r="AF32" s="8">
        <f>((+$K32))*0.0302883930126855</f>
        <v>8.3072977445552283</v>
      </c>
      <c r="AG32" s="8">
        <f>((+$K32))*0.0603788226723469</f>
        <v>16.560299425420553</v>
      </c>
      <c r="AH32" s="8">
        <f>((+$K32))*0.0915250568814701</f>
        <v>25.102880112632025</v>
      </c>
      <c r="AI32" s="8">
        <f>((+$K32))*0.0915250568814701</f>
        <v>25.102880112632025</v>
      </c>
      <c r="AJ32" s="8">
        <f>((+$K32))*0.0915250568814701</f>
        <v>25.102880112632025</v>
      </c>
      <c r="AK32" s="8">
        <f>((+$K32))*0.0796472557000248</f>
        <v>21.845116291237815</v>
      </c>
      <c r="AL32" s="8">
        <f>((+$K32))*0.0493588626873393</f>
        <v>13.537818546682587</v>
      </c>
      <c r="AM32" s="8">
        <f>((+$K32))*0.0311462342091232</f>
        <v>8.5425806872114727</v>
      </c>
      <c r="AN32" s="8">
        <f t="shared" ref="AN32:AS32" si="8">((+$K32))*0.0285067228354687</f>
        <v>7.8186331713460966</v>
      </c>
      <c r="AO32" s="8">
        <f t="shared" si="8"/>
        <v>7.8186331713460966</v>
      </c>
      <c r="AP32" s="8">
        <f t="shared" si="8"/>
        <v>7.8186331713460966</v>
      </c>
      <c r="AQ32" s="8">
        <f t="shared" si="8"/>
        <v>7.8186331713460966</v>
      </c>
      <c r="AR32" s="8">
        <f t="shared" si="8"/>
        <v>7.8186331713460966</v>
      </c>
      <c r="AS32" s="8">
        <f t="shared" si="8"/>
        <v>7.8186331713460966</v>
      </c>
      <c r="AT32" s="8">
        <f>(((+$K32))*0.0285067228354687)+0</f>
        <v>7.8186331713460966</v>
      </c>
      <c r="AU32" s="8">
        <f>((+$K32))*0.0285067228354687</f>
        <v>7.8186331713460966</v>
      </c>
      <c r="AV32" s="8">
        <f>((+$K32))*0.0285067228354687</f>
        <v>7.8186331713460966</v>
      </c>
      <c r="AW32" s="8">
        <f>((+$K32))*0</f>
        <v>0</v>
      </c>
      <c r="AX32" s="8">
        <f>((+$K32))*0</f>
        <v>0</v>
      </c>
      <c r="AY32" s="8">
        <f>((+$K32))*0</f>
        <v>0</v>
      </c>
      <c r="AZ32" s="8">
        <f>((+$K32))*0</f>
        <v>0</v>
      </c>
      <c r="BY32" s="8" t="str">
        <f>+_xlfn.XLOOKUP(Table1[[#This Row],[L4 Code]],KIRMATAŞ!B:B,KIRMATAŞ!B:B,"")</f>
        <v>D-01.ALT-02.SNT-003</v>
      </c>
      <c r="BZ32" s="8" t="str">
        <f>+_xlfn.XLOOKUP(Table1[[#This Row],[L4 Code]],'SU TEMİNİ'!C:C,'SU TEMİNİ'!C:C,"")</f>
        <v/>
      </c>
      <c r="CA32" s="8" t="str">
        <f>+_xlfn.XLOOKUP(Table1[[#This Row],[L4 Code]],TAŞ!C:C,TAŞ!C:C,"")</f>
        <v/>
      </c>
      <c r="CB32" s="8" t="s">
        <v>5326</v>
      </c>
    </row>
    <row r="33" spans="1:80">
      <c r="A33" s="3" t="s">
        <v>5444</v>
      </c>
      <c r="B33" s="96" t="s">
        <v>2644</v>
      </c>
      <c r="C33" t="str">
        <f>+_xlfn.XLOOKUP(B33,'L4'!B:B,'L4'!C:C)</f>
        <v>ÖNGERME ÇELIĞI TEMIN VE YERINE KOYMA</v>
      </c>
      <c r="D33" t="s">
        <v>4967</v>
      </c>
      <c r="E33" t="str">
        <f>+_xlfn.XLOOKUP(D33,'M2'!H:H,'M2'!I:I)</f>
        <v>PROJE GENELİ</v>
      </c>
      <c r="F33" s="77" t="s">
        <v>4973</v>
      </c>
      <c r="G33" t="s">
        <v>4983</v>
      </c>
      <c r="H33" s="3" t="s">
        <v>4984</v>
      </c>
      <c r="I33" s="3" t="s">
        <v>269</v>
      </c>
      <c r="J33" s="78">
        <v>1907.7750648759741</v>
      </c>
      <c r="K33" s="78">
        <f t="shared" ref="K33:K38" si="9">+M33-SUM(N33:W33)</f>
        <v>1907.7750648759741</v>
      </c>
      <c r="L33" s="5">
        <f t="shared" ref="L33:L38" si="10">+SUM(X33:BT33)-K33</f>
        <v>0</v>
      </c>
      <c r="M33" s="78">
        <f t="shared" ref="M33:M38" si="11">+SUM(N33:BX33)</f>
        <v>1907.7750648759741</v>
      </c>
      <c r="N33" s="8">
        <v>0</v>
      </c>
      <c r="O33" s="8">
        <v>0</v>
      </c>
      <c r="P33" s="8">
        <v>0</v>
      </c>
      <c r="Q33" s="8">
        <v>0</v>
      </c>
      <c r="R33" s="8">
        <v>0</v>
      </c>
      <c r="S33" s="8">
        <v>0</v>
      </c>
      <c r="T33" s="8">
        <v>0</v>
      </c>
      <c r="X33" s="10"/>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t="str">
        <f>+_xlfn.XLOOKUP(Table1[[#This Row],[L4 Code]],KIRMATAŞ!B:B,KIRMATAŞ!B:B,"")</f>
        <v/>
      </c>
      <c r="BZ33" s="8" t="str">
        <f>+_xlfn.XLOOKUP(Table1[[#This Row],[L4 Code]],'SU TEMİNİ'!C:C,'SU TEMİNİ'!C:C,"")</f>
        <v/>
      </c>
      <c r="CA33" s="8" t="str">
        <f>+_xlfn.XLOOKUP(Table1[[#This Row],[L4 Code]],TAŞ!C:C,TAŞ!C:C,"")</f>
        <v/>
      </c>
      <c r="CB33" s="8" t="s">
        <v>5327</v>
      </c>
    </row>
    <row r="34" spans="1:80">
      <c r="A34" s="3" t="s">
        <v>5444</v>
      </c>
      <c r="B34" s="96" t="s">
        <v>2645</v>
      </c>
      <c r="C34" t="str">
        <f>+_xlfn.XLOOKUP(B34,'L4'!B:B,'L4'!C:C)</f>
        <v>KÖPRÜLERDE MEMBRAN ILE SU YALITIMI</v>
      </c>
      <c r="D34" t="s">
        <v>4967</v>
      </c>
      <c r="E34" t="str">
        <f>+_xlfn.XLOOKUP(D34,'M2'!H:H,'M2'!I:I)</f>
        <v>PROJE GENELİ</v>
      </c>
      <c r="F34" s="77" t="s">
        <v>4973</v>
      </c>
      <c r="G34" t="s">
        <v>4983</v>
      </c>
      <c r="H34" s="3" t="s">
        <v>4984</v>
      </c>
      <c r="I34" s="3" t="s">
        <v>274</v>
      </c>
      <c r="J34" s="78">
        <v>106653.35499999997</v>
      </c>
      <c r="K34" s="78">
        <f t="shared" si="9"/>
        <v>105653.45500000002</v>
      </c>
      <c r="L34" s="5">
        <f t="shared" si="10"/>
        <v>0</v>
      </c>
      <c r="M34" s="78">
        <f t="shared" si="11"/>
        <v>105653.45500000002</v>
      </c>
      <c r="N34" s="8">
        <v>0</v>
      </c>
      <c r="O34" s="8">
        <v>0</v>
      </c>
      <c r="P34" s="8">
        <v>0</v>
      </c>
      <c r="Q34" s="8">
        <v>0</v>
      </c>
      <c r="R34" s="8">
        <v>0</v>
      </c>
      <c r="S34" s="8">
        <v>0</v>
      </c>
      <c r="T34" s="8">
        <v>0</v>
      </c>
      <c r="X34" s="10"/>
      <c r="Z34" s="8">
        <v>1956.7476666666676</v>
      </c>
      <c r="AA34" s="8">
        <v>1956.7476666666676</v>
      </c>
      <c r="AB34" s="8">
        <v>1956.7476666666676</v>
      </c>
      <c r="AC34" s="8">
        <v>5004.0860000000011</v>
      </c>
      <c r="AD34" s="8">
        <v>6601.0235000000011</v>
      </c>
      <c r="AE34" s="8">
        <v>5595.7800000000016</v>
      </c>
      <c r="AF34" s="8">
        <v>6491.9193333333351</v>
      </c>
      <c r="AG34" s="8">
        <v>7599.9318333333349</v>
      </c>
      <c r="AH34" s="8">
        <v>7807.8985000000021</v>
      </c>
      <c r="AI34" s="8">
        <v>7325.9601666666686</v>
      </c>
      <c r="AJ34" s="8">
        <v>7010.3351666666695</v>
      </c>
      <c r="AK34" s="8">
        <v>5456.8041666666677</v>
      </c>
      <c r="AL34" s="8">
        <v>3493.7416666666682</v>
      </c>
      <c r="AM34" s="8">
        <v>2369.3666666666682</v>
      </c>
      <c r="AN34" s="8">
        <v>2230.2000000000012</v>
      </c>
      <c r="AO34" s="8">
        <v>2780.6500000000015</v>
      </c>
      <c r="AP34" s="8">
        <v>2780.6500000000015</v>
      </c>
      <c r="AQ34" s="8">
        <v>3264.0865000000013</v>
      </c>
      <c r="AR34" s="8">
        <v>3899.023000000001</v>
      </c>
      <c r="AS34" s="8">
        <v>3899.023000000001</v>
      </c>
      <c r="AT34" s="8">
        <v>3899.023000000001</v>
      </c>
      <c r="AU34" s="8">
        <v>3899.023000000001</v>
      </c>
      <c r="AV34" s="8">
        <v>3264.0865000000013</v>
      </c>
      <c r="AW34" s="8">
        <v>1277.6500000000012</v>
      </c>
      <c r="AX34" s="8">
        <v>1277.6500000000012</v>
      </c>
      <c r="AY34" s="8">
        <v>1277.6500000000012</v>
      </c>
      <c r="AZ34" s="8">
        <v>1277.6500000000012</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t="str">
        <f>+_xlfn.XLOOKUP(Table1[[#This Row],[L4 Code]],KIRMATAŞ!B:B,KIRMATAŞ!B:B,"")</f>
        <v/>
      </c>
      <c r="BZ34" s="8" t="str">
        <f>+_xlfn.XLOOKUP(Table1[[#This Row],[L4 Code]],'SU TEMİNİ'!C:C,'SU TEMİNİ'!C:C,"")</f>
        <v/>
      </c>
      <c r="CA34" s="8" t="str">
        <f>+_xlfn.XLOOKUP(Table1[[#This Row],[L4 Code]],TAŞ!C:C,TAŞ!C:C,"")</f>
        <v/>
      </c>
      <c r="CB34" s="8" t="s">
        <v>5328</v>
      </c>
    </row>
    <row r="35" spans="1:80">
      <c r="A35" s="3" t="s">
        <v>5444</v>
      </c>
      <c r="B35" s="96" t="s">
        <v>2646</v>
      </c>
      <c r="C35" t="str">
        <f>+_xlfn.XLOOKUP(B35,'L4'!B:B,'L4'!C:C)</f>
        <v>KATRAN BADANA YAPILMASI</v>
      </c>
      <c r="D35" t="s">
        <v>4967</v>
      </c>
      <c r="E35" t="str">
        <f>+_xlfn.XLOOKUP(D35,'M2'!H:H,'M2'!I:I)</f>
        <v>PROJE GENELİ</v>
      </c>
      <c r="F35" s="77" t="s">
        <v>4973</v>
      </c>
      <c r="G35" t="s">
        <v>4983</v>
      </c>
      <c r="H35" s="3" t="s">
        <v>4984</v>
      </c>
      <c r="I35" s="3" t="s">
        <v>279</v>
      </c>
      <c r="J35" s="78">
        <v>279219.50206744956</v>
      </c>
      <c r="K35" s="78">
        <f t="shared" si="9"/>
        <v>278109.95040641521</v>
      </c>
      <c r="L35" s="5">
        <f t="shared" si="10"/>
        <v>0</v>
      </c>
      <c r="M35" s="78">
        <f t="shared" si="11"/>
        <v>279219.50206744944</v>
      </c>
      <c r="N35" s="8">
        <v>0</v>
      </c>
      <c r="O35" s="8">
        <v>0</v>
      </c>
      <c r="P35" s="8">
        <v>0</v>
      </c>
      <c r="Q35" s="8">
        <v>0</v>
      </c>
      <c r="R35" s="8">
        <v>0</v>
      </c>
      <c r="S35" s="8">
        <v>0</v>
      </c>
      <c r="T35" s="8">
        <v>0</v>
      </c>
      <c r="U35" s="8">
        <v>560.86</v>
      </c>
      <c r="W35" s="8">
        <v>548.69166103425368</v>
      </c>
      <c r="X35" s="10">
        <v>744.81833896574619</v>
      </c>
      <c r="Y35" s="8">
        <v>7053.5165671961695</v>
      </c>
      <c r="Z35" s="8">
        <v>9996.7874371922098</v>
      </c>
      <c r="AA35" s="8">
        <v>10308.1880663382</v>
      </c>
      <c r="AB35" s="8">
        <v>9848.8750322926007</v>
      </c>
      <c r="AC35" s="8">
        <v>14672.637949938866</v>
      </c>
      <c r="AD35" s="8">
        <v>13333.874302833665</v>
      </c>
      <c r="AE35" s="8">
        <v>10660.202130438114</v>
      </c>
      <c r="AF35" s="8">
        <v>12755.205771113844</v>
      </c>
      <c r="AG35" s="8">
        <v>12778.826571322936</v>
      </c>
      <c r="AH35" s="8">
        <v>12926.738976222547</v>
      </c>
      <c r="AI35" s="8">
        <v>12820.533749944505</v>
      </c>
      <c r="AJ35" s="8">
        <v>11505.505633498149</v>
      </c>
      <c r="AK35" s="8">
        <v>9443.9641997229664</v>
      </c>
      <c r="AL35" s="8">
        <v>8474.0650280423706</v>
      </c>
      <c r="AM35" s="8">
        <v>7504.1658563617739</v>
      </c>
      <c r="AN35" s="8">
        <v>7044.8528223161757</v>
      </c>
      <c r="AO35" s="8">
        <v>7752.8437737102195</v>
      </c>
      <c r="AP35" s="8">
        <v>8965.0307809523001</v>
      </c>
      <c r="AQ35" s="8">
        <v>11368.087895912504</v>
      </c>
      <c r="AR35" s="8">
        <v>13625.49647662144</v>
      </c>
      <c r="AS35" s="8">
        <v>13625.49647662144</v>
      </c>
      <c r="AT35" s="8">
        <v>13331.935537470556</v>
      </c>
      <c r="AU35" s="8">
        <v>13038.374598319675</v>
      </c>
      <c r="AV35" s="8">
        <v>10780.966017610739</v>
      </c>
      <c r="AW35" s="8">
        <v>3280.4745683309361</v>
      </c>
      <c r="AX35" s="8">
        <v>3594.0056393968448</v>
      </c>
      <c r="AY35" s="8">
        <v>3594.0056393968448</v>
      </c>
      <c r="AZ35" s="8">
        <v>3280.4745683309361</v>
      </c>
      <c r="BA35" s="8">
        <v>0</v>
      </c>
      <c r="BB35" s="8">
        <v>0</v>
      </c>
      <c r="BC35" s="8">
        <v>0</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8" t="str">
        <f>+_xlfn.XLOOKUP(Table1[[#This Row],[L4 Code]],KIRMATAŞ!B:B,KIRMATAŞ!B:B,"")</f>
        <v/>
      </c>
      <c r="BZ35" s="8" t="str">
        <f>+_xlfn.XLOOKUP(Table1[[#This Row],[L4 Code]],'SU TEMİNİ'!C:C,'SU TEMİNİ'!C:C,"")</f>
        <v/>
      </c>
      <c r="CA35" s="8" t="str">
        <f>+_xlfn.XLOOKUP(Table1[[#This Row],[L4 Code]],TAŞ!C:C,TAŞ!C:C,"")</f>
        <v/>
      </c>
      <c r="CB35" s="8" t="s">
        <v>5329</v>
      </c>
    </row>
    <row r="36" spans="1:80">
      <c r="A36" s="3" t="s">
        <v>5444</v>
      </c>
      <c r="B36" s="96" t="s">
        <v>2647</v>
      </c>
      <c r="C36" t="str">
        <f>+_xlfn.XLOOKUP(B36,'L4'!B:B,'L4'!C:C)</f>
        <v>KÖPRÜLERDE GENLEŞME DERZI ( MLZ. + İŞÇ. )</v>
      </c>
      <c r="D36" t="s">
        <v>4967</v>
      </c>
      <c r="E36" t="str">
        <f>+_xlfn.XLOOKUP(D36,'M2'!H:H,'M2'!I:I)</f>
        <v>PROJE GENELİ</v>
      </c>
      <c r="F36" s="77" t="s">
        <v>4973</v>
      </c>
      <c r="G36" t="s">
        <v>4983</v>
      </c>
      <c r="H36" s="3" t="s">
        <v>4984</v>
      </c>
      <c r="I36" s="3" t="s">
        <v>284</v>
      </c>
      <c r="J36" s="78">
        <v>2541.383157894737</v>
      </c>
      <c r="K36" s="78">
        <f t="shared" si="9"/>
        <v>2541.383157894737</v>
      </c>
      <c r="L36" s="5">
        <f t="shared" si="10"/>
        <v>0</v>
      </c>
      <c r="M36" s="78">
        <f t="shared" si="11"/>
        <v>2541.383157894737</v>
      </c>
      <c r="N36" s="8">
        <v>0</v>
      </c>
      <c r="O36" s="8">
        <v>0</v>
      </c>
      <c r="P36" s="8">
        <v>0</v>
      </c>
      <c r="Q36" s="8">
        <v>0</v>
      </c>
      <c r="R36" s="8">
        <v>0</v>
      </c>
      <c r="S36" s="8">
        <v>0</v>
      </c>
      <c r="T36" s="8">
        <v>0</v>
      </c>
      <c r="X36" s="10"/>
      <c r="AC36" s="8">
        <v>153.43859649122805</v>
      </c>
      <c r="AD36" s="8">
        <v>153.43859649122805</v>
      </c>
      <c r="AE36" s="8">
        <v>193.07017543859649</v>
      </c>
      <c r="AF36" s="8">
        <v>242.74456140350878</v>
      </c>
      <c r="AG36" s="8">
        <v>222.79719298245615</v>
      </c>
      <c r="AH36" s="8">
        <v>150.50245614035089</v>
      </c>
      <c r="AI36" s="8">
        <v>130.41122807017541</v>
      </c>
      <c r="AJ36" s="8">
        <v>111.09543859649122</v>
      </c>
      <c r="AK36" s="8">
        <v>66.280701754385959</v>
      </c>
      <c r="AL36" s="8">
        <v>44.859649122807014</v>
      </c>
      <c r="AM36" s="8">
        <v>31.859649122807014</v>
      </c>
      <c r="AN36" s="8">
        <v>31.859649122807014</v>
      </c>
      <c r="AO36" s="8">
        <v>54.807017543859644</v>
      </c>
      <c r="AP36" s="8">
        <v>54.807017543859644</v>
      </c>
      <c r="AQ36" s="8">
        <v>87.414807017543865</v>
      </c>
      <c r="AR36" s="8">
        <v>126.33838596491228</v>
      </c>
      <c r="AS36" s="8">
        <v>126.33838596491228</v>
      </c>
      <c r="AT36" s="8">
        <v>126.33838596491228</v>
      </c>
      <c r="AU36" s="8">
        <v>126.33838596491228</v>
      </c>
      <c r="AV36" s="8">
        <v>87.414807017543865</v>
      </c>
      <c r="AW36" s="8">
        <v>54.807017543859644</v>
      </c>
      <c r="AX36" s="8">
        <v>54.807017543859644</v>
      </c>
      <c r="AY36" s="8">
        <v>54.807017543859644</v>
      </c>
      <c r="AZ36" s="8">
        <v>54.807017543859644</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t="str">
        <f>+_xlfn.XLOOKUP(Table1[[#This Row],[L4 Code]],KIRMATAŞ!B:B,KIRMATAŞ!B:B,"")</f>
        <v/>
      </c>
      <c r="BZ36" s="8" t="str">
        <f>+_xlfn.XLOOKUP(Table1[[#This Row],[L4 Code]],'SU TEMİNİ'!C:C,'SU TEMİNİ'!C:C,"")</f>
        <v/>
      </c>
      <c r="CA36" s="8" t="str">
        <f>+_xlfn.XLOOKUP(Table1[[#This Row],[L4 Code]],TAŞ!C:C,TAŞ!C:C,"")</f>
        <v/>
      </c>
      <c r="CB36" s="8" t="s">
        <v>5330</v>
      </c>
    </row>
    <row r="37" spans="1:80">
      <c r="A37" s="3" t="s">
        <v>5444</v>
      </c>
      <c r="B37" s="96" t="s">
        <v>2648</v>
      </c>
      <c r="C37" t="str">
        <f>+_xlfn.XLOOKUP(B37,'L4'!B:B,'L4'!C:C)</f>
        <v>NEOPREN MESNET TEMINI VE MONTAJI</v>
      </c>
      <c r="D37" t="s">
        <v>4967</v>
      </c>
      <c r="E37" t="str">
        <f>+_xlfn.XLOOKUP(D37,'M2'!H:H,'M2'!I:I)</f>
        <v>PROJE GENELİ</v>
      </c>
      <c r="F37" s="77" t="s">
        <v>4973</v>
      </c>
      <c r="G37" t="s">
        <v>4983</v>
      </c>
      <c r="H37" s="3" t="s">
        <v>4984</v>
      </c>
      <c r="I37" s="3" t="s">
        <v>289</v>
      </c>
      <c r="J37" s="78">
        <v>32427.394736842107</v>
      </c>
      <c r="K37" s="78">
        <f t="shared" si="9"/>
        <v>32427.394736842107</v>
      </c>
      <c r="L37" s="5">
        <f t="shared" si="10"/>
        <v>0</v>
      </c>
      <c r="M37" s="78">
        <f t="shared" si="11"/>
        <v>32427.394736842107</v>
      </c>
      <c r="N37" s="8">
        <v>0</v>
      </c>
      <c r="O37" s="8">
        <v>0</v>
      </c>
      <c r="P37" s="8">
        <v>0</v>
      </c>
      <c r="Q37" s="8">
        <v>0</v>
      </c>
      <c r="R37" s="8">
        <v>0</v>
      </c>
      <c r="S37" s="8">
        <v>0</v>
      </c>
      <c r="T37" s="8">
        <v>0</v>
      </c>
      <c r="X37" s="10"/>
      <c r="AC37" s="8">
        <v>2132.8578947368424</v>
      </c>
      <c r="AD37" s="8">
        <v>2132.8578947368424</v>
      </c>
      <c r="AE37" s="8">
        <v>2477.5552631578948</v>
      </c>
      <c r="AF37" s="8">
        <v>2980.4268421052634</v>
      </c>
      <c r="AG37" s="8">
        <v>2666.2557894736842</v>
      </c>
      <c r="AH37" s="8">
        <v>1811.4136842105263</v>
      </c>
      <c r="AI37" s="8">
        <v>1494.9768421052631</v>
      </c>
      <c r="AJ37" s="8">
        <v>1330.5031578947369</v>
      </c>
      <c r="AK37" s="8">
        <v>764.42105263157896</v>
      </c>
      <c r="AL37" s="8">
        <v>566.78947368421063</v>
      </c>
      <c r="AM37" s="8">
        <v>501.78947368421058</v>
      </c>
      <c r="AN37" s="8">
        <v>501.78947368421058</v>
      </c>
      <c r="AO37" s="8">
        <v>863.21052631578948</v>
      </c>
      <c r="AP37" s="8">
        <v>863.21052631578948</v>
      </c>
      <c r="AQ37" s="8">
        <v>1094.1442105263159</v>
      </c>
      <c r="AR37" s="8">
        <v>1424.5515789473686</v>
      </c>
      <c r="AS37" s="8">
        <v>1424.5515789473684</v>
      </c>
      <c r="AT37" s="8">
        <v>1424.5515789473686</v>
      </c>
      <c r="AU37" s="8">
        <v>1424.5515789473684</v>
      </c>
      <c r="AV37" s="8">
        <v>1094.1442105263159</v>
      </c>
      <c r="AW37" s="8">
        <v>863.21052631578948</v>
      </c>
      <c r="AX37" s="8">
        <v>863.21052631578948</v>
      </c>
      <c r="AY37" s="8">
        <v>863.21052631578948</v>
      </c>
      <c r="AZ37" s="8">
        <v>863.21052631578948</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t="str">
        <f>+_xlfn.XLOOKUP(Table1[[#This Row],[L4 Code]],KIRMATAŞ!B:B,KIRMATAŞ!B:B,"")</f>
        <v/>
      </c>
      <c r="BZ37" s="8" t="str">
        <f>+_xlfn.XLOOKUP(Table1[[#This Row],[L4 Code]],'SU TEMİNİ'!C:C,'SU TEMİNİ'!C:C,"")</f>
        <v/>
      </c>
      <c r="CA37" s="8" t="str">
        <f>+_xlfn.XLOOKUP(Table1[[#This Row],[L4 Code]],TAŞ!C:C,TAŞ!C:C,"")</f>
        <v/>
      </c>
      <c r="CB37" s="8" t="s">
        <v>5331</v>
      </c>
    </row>
    <row r="38" spans="1:80">
      <c r="A38" s="3" t="s">
        <v>5444</v>
      </c>
      <c r="B38" s="96" t="s">
        <v>2649</v>
      </c>
      <c r="C38" t="str">
        <f>+_xlfn.XLOOKUP(B38,'L4'!B:B,'L4'!C:C)</f>
        <v>KÖPRÜ KORKULUK - PROFILDEN ( MLZ. + İŞÇ. )</v>
      </c>
      <c r="D38" t="s">
        <v>4967</v>
      </c>
      <c r="E38" t="str">
        <f>+_xlfn.XLOOKUP(D38,'M2'!H:H,'M2'!I:I)</f>
        <v>PROJE GENELİ</v>
      </c>
      <c r="F38" s="77" t="s">
        <v>4973</v>
      </c>
      <c r="G38" t="s">
        <v>4983</v>
      </c>
      <c r="H38" s="3" t="s">
        <v>4984</v>
      </c>
      <c r="I38" s="3" t="s">
        <v>294</v>
      </c>
      <c r="J38" s="78">
        <v>471.64499999999981</v>
      </c>
      <c r="K38" s="78">
        <f t="shared" si="9"/>
        <v>471.64499999999981</v>
      </c>
      <c r="L38" s="5">
        <f t="shared" si="10"/>
        <v>0</v>
      </c>
      <c r="M38" s="78">
        <f t="shared" si="11"/>
        <v>471.64499999999981</v>
      </c>
      <c r="N38" s="8">
        <v>0</v>
      </c>
      <c r="O38" s="8">
        <v>0</v>
      </c>
      <c r="P38" s="8">
        <v>0</v>
      </c>
      <c r="Q38" s="8">
        <v>0</v>
      </c>
      <c r="R38" s="8">
        <v>0</v>
      </c>
      <c r="S38" s="8">
        <v>0</v>
      </c>
      <c r="T38" s="8">
        <v>0</v>
      </c>
      <c r="X38" s="10"/>
      <c r="AC38" s="8">
        <v>30.124499999999991</v>
      </c>
      <c r="AD38" s="8">
        <v>30.124499999999991</v>
      </c>
      <c r="AE38" s="8">
        <v>35.963249999999995</v>
      </c>
      <c r="AF38" s="8">
        <v>43.948649999999986</v>
      </c>
      <c r="AG38" s="8">
        <v>39.684899999999992</v>
      </c>
      <c r="AH38" s="8">
        <v>26.904899999999998</v>
      </c>
      <c r="AI38" s="8">
        <v>22.610400000000002</v>
      </c>
      <c r="AJ38" s="8">
        <v>19.797899999999998</v>
      </c>
      <c r="AK38" s="8">
        <v>11.535</v>
      </c>
      <c r="AL38" s="8">
        <v>8.2724999999999991</v>
      </c>
      <c r="AM38" s="8">
        <v>6.81</v>
      </c>
      <c r="AN38" s="8">
        <v>6.81</v>
      </c>
      <c r="AO38" s="8">
        <v>11.714999999999998</v>
      </c>
      <c r="AP38" s="8">
        <v>11.714999999999998</v>
      </c>
      <c r="AQ38" s="8">
        <v>16.022849999999998</v>
      </c>
      <c r="AR38" s="8">
        <v>21.680699999999998</v>
      </c>
      <c r="AS38" s="8">
        <v>21.680699999999998</v>
      </c>
      <c r="AT38" s="8">
        <v>21.680699999999998</v>
      </c>
      <c r="AU38" s="8">
        <v>21.680699999999998</v>
      </c>
      <c r="AV38" s="8">
        <v>16.022849999999998</v>
      </c>
      <c r="AW38" s="8">
        <v>11.714999999999998</v>
      </c>
      <c r="AX38" s="8">
        <v>11.714999999999998</v>
      </c>
      <c r="AY38" s="8">
        <v>11.714999999999998</v>
      </c>
      <c r="AZ38" s="8">
        <v>11.714999999999998</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t="str">
        <f>+_xlfn.XLOOKUP(Table1[[#This Row],[L4 Code]],KIRMATAŞ!B:B,KIRMATAŞ!B:B,"")</f>
        <v/>
      </c>
      <c r="BZ38" s="8" t="str">
        <f>+_xlfn.XLOOKUP(Table1[[#This Row],[L4 Code]],'SU TEMİNİ'!C:C,'SU TEMİNİ'!C:C,"")</f>
        <v/>
      </c>
      <c r="CA38" s="8" t="str">
        <f>+_xlfn.XLOOKUP(Table1[[#This Row],[L4 Code]],TAŞ!C:C,TAŞ!C:C,"")</f>
        <v/>
      </c>
      <c r="CB38" s="8" t="s">
        <v>5332</v>
      </c>
    </row>
    <row r="39" spans="1:80">
      <c r="A39" s="3" t="s">
        <v>5444</v>
      </c>
      <c r="B39" s="96"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7265.5957734376079</v>
      </c>
      <c r="L39" s="5">
        <f>-SUM(Y39:BT39)+K39</f>
        <v>0</v>
      </c>
      <c r="M39" s="78">
        <v>7519.8257734376075</v>
      </c>
      <c r="R39" s="8">
        <v>75.87</v>
      </c>
      <c r="S39" s="8">
        <v>152.56</v>
      </c>
      <c r="T39" s="8">
        <v>0</v>
      </c>
      <c r="U39" s="8">
        <v>0.17</v>
      </c>
      <c r="V39" s="8">
        <v>25.63</v>
      </c>
      <c r="W39" s="8">
        <v>0</v>
      </c>
      <c r="X39" s="10">
        <v>0</v>
      </c>
      <c r="Y39" s="8">
        <f>(+$K39)*0</f>
        <v>0</v>
      </c>
      <c r="Z39" s="8">
        <f t="shared" ref="Z39:AC40" si="12">(+$K39)*0.0314935939058961</f>
        <v>228.81972277303913</v>
      </c>
      <c r="AA39" s="8">
        <f t="shared" si="12"/>
        <v>228.81972277303913</v>
      </c>
      <c r="AB39" s="8">
        <f t="shared" si="12"/>
        <v>228.81972277303913</v>
      </c>
      <c r="AC39" s="8">
        <f t="shared" si="12"/>
        <v>228.81972277303913</v>
      </c>
      <c r="AD39" s="8">
        <f>(+$K39)*0.0617819869185816</f>
        <v>448.88294303022406</v>
      </c>
      <c r="AE39" s="8">
        <f>(+$K39)*0.0302883930126855</f>
        <v>220.06322025718492</v>
      </c>
      <c r="AF39" s="8">
        <f>((+$K39)*0.0302883930126855)-0</f>
        <v>220.06322025718492</v>
      </c>
      <c r="AG39" s="8">
        <f>(+$K39)*0.0603788226723469</f>
        <v>438.68811881334244</v>
      </c>
      <c r="AH39" s="8">
        <f t="shared" ref="AH39:AJ40" si="13">(+$K39)*0.0915250568814701</f>
        <v>664.98406644164584</v>
      </c>
      <c r="AI39" s="8">
        <f t="shared" si="13"/>
        <v>664.98406644164584</v>
      </c>
      <c r="AJ39" s="8">
        <f t="shared" si="13"/>
        <v>664.98406644164584</v>
      </c>
      <c r="AK39" s="8">
        <f>(+$K39)*0.0796472557000248</f>
        <v>578.68476438000459</v>
      </c>
      <c r="AL39" s="8">
        <f>(+$K39)*0.0493588626873393</f>
        <v>358.62154412281967</v>
      </c>
      <c r="AM39" s="8">
        <f>(+$K39)*0.0311462342091232</f>
        <v>226.29594762830337</v>
      </c>
      <c r="AN39" s="8">
        <f t="shared" ref="AN39:AV40" si="14">(+$K39)*0.0285067228354687</f>
        <v>207.11832494793873</v>
      </c>
      <c r="AO39" s="8">
        <f t="shared" si="14"/>
        <v>207.11832494793873</v>
      </c>
      <c r="AP39" s="8">
        <f t="shared" si="14"/>
        <v>207.11832494793873</v>
      </c>
      <c r="AQ39" s="8">
        <f t="shared" si="14"/>
        <v>207.11832494793873</v>
      </c>
      <c r="AR39" s="8">
        <f t="shared" si="14"/>
        <v>207.11832494793873</v>
      </c>
      <c r="AS39" s="8">
        <f t="shared" si="14"/>
        <v>207.11832494793873</v>
      </c>
      <c r="AT39" s="8">
        <f t="shared" si="14"/>
        <v>207.11832494793873</v>
      </c>
      <c r="AU39" s="8">
        <f t="shared" si="14"/>
        <v>207.11832494793873</v>
      </c>
      <c r="AV39" s="8">
        <f t="shared" si="14"/>
        <v>207.11832494793873</v>
      </c>
      <c r="AW39" s="8">
        <f t="shared" ref="AW39:AZ40" si="15">(+$K39)*0</f>
        <v>0</v>
      </c>
      <c r="AX39" s="8">
        <f t="shared" si="15"/>
        <v>0</v>
      </c>
      <c r="AY39" s="8">
        <f t="shared" si="15"/>
        <v>0</v>
      </c>
      <c r="AZ39" s="8">
        <f t="shared" si="15"/>
        <v>0</v>
      </c>
      <c r="BY39" s="8" t="str">
        <f>+_xlfn.XLOOKUP(Table1[[#This Row],[L4 Code]],KIRMATAŞ!B:B,KIRMATAŞ!B:B,"")</f>
        <v>D-01.ALT-02.SNT-003</v>
      </c>
      <c r="BZ39" s="8" t="str">
        <f>+_xlfn.XLOOKUP(Table1[[#This Row],[L4 Code]],'SU TEMİNİ'!C:C,'SU TEMİNİ'!C:C,"")</f>
        <v/>
      </c>
      <c r="CA39" s="8" t="str">
        <f>+_xlfn.XLOOKUP(Table1[[#This Row],[L4 Code]],TAŞ!C:C,TAŞ!C:C,"")</f>
        <v/>
      </c>
      <c r="CB39" s="8" t="s">
        <v>5333</v>
      </c>
    </row>
    <row r="40" spans="1:80">
      <c r="A40" s="3" t="s">
        <v>5444</v>
      </c>
      <c r="B40" s="96"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325.01787265102649</v>
      </c>
      <c r="L40" s="5">
        <f>-SUM(Y40:BT40)+K40</f>
        <v>0</v>
      </c>
      <c r="M40" s="78">
        <v>486.03942365102648</v>
      </c>
      <c r="T40" s="8">
        <v>159.542551</v>
      </c>
      <c r="U40" s="8">
        <v>0</v>
      </c>
      <c r="V40" s="8">
        <v>1.478999999999985</v>
      </c>
      <c r="W40" s="8">
        <v>0</v>
      </c>
      <c r="X40" s="10">
        <v>0</v>
      </c>
      <c r="Y40" s="8">
        <f>(+$K40)*0</f>
        <v>0</v>
      </c>
      <c r="Z40" s="8">
        <f t="shared" si="12"/>
        <v>10.235980893429684</v>
      </c>
      <c r="AA40" s="8">
        <f t="shared" si="12"/>
        <v>10.235980893429684</v>
      </c>
      <c r="AB40" s="8">
        <f t="shared" si="12"/>
        <v>10.235980893429684</v>
      </c>
      <c r="AC40" s="8">
        <f t="shared" si="12"/>
        <v>10.235980893429684</v>
      </c>
      <c r="AD40" s="8">
        <f>(+$K40)*0.0617819869185816</f>
        <v>20.080249956430936</v>
      </c>
      <c r="AE40" s="8">
        <f>(+$K40)*0.0302883930126855</f>
        <v>9.8442690630012564</v>
      </c>
      <c r="AF40" s="8">
        <f>(+$K40)*0.0302883930126855</f>
        <v>9.8442690630012564</v>
      </c>
      <c r="AG40" s="8">
        <f>(+$K40)*0.0603788226723469</f>
        <v>19.624196498139757</v>
      </c>
      <c r="AH40" s="8">
        <f t="shared" si="13"/>
        <v>29.747279281879603</v>
      </c>
      <c r="AI40" s="8">
        <f t="shared" si="13"/>
        <v>29.747279281879603</v>
      </c>
      <c r="AJ40" s="8">
        <f t="shared" si="13"/>
        <v>29.747279281879603</v>
      </c>
      <c r="AK40" s="8">
        <f>(+$K40)*0.0796472557000248</f>
        <v>25.886781610114404</v>
      </c>
      <c r="AL40" s="8">
        <f>(+$K40)*0.0493588626873393</f>
        <v>16.042512547113148</v>
      </c>
      <c r="AM40" s="8">
        <f>(+$K40)*0.0311462342091232</f>
        <v>10.123082783739848</v>
      </c>
      <c r="AN40" s="8">
        <f t="shared" si="14"/>
        <v>9.2651944122364753</v>
      </c>
      <c r="AO40" s="8">
        <f t="shared" si="14"/>
        <v>9.2651944122364753</v>
      </c>
      <c r="AP40" s="8">
        <f t="shared" si="14"/>
        <v>9.2651944122364753</v>
      </c>
      <c r="AQ40" s="8">
        <f t="shared" si="14"/>
        <v>9.2651944122364753</v>
      </c>
      <c r="AR40" s="8">
        <f t="shared" si="14"/>
        <v>9.2651944122364753</v>
      </c>
      <c r="AS40" s="8">
        <f t="shared" si="14"/>
        <v>9.2651944122364753</v>
      </c>
      <c r="AT40" s="8">
        <f t="shared" si="14"/>
        <v>9.2651944122364753</v>
      </c>
      <c r="AU40" s="8">
        <f t="shared" si="14"/>
        <v>9.2651944122364753</v>
      </c>
      <c r="AV40" s="8">
        <f t="shared" si="14"/>
        <v>9.2651944122364753</v>
      </c>
      <c r="AW40" s="8">
        <f t="shared" si="15"/>
        <v>0</v>
      </c>
      <c r="AX40" s="8">
        <f t="shared" si="15"/>
        <v>0</v>
      </c>
      <c r="AY40" s="8">
        <f t="shared" si="15"/>
        <v>0</v>
      </c>
      <c r="AZ40" s="8">
        <f t="shared" si="15"/>
        <v>0</v>
      </c>
      <c r="BY40" s="8" t="str">
        <f>+_xlfn.XLOOKUP(Table1[[#This Row],[L4 Code]],KIRMATAŞ!B:B,KIRMATAŞ!B:B,"")</f>
        <v>D-01.ALT-02.SNT-003</v>
      </c>
      <c r="BZ40" s="8" t="str">
        <f>+_xlfn.XLOOKUP(Table1[[#This Row],[L4 Code]],'SU TEMİNİ'!C:C,'SU TEMİNİ'!C:C,"")</f>
        <v/>
      </c>
      <c r="CA40" s="8" t="str">
        <f>+_xlfn.XLOOKUP(Table1[[#This Row],[L4 Code]],TAŞ!C:C,TAŞ!C:C,"")</f>
        <v/>
      </c>
      <c r="CB40" s="8" t="s">
        <v>5334</v>
      </c>
    </row>
    <row r="41" spans="1:80">
      <c r="A41" s="3" t="s">
        <v>5444</v>
      </c>
      <c r="B41" s="96" t="s">
        <v>17</v>
      </c>
      <c r="C41" t="str">
        <f>+_xlfn.XLOOKUP(B41,'L4'!B:B,'L4'!C:C)</f>
        <v>TÜNELLERDE ÇELIK İKSA YAPILMASI (MLZ.+İŞÇ.)</v>
      </c>
      <c r="D41" t="s">
        <v>4967</v>
      </c>
      <c r="E41" t="str">
        <f>+_xlfn.XLOOKUP(D41,'M2'!H:H,'M2'!I:I)</f>
        <v>PROJE GENELİ</v>
      </c>
      <c r="F41" s="77" t="s">
        <v>4973</v>
      </c>
      <c r="G41" t="s">
        <v>4983</v>
      </c>
      <c r="H41" s="3" t="s">
        <v>4984</v>
      </c>
      <c r="I41" s="3" t="s">
        <v>311</v>
      </c>
      <c r="J41" s="78">
        <v>27310.492999999991</v>
      </c>
      <c r="K41" s="78">
        <f>+M41-SUM(N41:W41)</f>
        <v>25624.579717500001</v>
      </c>
      <c r="L41" s="5">
        <f>+SUM(X41:BT41)-K41</f>
        <v>0</v>
      </c>
      <c r="M41" s="78">
        <f>+SUM(N41:BX41)</f>
        <v>25823.635750000001</v>
      </c>
      <c r="N41" s="8">
        <v>0</v>
      </c>
      <c r="O41" s="8">
        <v>0</v>
      </c>
      <c r="P41" s="8">
        <v>35.462369054262766</v>
      </c>
      <c r="Q41" s="8">
        <v>87.042280945737232</v>
      </c>
      <c r="R41" s="8">
        <v>0</v>
      </c>
      <c r="S41" s="8">
        <v>0</v>
      </c>
      <c r="T41" s="8">
        <v>0</v>
      </c>
      <c r="U41" s="8">
        <v>8.5160705000000974</v>
      </c>
      <c r="V41" s="8">
        <v>68.035311999999976</v>
      </c>
      <c r="W41" s="8">
        <v>0</v>
      </c>
      <c r="X41" s="10">
        <v>160.11287022520145</v>
      </c>
      <c r="Y41" s="8">
        <v>57.781256597899343</v>
      </c>
      <c r="Z41" s="8">
        <v>104.2353565816218</v>
      </c>
      <c r="AA41" s="8">
        <v>227.64257009869544</v>
      </c>
      <c r="AB41" s="8">
        <v>648.25605887252027</v>
      </c>
      <c r="AC41" s="8">
        <v>560.58361584251747</v>
      </c>
      <c r="AD41" s="8">
        <v>578.83792350634303</v>
      </c>
      <c r="AE41" s="8">
        <v>568.32292788402879</v>
      </c>
      <c r="AF41" s="8">
        <v>578.43976740606001</v>
      </c>
      <c r="AG41" s="8">
        <v>752.68996570003947</v>
      </c>
      <c r="AH41" s="8">
        <v>886.12097578627424</v>
      </c>
      <c r="AI41" s="8">
        <v>1029.2568171028836</v>
      </c>
      <c r="AJ41" s="8">
        <v>1168.8797617498651</v>
      </c>
      <c r="AK41" s="8">
        <v>1138.5513413676995</v>
      </c>
      <c r="AL41" s="8">
        <v>886.43689329065137</v>
      </c>
      <c r="AM41" s="8">
        <v>898.50103837232996</v>
      </c>
      <c r="AN41" s="8">
        <v>898.50103837232996</v>
      </c>
      <c r="AO41" s="8">
        <v>865.18270254985168</v>
      </c>
      <c r="AP41" s="8">
        <v>942.41882044490308</v>
      </c>
      <c r="AQ41" s="8">
        <v>997.58179716663858</v>
      </c>
      <c r="AR41" s="8">
        <v>989.47021601618712</v>
      </c>
      <c r="AS41" s="8">
        <v>1151.3855360734372</v>
      </c>
      <c r="AT41" s="8">
        <v>1220.0875017270455</v>
      </c>
      <c r="AU41" s="8">
        <v>1143.4896579490833</v>
      </c>
      <c r="AV41" s="8">
        <v>1143.4896579490833</v>
      </c>
      <c r="AW41" s="8">
        <v>1114.4273139287466</v>
      </c>
      <c r="AX41" s="8">
        <v>1244.9606091631858</v>
      </c>
      <c r="AY41" s="8">
        <v>1240.2273981558367</v>
      </c>
      <c r="AZ41" s="8">
        <v>868.42638820683442</v>
      </c>
      <c r="BA41" s="8">
        <v>558.5658650577866</v>
      </c>
      <c r="BB41" s="8">
        <v>385.51723838271801</v>
      </c>
      <c r="BC41" s="8">
        <v>226.50122467813844</v>
      </c>
      <c r="BD41" s="8">
        <v>226.50122467813844</v>
      </c>
      <c r="BE41" s="8">
        <v>163.19638661542979</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t="str">
        <f>+_xlfn.XLOOKUP(Table1[[#This Row],[L4 Code]],KIRMATAŞ!B:B,KIRMATAŞ!B:B,"")</f>
        <v/>
      </c>
      <c r="BZ41" s="8" t="str">
        <f>+_xlfn.XLOOKUP(Table1[[#This Row],[L4 Code]],'SU TEMİNİ'!C:C,'SU TEMİNİ'!C:C,"")</f>
        <v/>
      </c>
      <c r="CA41" s="8" t="str">
        <f>+_xlfn.XLOOKUP(Table1[[#This Row],[L4 Code]],TAŞ!C:C,TAŞ!C:C,"")</f>
        <v/>
      </c>
      <c r="CB41" s="8" t="s">
        <v>5335</v>
      </c>
    </row>
    <row r="42" spans="1:80">
      <c r="A42" s="3" t="s">
        <v>5444</v>
      </c>
      <c r="B42" s="96" t="s">
        <v>18</v>
      </c>
      <c r="C42" t="str">
        <f>+_xlfn.XLOOKUP(B42,'L4'!B:B,'L4'!C:C)</f>
        <v>SÜREN - TÜNEL - Ø 3.5" - K. DELGILI + ENJEKS.</v>
      </c>
      <c r="D42" t="s">
        <v>4967</v>
      </c>
      <c r="E42" t="str">
        <f>+_xlfn.XLOOKUP(D42,'M2'!H:H,'M2'!I:I)</f>
        <v>PROJE GENELİ</v>
      </c>
      <c r="F42" s="77" t="s">
        <v>4973</v>
      </c>
      <c r="G42" t="s">
        <v>4983</v>
      </c>
      <c r="H42" s="3" t="s">
        <v>4984</v>
      </c>
      <c r="I42" s="3" t="s">
        <v>315</v>
      </c>
      <c r="J42" s="78">
        <v>2472982</v>
      </c>
      <c r="K42" s="78">
        <f>+M42-SUM(N42:W42)</f>
        <v>3254356.8593748328</v>
      </c>
      <c r="L42" s="5">
        <f>+SUM(X42:BT42)-K42</f>
        <v>0</v>
      </c>
      <c r="M42" s="78">
        <f>+SUM(N42:BX42)</f>
        <v>3268318.9999999995</v>
      </c>
      <c r="N42" s="8">
        <v>0</v>
      </c>
      <c r="O42" s="8">
        <v>0</v>
      </c>
      <c r="P42" s="8">
        <v>0</v>
      </c>
      <c r="Q42" s="8">
        <v>0</v>
      </c>
      <c r="R42" s="8">
        <v>2177.1750000380562</v>
      </c>
      <c r="S42" s="8">
        <v>684.96562512844002</v>
      </c>
      <c r="T42" s="8">
        <v>0</v>
      </c>
      <c r="U42" s="8">
        <v>0</v>
      </c>
      <c r="V42" s="8">
        <v>11100</v>
      </c>
      <c r="W42" s="8">
        <v>0</v>
      </c>
      <c r="X42" s="10">
        <v>18048.05768346721</v>
      </c>
      <c r="Y42" s="8">
        <v>34279.664859756318</v>
      </c>
      <c r="Z42" s="8">
        <v>34619.394925359658</v>
      </c>
      <c r="AA42" s="8">
        <v>48259.423988528455</v>
      </c>
      <c r="AB42" s="8">
        <v>88790.350922461643</v>
      </c>
      <c r="AC42" s="8">
        <v>80676.040763785873</v>
      </c>
      <c r="AD42" s="8">
        <v>80756.850622940809</v>
      </c>
      <c r="AE42" s="8">
        <v>79993.623446720012</v>
      </c>
      <c r="AF42" s="8">
        <v>80283.697252024242</v>
      </c>
      <c r="AG42" s="8">
        <v>95836.183809599519</v>
      </c>
      <c r="AH42" s="8">
        <v>108634.07885328037</v>
      </c>
      <c r="AI42" s="8">
        <v>122128.43374426375</v>
      </c>
      <c r="AJ42" s="8">
        <v>135088.31699087867</v>
      </c>
      <c r="AK42" s="8">
        <v>133447.37856200393</v>
      </c>
      <c r="AL42" s="8">
        <v>105130.93583824788</v>
      </c>
      <c r="AM42" s="8">
        <v>104338.67744989211</v>
      </c>
      <c r="AN42" s="8">
        <v>104338.67744989211</v>
      </c>
      <c r="AO42" s="8">
        <v>101117.7873176439</v>
      </c>
      <c r="AP42" s="8">
        <v>110780.45771438857</v>
      </c>
      <c r="AQ42" s="8">
        <v>117899.79966979382</v>
      </c>
      <c r="AR42" s="8">
        <v>117881.59039827064</v>
      </c>
      <c r="AS42" s="8">
        <v>131454.85213252107</v>
      </c>
      <c r="AT42" s="8">
        <v>140321.60057345626</v>
      </c>
      <c r="AU42" s="8">
        <v>131454.85213252107</v>
      </c>
      <c r="AV42" s="8">
        <v>131454.85213252107</v>
      </c>
      <c r="AW42" s="8">
        <v>128233.96200027289</v>
      </c>
      <c r="AX42" s="8">
        <v>144982.59068796362</v>
      </c>
      <c r="AY42" s="8">
        <v>145008.38715595478</v>
      </c>
      <c r="AZ42" s="8">
        <v>109947.72533255073</v>
      </c>
      <c r="BA42" s="8">
        <v>79993.447102642283</v>
      </c>
      <c r="BB42" s="8">
        <v>64211.085454626002</v>
      </c>
      <c r="BC42" s="8">
        <v>50361.257885958657</v>
      </c>
      <c r="BD42" s="8">
        <v>50361.257885958657</v>
      </c>
      <c r="BE42" s="8">
        <v>44241.566634687049</v>
      </c>
      <c r="BF42" s="8">
        <v>0</v>
      </c>
      <c r="BG42" s="8">
        <v>0</v>
      </c>
      <c r="BH42" s="8">
        <v>0</v>
      </c>
      <c r="BI42" s="8">
        <v>0</v>
      </c>
      <c r="BJ42" s="8">
        <v>0</v>
      </c>
      <c r="BK42" s="8">
        <v>0</v>
      </c>
      <c r="BL42" s="8">
        <v>0</v>
      </c>
      <c r="BM42" s="8">
        <v>0</v>
      </c>
      <c r="BN42" s="8">
        <v>0</v>
      </c>
      <c r="BO42" s="8">
        <v>0</v>
      </c>
      <c r="BP42" s="8">
        <v>0</v>
      </c>
      <c r="BQ42" s="8">
        <v>0</v>
      </c>
      <c r="BR42" s="8">
        <v>0</v>
      </c>
      <c r="BS42" s="8">
        <v>0</v>
      </c>
      <c r="BT42" s="8">
        <v>0</v>
      </c>
      <c r="BU42" s="8">
        <v>0</v>
      </c>
      <c r="BV42" s="8">
        <v>0</v>
      </c>
      <c r="BW42" s="8">
        <v>0</v>
      </c>
      <c r="BX42" s="8">
        <v>0</v>
      </c>
      <c r="BY42" s="8" t="str">
        <f>+_xlfn.XLOOKUP(Table1[[#This Row],[L4 Code]],KIRMATAŞ!B:B,KIRMATAŞ!B:B,"")</f>
        <v/>
      </c>
      <c r="BZ42" s="8" t="str">
        <f>+_xlfn.XLOOKUP(Table1[[#This Row],[L4 Code]],'SU TEMİNİ'!C:C,'SU TEMİNİ'!C:C,"")</f>
        <v/>
      </c>
      <c r="CA42" s="8" t="str">
        <f>+_xlfn.XLOOKUP(Table1[[#This Row],[L4 Code]],TAŞ!C:C,TAŞ!C:C,"")</f>
        <v/>
      </c>
      <c r="CB42" s="8" t="s">
        <v>5336</v>
      </c>
    </row>
    <row r="43" spans="1:80">
      <c r="A43" s="3" t="s">
        <v>5444</v>
      </c>
      <c r="B43" s="96" t="s">
        <v>19</v>
      </c>
      <c r="C43" t="str">
        <f>+_xlfn.XLOOKUP(B43,'L4'!B:B,'L4'!C:C)</f>
        <v>SÜREN - TÜNEL - ÇELIK BORU + ENJEKS.</v>
      </c>
      <c r="D43" t="s">
        <v>4967</v>
      </c>
      <c r="E43" t="str">
        <f>+_xlfn.XLOOKUP(D43,'M2'!H:H,'M2'!I:I)</f>
        <v>PROJE GENELİ</v>
      </c>
      <c r="F43" s="77" t="s">
        <v>4973</v>
      </c>
      <c r="G43" t="s">
        <v>4983</v>
      </c>
      <c r="H43" s="3" t="s">
        <v>4984</v>
      </c>
      <c r="I43" s="3" t="s">
        <v>319</v>
      </c>
      <c r="J43" s="78">
        <v>75617.935000000143</v>
      </c>
      <c r="K43" s="78">
        <f>+M43-SUM(N43:W43)</f>
        <v>0</v>
      </c>
      <c r="L43" s="5">
        <f>+SUM(X43:BT43)-K43</f>
        <v>0</v>
      </c>
      <c r="M43" s="78">
        <f>+SUM(N43:BX43)</f>
        <v>11240</v>
      </c>
      <c r="N43" s="8">
        <v>0</v>
      </c>
      <c r="O43" s="8">
        <v>0</v>
      </c>
      <c r="P43" s="8">
        <v>2754.6701608499307</v>
      </c>
      <c r="Q43" s="8">
        <v>6761.3298391500684</v>
      </c>
      <c r="R43" s="8">
        <v>0</v>
      </c>
      <c r="S43" s="8">
        <v>0</v>
      </c>
      <c r="T43" s="8">
        <v>0</v>
      </c>
      <c r="U43" s="8">
        <v>0</v>
      </c>
      <c r="V43" s="8">
        <v>1724</v>
      </c>
      <c r="W43" s="8">
        <v>0</v>
      </c>
      <c r="X43" s="10">
        <v>0</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BX43" s="8">
        <v>0</v>
      </c>
      <c r="BY43" s="8" t="str">
        <f>+_xlfn.XLOOKUP(Table1[[#This Row],[L4 Code]],KIRMATAŞ!B:B,KIRMATAŞ!B:B,"")</f>
        <v/>
      </c>
      <c r="BZ43" s="8" t="str">
        <f>+_xlfn.XLOOKUP(Table1[[#This Row],[L4 Code]],'SU TEMİNİ'!C:C,'SU TEMİNİ'!C:C,"")</f>
        <v/>
      </c>
      <c r="CA43" s="8" t="str">
        <f>+_xlfn.XLOOKUP(Table1[[#This Row],[L4 Code]],TAŞ!C:C,TAŞ!C:C,"")</f>
        <v/>
      </c>
      <c r="CB43" s="8" t="s">
        <v>5337</v>
      </c>
    </row>
    <row r="44" spans="1:80">
      <c r="A44" s="3" t="s">
        <v>5444</v>
      </c>
      <c r="B44" s="96" t="s">
        <v>20</v>
      </c>
      <c r="C44" t="str">
        <f>+_xlfn.XLOOKUP(B44,'L4'!B:B,'L4'!C:C)</f>
        <v>TÜNELDE HASIR ÇELIK ILE İKSA</v>
      </c>
      <c r="D44" t="s">
        <v>4967</v>
      </c>
      <c r="E44" t="str">
        <f>+_xlfn.XLOOKUP(D44,'M2'!H:H,'M2'!I:I)</f>
        <v>PROJE GENELİ</v>
      </c>
      <c r="F44" s="77" t="s">
        <v>4973</v>
      </c>
      <c r="G44" t="s">
        <v>4983</v>
      </c>
      <c r="H44" s="3" t="s">
        <v>4984</v>
      </c>
      <c r="I44" s="3" t="s">
        <v>323</v>
      </c>
      <c r="J44" s="78">
        <v>10547.572</v>
      </c>
      <c r="K44" s="78">
        <f>+M44-SUM(N44:W44)</f>
        <v>30857.138205305208</v>
      </c>
      <c r="L44" s="5">
        <f>+SUM(X44:BT44)-K44</f>
        <v>0</v>
      </c>
      <c r="M44" s="78">
        <f>+SUM(N44:BX44)</f>
        <v>30971.116450000001</v>
      </c>
      <c r="N44" s="8">
        <v>0</v>
      </c>
      <c r="O44" s="8">
        <v>0</v>
      </c>
      <c r="P44" s="8">
        <v>15.707639059422386</v>
      </c>
      <c r="Q44" s="8">
        <v>38.554354050977615</v>
      </c>
      <c r="R44" s="8">
        <v>9.2771675843921617</v>
      </c>
      <c r="S44" s="8">
        <v>0</v>
      </c>
      <c r="T44" s="8">
        <v>0</v>
      </c>
      <c r="U44" s="8">
        <v>4.9855435333333844</v>
      </c>
      <c r="V44" s="8">
        <v>45.453540466666539</v>
      </c>
      <c r="X44" s="10">
        <v>-116.40778869479198</v>
      </c>
      <c r="Y44" s="8">
        <v>425.09725886030537</v>
      </c>
      <c r="Z44" s="8">
        <v>501.16968958871666</v>
      </c>
      <c r="AA44" s="8">
        <v>598.606345888021</v>
      </c>
      <c r="AB44" s="8">
        <v>779.97694165756354</v>
      </c>
      <c r="AC44" s="8">
        <v>728.09814526813818</v>
      </c>
      <c r="AD44" s="8">
        <v>745.10897855517919</v>
      </c>
      <c r="AE44" s="8">
        <v>730.15703658882285</v>
      </c>
      <c r="AF44" s="8">
        <v>789.74493862046575</v>
      </c>
      <c r="AG44" s="8">
        <v>917.78809182678583</v>
      </c>
      <c r="AH44" s="8">
        <v>984.34897036723225</v>
      </c>
      <c r="AI44" s="8">
        <v>1036.1382325837494</v>
      </c>
      <c r="AJ44" s="8">
        <v>1091.2835851743444</v>
      </c>
      <c r="AK44" s="8">
        <v>1046.6711308219028</v>
      </c>
      <c r="AL44" s="8">
        <v>1025.1880984011191</v>
      </c>
      <c r="AM44" s="8">
        <v>1049.6086272109269</v>
      </c>
      <c r="AN44" s="8">
        <v>1049.6086272109269</v>
      </c>
      <c r="AO44" s="8">
        <v>1034.8148725953693</v>
      </c>
      <c r="AP44" s="8">
        <v>1059.5580742922111</v>
      </c>
      <c r="AQ44" s="8">
        <v>1087.0398420230949</v>
      </c>
      <c r="AR44" s="8">
        <v>1070.952156553481</v>
      </c>
      <c r="AS44" s="8">
        <v>1173.663534744863</v>
      </c>
      <c r="AT44" s="8">
        <v>1129.1796887148139</v>
      </c>
      <c r="AU44" s="8">
        <v>1170.2328968979443</v>
      </c>
      <c r="AV44" s="8">
        <v>1170.2328968979443</v>
      </c>
      <c r="AW44" s="8">
        <v>1159.8394380697866</v>
      </c>
      <c r="AX44" s="8">
        <v>1196.447509720075</v>
      </c>
      <c r="AY44" s="8">
        <v>1202.1054509221131</v>
      </c>
      <c r="AZ44" s="8">
        <v>1051.1709478044882</v>
      </c>
      <c r="BA44" s="8">
        <v>913.58902987980332</v>
      </c>
      <c r="BB44" s="8">
        <v>830.97895195255148</v>
      </c>
      <c r="BC44" s="8">
        <v>751.08471269227414</v>
      </c>
      <c r="BD44" s="8">
        <v>751.08471269227414</v>
      </c>
      <c r="BE44" s="8">
        <v>722.97657892271491</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t="str">
        <f>+_xlfn.XLOOKUP(Table1[[#This Row],[L4 Code]],KIRMATAŞ!B:B,KIRMATAŞ!B:B,"")</f>
        <v/>
      </c>
      <c r="BZ44" s="8" t="str">
        <f>+_xlfn.XLOOKUP(Table1[[#This Row],[L4 Code]],'SU TEMİNİ'!C:C,'SU TEMİNİ'!C:C,"")</f>
        <v/>
      </c>
      <c r="CA44" s="8" t="str">
        <f>+_xlfn.XLOOKUP(Table1[[#This Row],[L4 Code]],TAŞ!C:C,TAŞ!C:C,"")</f>
        <v/>
      </c>
      <c r="CB44" s="8" t="s">
        <v>5338</v>
      </c>
    </row>
    <row r="45" spans="1:80">
      <c r="A45" s="3" t="s">
        <v>5444</v>
      </c>
      <c r="B45" s="96"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2031.6359250456358</v>
      </c>
      <c r="L45" s="5">
        <f>-SUM(Y45:BT45)+K45</f>
        <v>0</v>
      </c>
      <c r="M45" s="78">
        <v>3324.3219250456359</v>
      </c>
      <c r="P45" s="8">
        <v>323.02</v>
      </c>
      <c r="Q45" s="8">
        <v>362.56000000000006</v>
      </c>
      <c r="R45" s="8">
        <v>202.17999999999995</v>
      </c>
      <c r="S45" s="8">
        <v>0</v>
      </c>
      <c r="T45" s="8">
        <v>56.886852999999974</v>
      </c>
      <c r="U45" s="8">
        <v>1.4699999996992119E-4</v>
      </c>
      <c r="V45" s="8">
        <v>348.03900000000021</v>
      </c>
      <c r="W45" s="8">
        <v>0</v>
      </c>
      <c r="X45" s="10">
        <v>0</v>
      </c>
      <c r="Z45" s="8">
        <v>32.541208439720918</v>
      </c>
      <c r="AA45" s="8">
        <v>50.705921653592064</v>
      </c>
      <c r="AB45" s="8">
        <v>35.575317759527778</v>
      </c>
      <c r="AC45" s="8">
        <v>45.47665008356455</v>
      </c>
      <c r="AD45" s="8">
        <v>98.000729101570684</v>
      </c>
      <c r="AE45" s="8">
        <v>86.56175290142825</v>
      </c>
      <c r="AF45" s="8">
        <v>74.30241499152541</v>
      </c>
      <c r="AG45" s="8">
        <v>83.527643581621604</v>
      </c>
      <c r="AH45" s="8">
        <v>83.527643581621604</v>
      </c>
      <c r="AI45" s="8">
        <v>71.268305671718565</v>
      </c>
      <c r="AJ45" s="8">
        <v>71.268305671718565</v>
      </c>
      <c r="AK45" s="8">
        <v>87.535431707714565</v>
      </c>
      <c r="AL45" s="8">
        <v>67.253561177896813</v>
      </c>
      <c r="AM45" s="8">
        <v>63.537737422310741</v>
      </c>
      <c r="AN45" s="8">
        <v>48.407133528246248</v>
      </c>
      <c r="AO45" s="8">
        <v>50.382390544144208</v>
      </c>
      <c r="AP45" s="8">
        <v>92.902936242175628</v>
      </c>
      <c r="AQ45" s="8">
        <v>205.162274152078</v>
      </c>
      <c r="AR45" s="8">
        <v>205.162274152078</v>
      </c>
      <c r="AS45" s="8">
        <v>224.34615977466001</v>
      </c>
      <c r="AT45" s="8">
        <v>92.902936242175628</v>
      </c>
      <c r="AU45" s="8">
        <v>80.643598332272802</v>
      </c>
      <c r="AV45" s="8">
        <v>80.643598332272802</v>
      </c>
      <c r="BY45" s="8" t="str">
        <f>+_xlfn.XLOOKUP(Table1[[#This Row],[L4 Code]],KIRMATAŞ!B:B,KIRMATAŞ!B:B,"")</f>
        <v>D-01.ALT-02.SNT-003</v>
      </c>
      <c r="BZ45" s="8" t="str">
        <f>+_xlfn.XLOOKUP(Table1[[#This Row],[L4 Code]],'SU TEMİNİ'!C:C,'SU TEMİNİ'!C:C,"")</f>
        <v/>
      </c>
      <c r="CA45" s="8" t="str">
        <f>+_xlfn.XLOOKUP(Table1[[#This Row],[L4 Code]],TAŞ!C:C,TAŞ!C:C,"")</f>
        <v/>
      </c>
      <c r="CB45" s="8" t="s">
        <v>5339</v>
      </c>
    </row>
    <row r="46" spans="1:80">
      <c r="A46" s="3" t="s">
        <v>5444</v>
      </c>
      <c r="B46" s="96" t="s">
        <v>22</v>
      </c>
      <c r="C46" t="str">
        <f>+_xlfn.XLOOKUP(B46,'L4'!B:B,'L4'!C:C)</f>
        <v>TÜNELLERDE SN KAYA BULONU YAPILMASI</v>
      </c>
      <c r="D46" t="s">
        <v>4967</v>
      </c>
      <c r="E46" t="str">
        <f>+_xlfn.XLOOKUP(D46,'M2'!H:H,'M2'!I:I)</f>
        <v>PROJE GENELİ</v>
      </c>
      <c r="F46" s="77" t="s">
        <v>4973</v>
      </c>
      <c r="G46" t="s">
        <v>4983</v>
      </c>
      <c r="H46" s="3" t="s">
        <v>4984</v>
      </c>
      <c r="I46" s="3" t="s">
        <v>331</v>
      </c>
      <c r="J46" s="78">
        <v>197930.61009422658</v>
      </c>
      <c r="K46" s="78">
        <f>+M46-SUM(N46:W46)</f>
        <v>1305.4000000000378</v>
      </c>
      <c r="L46" s="5">
        <f>+SUM(X46:BT46)-K46</f>
        <v>-2.1145751816220582E-11</v>
      </c>
      <c r="M46" s="78">
        <f t="shared" ref="M46:M53" si="16">+SUM(N46:BX46)</f>
        <v>65838.400000000038</v>
      </c>
      <c r="N46" s="8">
        <v>0</v>
      </c>
      <c r="O46" s="8">
        <v>0</v>
      </c>
      <c r="P46" s="8">
        <v>2735.5646301000261</v>
      </c>
      <c r="Q46" s="8">
        <v>6714.4353698999739</v>
      </c>
      <c r="R46" s="8">
        <v>16633.090625299235</v>
      </c>
      <c r="S46" s="8">
        <v>17802.55586038492</v>
      </c>
      <c r="T46" s="8">
        <v>20647.353514315841</v>
      </c>
      <c r="U46" s="8">
        <v>0</v>
      </c>
      <c r="V46" s="8">
        <v>0</v>
      </c>
      <c r="W46" s="8">
        <v>0</v>
      </c>
      <c r="X46" s="10">
        <v>40.279227313842739</v>
      </c>
      <c r="Y46" s="8">
        <v>91.875024427643496</v>
      </c>
      <c r="Z46" s="8">
        <v>43.266555930426136</v>
      </c>
      <c r="AA46" s="8">
        <v>3.5669304888862801</v>
      </c>
      <c r="AB46" s="8">
        <v>13.857619638965986</v>
      </c>
      <c r="AC46" s="8">
        <v>0</v>
      </c>
      <c r="AD46" s="8">
        <v>0</v>
      </c>
      <c r="AE46" s="8">
        <v>0</v>
      </c>
      <c r="AF46" s="8">
        <v>0</v>
      </c>
      <c r="AG46" s="8">
        <v>0</v>
      </c>
      <c r="AH46" s="8">
        <v>0</v>
      </c>
      <c r="AI46" s="8">
        <v>0</v>
      </c>
      <c r="AJ46" s="8">
        <v>0</v>
      </c>
      <c r="AK46" s="8">
        <v>0</v>
      </c>
      <c r="AL46" s="8">
        <v>29.020455669982596</v>
      </c>
      <c r="AM46" s="8">
        <v>121.23099783900125</v>
      </c>
      <c r="AN46" s="8">
        <v>121.23099783900125</v>
      </c>
      <c r="AO46" s="8">
        <v>121.23099783900125</v>
      </c>
      <c r="AP46" s="8">
        <v>95.886314766371981</v>
      </c>
      <c r="AQ46" s="8">
        <v>68.054308723818053</v>
      </c>
      <c r="AR46" s="8">
        <v>67.387771195929702</v>
      </c>
      <c r="AS46" s="8">
        <v>92.781225307185025</v>
      </c>
      <c r="AT46" s="8">
        <v>73.337837908298354</v>
      </c>
      <c r="AU46" s="8">
        <v>79.775615006926216</v>
      </c>
      <c r="AV46" s="8">
        <v>79.775615006926216</v>
      </c>
      <c r="AW46" s="8">
        <v>85.14042925578309</v>
      </c>
      <c r="AX46" s="8">
        <v>34.581119213526932</v>
      </c>
      <c r="AY46" s="8">
        <v>25.46093499047052</v>
      </c>
      <c r="AZ46" s="8">
        <v>8.8300108190145608</v>
      </c>
      <c r="BA46" s="8">
        <v>8.8300108190145608</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t="str">
        <f>+_xlfn.XLOOKUP(Table1[[#This Row],[L4 Code]],KIRMATAŞ!B:B,KIRMATAŞ!B:B,"")</f>
        <v/>
      </c>
      <c r="BZ46" s="8" t="str">
        <f>+_xlfn.XLOOKUP(Table1[[#This Row],[L4 Code]],'SU TEMİNİ'!C:C,'SU TEMİNİ'!C:C,"")</f>
        <v/>
      </c>
      <c r="CA46" s="8" t="str">
        <f>+_xlfn.XLOOKUP(Table1[[#This Row],[L4 Code]],TAŞ!C:C,TAŞ!C:C,"")</f>
        <v/>
      </c>
      <c r="CB46" s="8" t="s">
        <v>5340</v>
      </c>
    </row>
    <row r="47" spans="1:80">
      <c r="A47" s="3" t="s">
        <v>5444</v>
      </c>
      <c r="B47" s="96" t="s">
        <v>23</v>
      </c>
      <c r="C47" t="str">
        <f>+_xlfn.XLOOKUP(B47,'L4'!B:B,'L4'!C:C)</f>
        <v>TÜNELLERDE IBO BULONU YAPILMASI (MLZ.+İŞÇ.)</v>
      </c>
      <c r="D47" t="s">
        <v>4967</v>
      </c>
      <c r="E47" t="str">
        <f>+_xlfn.XLOOKUP(D47,'M2'!H:H,'M2'!I:I)</f>
        <v>PROJE GENELİ</v>
      </c>
      <c r="F47" s="77" t="s">
        <v>4973</v>
      </c>
      <c r="G47" t="s">
        <v>4983</v>
      </c>
      <c r="H47" s="3" t="s">
        <v>4984</v>
      </c>
      <c r="I47" s="3" t="s">
        <v>335</v>
      </c>
      <c r="J47" s="78">
        <v>2627078.5999999996</v>
      </c>
      <c r="K47" s="78">
        <f>+M47-SUM(N47:W47)</f>
        <v>3803107.3594525112</v>
      </c>
      <c r="L47" s="5">
        <f>+SUM(X47:BT47)-K47</f>
        <v>0</v>
      </c>
      <c r="M47" s="78">
        <f t="shared" si="16"/>
        <v>3826496.169999999</v>
      </c>
      <c r="N47" s="8">
        <v>0</v>
      </c>
      <c r="O47" s="8">
        <v>0</v>
      </c>
      <c r="P47" s="8">
        <v>498.48066592933804</v>
      </c>
      <c r="Q47" s="8">
        <v>1223.5193340706619</v>
      </c>
      <c r="R47" s="8">
        <v>6577.1281251400324</v>
      </c>
      <c r="S47" s="8">
        <v>278.68242234760692</v>
      </c>
      <c r="T47" s="8">
        <v>0</v>
      </c>
      <c r="U47" s="8">
        <v>0</v>
      </c>
      <c r="V47" s="8">
        <v>14811</v>
      </c>
      <c r="W47" s="8">
        <v>0</v>
      </c>
      <c r="X47" s="10"/>
      <c r="Y47" s="8">
        <v>42170.608192314714</v>
      </c>
      <c r="Z47" s="8">
        <v>47157.999743579632</v>
      </c>
      <c r="AA47" s="8">
        <v>61917.386979863441</v>
      </c>
      <c r="AB47" s="8">
        <v>105354.78404655722</v>
      </c>
      <c r="AC47" s="8">
        <v>97484.429251300433</v>
      </c>
      <c r="AD47" s="8">
        <v>100942.16540261918</v>
      </c>
      <c r="AE47" s="8">
        <v>99780.827823001353</v>
      </c>
      <c r="AF47" s="8">
        <v>96957.440156316152</v>
      </c>
      <c r="AG47" s="8">
        <v>111850.76881296691</v>
      </c>
      <c r="AH47" s="8">
        <v>125309.55489347392</v>
      </c>
      <c r="AI47" s="8">
        <v>139811.84014300274</v>
      </c>
      <c r="AJ47" s="8">
        <v>154552.93841908564</v>
      </c>
      <c r="AK47" s="8">
        <v>152056.06262290728</v>
      </c>
      <c r="AL47" s="8">
        <v>122552.19911108453</v>
      </c>
      <c r="AM47" s="8">
        <v>121920.28716118593</v>
      </c>
      <c r="AN47" s="8">
        <v>121920.28716118593</v>
      </c>
      <c r="AO47" s="8">
        <v>118453.3337195605</v>
      </c>
      <c r="AP47" s="8">
        <v>128854.19404443682</v>
      </c>
      <c r="AQ47" s="8">
        <v>136540.4108213108</v>
      </c>
      <c r="AR47" s="8">
        <v>136508.27307296643</v>
      </c>
      <c r="AS47" s="8">
        <v>151149.82189865419</v>
      </c>
      <c r="AT47" s="8">
        <v>160589.47696566899</v>
      </c>
      <c r="AU47" s="8">
        <v>151149.82189865419</v>
      </c>
      <c r="AV47" s="8">
        <v>151149.82189865419</v>
      </c>
      <c r="AW47" s="8">
        <v>147682.86845702876</v>
      </c>
      <c r="AX47" s="8">
        <v>165711.02635348102</v>
      </c>
      <c r="AY47" s="8">
        <v>165756.55483030222</v>
      </c>
      <c r="AZ47" s="8">
        <v>128049.78483314125</v>
      </c>
      <c r="BA47" s="8">
        <v>95807.117826024652</v>
      </c>
      <c r="BB47" s="8">
        <v>78819.04596206003</v>
      </c>
      <c r="BC47" s="8">
        <v>63911.14616307064</v>
      </c>
      <c r="BD47" s="8">
        <v>63911.14616307064</v>
      </c>
      <c r="BE47" s="8">
        <v>57323.934623982299</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t="str">
        <f>+_xlfn.XLOOKUP(Table1[[#This Row],[L4 Code]],KIRMATAŞ!B:B,KIRMATAŞ!B:B,"")</f>
        <v/>
      </c>
      <c r="BZ47" s="8" t="str">
        <f>+_xlfn.XLOOKUP(Table1[[#This Row],[L4 Code]],'SU TEMİNİ'!C:C,'SU TEMİNİ'!C:C,"")</f>
        <v/>
      </c>
      <c r="CA47" s="8" t="str">
        <f>+_xlfn.XLOOKUP(Table1[[#This Row],[L4 Code]],TAŞ!C:C,TAŞ!C:C,"")</f>
        <v/>
      </c>
      <c r="CB47" s="8" t="s">
        <v>5341</v>
      </c>
    </row>
    <row r="48" spans="1:80">
      <c r="A48" s="3" t="s">
        <v>5444</v>
      </c>
      <c r="B48" s="96" t="s">
        <v>24</v>
      </c>
      <c r="C48" t="str">
        <f>+_xlfn.XLOOKUP(B48,'L4'!B:B,'L4'!C:C)</f>
        <v>SU YALITIMI  - TÜNELLERDE</v>
      </c>
      <c r="D48" t="s">
        <v>4967</v>
      </c>
      <c r="E48" t="str">
        <f>+_xlfn.XLOOKUP(D48,'M2'!H:H,'M2'!I:I)</f>
        <v>PROJE GENELİ</v>
      </c>
      <c r="F48" s="77" t="s">
        <v>4973</v>
      </c>
      <c r="G48" t="s">
        <v>4983</v>
      </c>
      <c r="H48" s="3" t="s">
        <v>4984</v>
      </c>
      <c r="I48" s="3" t="s">
        <v>339</v>
      </c>
      <c r="J48" s="78">
        <v>419681.45729999995</v>
      </c>
      <c r="K48" s="78">
        <f>+M48-SUM(N48:W48)</f>
        <v>423379.63384999993</v>
      </c>
      <c r="L48" s="5">
        <f>+SUM(X48:BT48)-K48</f>
        <v>0</v>
      </c>
      <c r="M48" s="78">
        <f t="shared" si="16"/>
        <v>423379.63384999993</v>
      </c>
      <c r="N48" s="8">
        <v>0</v>
      </c>
      <c r="O48" s="8">
        <v>0</v>
      </c>
      <c r="P48" s="8">
        <v>0</v>
      </c>
      <c r="Q48" s="8">
        <v>0</v>
      </c>
      <c r="R48" s="8">
        <v>0</v>
      </c>
      <c r="S48" s="8">
        <v>0</v>
      </c>
      <c r="T48" s="8">
        <v>0</v>
      </c>
      <c r="U48" s="8">
        <v>0</v>
      </c>
      <c r="V48" s="8">
        <v>0</v>
      </c>
      <c r="W48" s="8">
        <v>0</v>
      </c>
      <c r="X48" s="10">
        <v>0</v>
      </c>
      <c r="Y48" s="8">
        <v>0</v>
      </c>
      <c r="Z48" s="8">
        <v>3091.8440997435887</v>
      </c>
      <c r="AA48" s="8">
        <v>3801.1942942961164</v>
      </c>
      <c r="AB48" s="8">
        <v>3843.6144499381408</v>
      </c>
      <c r="AC48" s="8">
        <v>9987.9653490198525</v>
      </c>
      <c r="AD48" s="8">
        <v>12563.137471076905</v>
      </c>
      <c r="AE48" s="8">
        <v>3344.0114697435902</v>
      </c>
      <c r="AF48" s="8">
        <v>2909.9157710769086</v>
      </c>
      <c r="AG48" s="8">
        <v>5295.8991310769097</v>
      </c>
      <c r="AH48" s="8">
        <v>8756.4869870769235</v>
      </c>
      <c r="AI48" s="8">
        <v>8894.379483076922</v>
      </c>
      <c r="AJ48" s="8">
        <v>8804.607123076923</v>
      </c>
      <c r="AK48" s="8">
        <v>7674.2821230769232</v>
      </c>
      <c r="AL48" s="8">
        <v>5270.7491377828119</v>
      </c>
      <c r="AM48" s="8">
        <v>3207.9631377828136</v>
      </c>
      <c r="AN48" s="8">
        <v>2477.3515103318114</v>
      </c>
      <c r="AO48" s="8">
        <v>2807.6050397435893</v>
      </c>
      <c r="AP48" s="8">
        <v>8060.6570397435898</v>
      </c>
      <c r="AQ48" s="8">
        <v>10137.44503974359</v>
      </c>
      <c r="AR48" s="8">
        <v>10137.44503974359</v>
      </c>
      <c r="AS48" s="8">
        <v>10905.926273206624</v>
      </c>
      <c r="AT48" s="8">
        <v>3108.7518646464218</v>
      </c>
      <c r="AU48" s="8">
        <v>2283.0847440237267</v>
      </c>
      <c r="AV48" s="8">
        <v>2270.9327440237248</v>
      </c>
      <c r="AY48" s="8">
        <v>10115.219488047451</v>
      </c>
      <c r="AZ48" s="8">
        <v>13831.592561977435</v>
      </c>
      <c r="BA48" s="8">
        <v>14113.945039743588</v>
      </c>
      <c r="BB48" s="8">
        <v>15957.745039743588</v>
      </c>
      <c r="BC48" s="8">
        <v>28351.91003974359</v>
      </c>
      <c r="BD48" s="8">
        <v>28312.297039743589</v>
      </c>
      <c r="BE48" s="8">
        <v>28666.487039743588</v>
      </c>
      <c r="BF48" s="8">
        <v>25771.94503974359</v>
      </c>
      <c r="BG48" s="8">
        <v>25771.945039743587</v>
      </c>
      <c r="BH48" s="8">
        <v>25065.155039743589</v>
      </c>
      <c r="BI48" s="8">
        <v>24850.045039743589</v>
      </c>
      <c r="BJ48" s="8">
        <v>21129.713039743587</v>
      </c>
      <c r="BK48" s="8">
        <v>16214.180039743589</v>
      </c>
      <c r="BL48" s="8">
        <v>5592.2050397435896</v>
      </c>
      <c r="BM48" s="8">
        <v>0</v>
      </c>
      <c r="BN48" s="8">
        <v>0</v>
      </c>
      <c r="BO48" s="8">
        <v>0</v>
      </c>
      <c r="BP48" s="8">
        <v>0</v>
      </c>
      <c r="BQ48" s="8">
        <v>0</v>
      </c>
      <c r="BR48" s="8">
        <v>0</v>
      </c>
      <c r="BS48" s="8">
        <v>0</v>
      </c>
      <c r="BT48" s="8">
        <v>0</v>
      </c>
      <c r="BU48" s="8">
        <v>0</v>
      </c>
      <c r="BV48" s="8">
        <v>0</v>
      </c>
      <c r="BW48" s="8">
        <v>0</v>
      </c>
      <c r="BX48" s="8">
        <v>0</v>
      </c>
      <c r="BY48" s="8" t="str">
        <f>+_xlfn.XLOOKUP(Table1[[#This Row],[L4 Code]],KIRMATAŞ!B:B,KIRMATAŞ!B:B,"")</f>
        <v/>
      </c>
      <c r="BZ48" s="8" t="str">
        <f>+_xlfn.XLOOKUP(Table1[[#This Row],[L4 Code]],'SU TEMİNİ'!C:C,'SU TEMİNİ'!C:C,"")</f>
        <v/>
      </c>
      <c r="CA48" s="8" t="str">
        <f>+_xlfn.XLOOKUP(Table1[[#This Row],[L4 Code]],TAŞ!C:C,TAŞ!C:C,"")</f>
        <v/>
      </c>
      <c r="CB48" s="8" t="s">
        <v>5342</v>
      </c>
    </row>
    <row r="49" spans="1:80">
      <c r="A49" s="3" t="s">
        <v>5444</v>
      </c>
      <c r="B49" s="96" t="s">
        <v>5187</v>
      </c>
      <c r="C49" t="str">
        <f>+_xlfn.XLOOKUP(B49,'L4'!B:B,'L4'!C:C)</f>
        <v>BETON - DEMİRLİ - BETON DUVAR ALTGEÇİT, BACA, AÇ KAPA</v>
      </c>
      <c r="D49" t="s">
        <v>4967</v>
      </c>
      <c r="E49" t="str">
        <f>+_xlfn.XLOOKUP(D49,'M2'!H:H,'M2'!I:I)</f>
        <v>PROJE GENELİ</v>
      </c>
      <c r="F49" s="77" t="s">
        <v>4973</v>
      </c>
      <c r="G49" t="s">
        <v>4983</v>
      </c>
      <c r="H49" s="3" t="s">
        <v>4984</v>
      </c>
      <c r="I49" s="3" t="s">
        <v>159</v>
      </c>
      <c r="J49" s="78">
        <v>286499.1274745902</v>
      </c>
      <c r="K49" s="78">
        <f>+M49-SUM(N49:X49)</f>
        <v>285463.2094745902</v>
      </c>
      <c r="L49" s="5">
        <f>+SUM(Y49:BT49)-K49</f>
        <v>0</v>
      </c>
      <c r="M49" s="78">
        <f t="shared" si="16"/>
        <v>286499.1274745902</v>
      </c>
      <c r="N49" s="8">
        <v>0</v>
      </c>
      <c r="O49" s="8">
        <v>0</v>
      </c>
      <c r="P49" s="8">
        <v>0</v>
      </c>
      <c r="Q49" s="8">
        <v>0</v>
      </c>
      <c r="R49" s="8">
        <v>5.538487500096811</v>
      </c>
      <c r="S49" s="8">
        <v>6.5198953128267361</v>
      </c>
      <c r="T49" s="8">
        <v>7.4176171870764511</v>
      </c>
      <c r="U49" s="8">
        <v>339.62300000000005</v>
      </c>
      <c r="V49" s="8">
        <v>4.4250000000000114</v>
      </c>
      <c r="W49" s="8">
        <v>283.99860577350512</v>
      </c>
      <c r="X49" s="10">
        <v>388.39539422649494</v>
      </c>
      <c r="Y49" s="8">
        <v>4798.2734444875359</v>
      </c>
      <c r="Z49" s="8">
        <v>8531.6992094490524</v>
      </c>
      <c r="AA49" s="8">
        <v>9013.9791777859118</v>
      </c>
      <c r="AB49" s="8">
        <v>7769.1149094243174</v>
      </c>
      <c r="AC49" s="8">
        <v>10606.26431200823</v>
      </c>
      <c r="AD49" s="8">
        <v>16799.384722406641</v>
      </c>
      <c r="AE49" s="8">
        <v>11714.255567484917</v>
      </c>
      <c r="AF49" s="8">
        <v>10096.232696152359</v>
      </c>
      <c r="AG49" s="8">
        <v>14196.2897175612</v>
      </c>
      <c r="AH49" s="8">
        <v>19131.0055563405</v>
      </c>
      <c r="AI49" s="8">
        <v>17512.982685007933</v>
      </c>
      <c r="AJ49" s="8">
        <v>17512.982685007933</v>
      </c>
      <c r="AK49" s="8">
        <v>15356.425476392538</v>
      </c>
      <c r="AL49" s="8">
        <v>11556.927889840355</v>
      </c>
      <c r="AM49" s="8">
        <v>8947.6934783351844</v>
      </c>
      <c r="AN49" s="8">
        <v>7885.5219139200972</v>
      </c>
      <c r="AO49" s="8">
        <v>8186.859503664924</v>
      </c>
      <c r="AP49" s="8">
        <v>10239.396492779204</v>
      </c>
      <c r="AQ49" s="8">
        <v>10829.812154641029</v>
      </c>
      <c r="AR49" s="8">
        <v>10829.812154641029</v>
      </c>
      <c r="AS49" s="8">
        <v>10829.812154641029</v>
      </c>
      <c r="AT49" s="8">
        <v>10239.396492779204</v>
      </c>
      <c r="AU49" s="8">
        <v>9648.9808309173804</v>
      </c>
      <c r="AV49" s="8">
        <v>9648.9808309173804</v>
      </c>
      <c r="AW49" s="8">
        <v>3010.6386032726364</v>
      </c>
      <c r="AX49" s="8">
        <v>3779.9241057295312</v>
      </c>
      <c r="AY49" s="8">
        <v>3779.9241057295312</v>
      </c>
      <c r="AZ49" s="8">
        <v>3010.6386032726364</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t="str">
        <f>+_xlfn.XLOOKUP(Table1[[#This Row],[L4 Code]],KIRMATAŞ!B:B,KIRMATAŞ!B:B,"")</f>
        <v>D-01.ALT-02.SNT-004</v>
      </c>
      <c r="BZ49" s="8" t="str">
        <f>+_xlfn.XLOOKUP(Table1[[#This Row],[L4 Code]],'SU TEMİNİ'!C:C,'SU TEMİNİ'!C:C,"")</f>
        <v/>
      </c>
      <c r="CA49" s="8" t="str">
        <f>+_xlfn.XLOOKUP(Table1[[#This Row],[L4 Code]],TAŞ!C:C,TAŞ!C:C,"")</f>
        <v/>
      </c>
      <c r="CB49" s="8" t="s">
        <v>5343</v>
      </c>
    </row>
    <row r="50" spans="1:80">
      <c r="A50" s="3" t="s">
        <v>5444</v>
      </c>
      <c r="B50" s="96" t="s">
        <v>2629</v>
      </c>
      <c r="C50" t="str">
        <f>+_xlfn.XLOOKUP(B50,'L4'!B:B,'L4'!C:C)</f>
        <v>DOLGU - İSTIFSIZ TAŞ</v>
      </c>
      <c r="D50" t="s">
        <v>4967</v>
      </c>
      <c r="E50" t="str">
        <f>+_xlfn.XLOOKUP(D50,'M2'!H:H,'M2'!I:I)</f>
        <v>PROJE GENELİ</v>
      </c>
      <c r="F50" s="77" t="s">
        <v>4973</v>
      </c>
      <c r="G50" t="s">
        <v>4983</v>
      </c>
      <c r="H50" s="3" t="s">
        <v>4984</v>
      </c>
      <c r="I50" s="3" t="s">
        <v>224</v>
      </c>
      <c r="J50" s="78">
        <v>47278.753000000012</v>
      </c>
      <c r="K50" s="78">
        <f>+M50-SUM(N50:W50)</f>
        <v>44549.658999999985</v>
      </c>
      <c r="L50" s="5">
        <f>+SUM(X50:BT50)-K50</f>
        <v>0</v>
      </c>
      <c r="M50" s="78">
        <f t="shared" si="16"/>
        <v>47278.752999999982</v>
      </c>
      <c r="N50" s="8">
        <v>0</v>
      </c>
      <c r="O50" s="8">
        <v>0</v>
      </c>
      <c r="P50" s="8">
        <v>0</v>
      </c>
      <c r="Q50" s="8">
        <v>0</v>
      </c>
      <c r="R50" s="8">
        <v>363.64538438135639</v>
      </c>
      <c r="S50" s="8">
        <v>428.08254728707783</v>
      </c>
      <c r="T50" s="8">
        <v>487.02506833156565</v>
      </c>
      <c r="V50" s="8">
        <v>1450.3410000000001</v>
      </c>
      <c r="X50" s="10"/>
      <c r="Y50" s="8">
        <v>2024.9845000000003</v>
      </c>
      <c r="Z50" s="8">
        <v>2024.9845000000003</v>
      </c>
      <c r="AA50" s="8">
        <v>2024.9845000000003</v>
      </c>
      <c r="AB50" s="8">
        <v>2024.9845000000003</v>
      </c>
      <c r="AC50" s="8">
        <v>2024.9845000000003</v>
      </c>
      <c r="AD50" s="8">
        <v>2024.9845000000003</v>
      </c>
      <c r="AE50" s="8">
        <v>2024.9845000000003</v>
      </c>
      <c r="AF50" s="8">
        <v>2024.9845000000003</v>
      </c>
      <c r="AG50" s="8">
        <v>2024.9845000000003</v>
      </c>
      <c r="AH50" s="8">
        <v>2024.9845000000003</v>
      </c>
      <c r="AI50" s="8">
        <v>2024.9845000000003</v>
      </c>
      <c r="AJ50" s="8">
        <v>2024.9845000000003</v>
      </c>
      <c r="AK50" s="8">
        <v>2024.9845000000003</v>
      </c>
      <c r="AL50" s="8">
        <v>2024.9845000000003</v>
      </c>
      <c r="AQ50" s="8">
        <v>2024.9845000000003</v>
      </c>
      <c r="AR50" s="8">
        <v>2024.9845000000003</v>
      </c>
      <c r="AS50" s="8">
        <v>2024.9845000000003</v>
      </c>
      <c r="AT50" s="8">
        <v>2024.9845000000003</v>
      </c>
      <c r="AU50" s="8">
        <v>2024.9845000000003</v>
      </c>
      <c r="AV50" s="8">
        <v>2024.9845000000003</v>
      </c>
      <c r="AW50" s="8">
        <v>2024.9845000000003</v>
      </c>
      <c r="AX50" s="8">
        <v>2024.9845000000003</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t="str">
        <f>+_xlfn.XLOOKUP(Table1[[#This Row],[L4 Code]],KIRMATAŞ!B:B,KIRMATAŞ!B:B,"")</f>
        <v/>
      </c>
      <c r="BZ50" s="8" t="str">
        <f>+_xlfn.XLOOKUP(Table1[[#This Row],[L4 Code]],'SU TEMİNİ'!C:C,'SU TEMİNİ'!C:C,"")</f>
        <v/>
      </c>
      <c r="CA50" s="8" t="str">
        <f>+_xlfn.XLOOKUP(Table1[[#This Row],[L4 Code]],TAŞ!C:C,TAŞ!C:C,"")</f>
        <v>D-01.ALT-02.SNT-033</v>
      </c>
      <c r="CB50" s="8" t="s">
        <v>5344</v>
      </c>
    </row>
    <row r="51" spans="1:80">
      <c r="A51" s="3" t="s">
        <v>5444</v>
      </c>
      <c r="B51" s="96" t="s">
        <v>27</v>
      </c>
      <c r="C51" t="str">
        <f>+_xlfn.XLOOKUP(B51,'L4'!B:B,'L4'!C:C)</f>
        <v>TÜNELDE ENJEKSIYON YAPILMASI</v>
      </c>
      <c r="D51" t="s">
        <v>4967</v>
      </c>
      <c r="E51" t="str">
        <f>+_xlfn.XLOOKUP(D51,'M2'!H:H,'M2'!I:I)</f>
        <v>PROJE GENELİ</v>
      </c>
      <c r="F51" s="77" t="s">
        <v>4973</v>
      </c>
      <c r="G51" t="s">
        <v>4983</v>
      </c>
      <c r="H51" s="3" t="s">
        <v>4984</v>
      </c>
      <c r="I51" s="3" t="s">
        <v>351</v>
      </c>
      <c r="J51" s="78">
        <v>0</v>
      </c>
      <c r="K51" s="78">
        <f>+M51-SUM(N51:W51)</f>
        <v>0</v>
      </c>
      <c r="L51" s="5">
        <f>+SUM(X51:BT51)-K51</f>
        <v>0</v>
      </c>
      <c r="M51" s="78">
        <f t="shared" si="16"/>
        <v>0</v>
      </c>
      <c r="N51" s="8">
        <v>0</v>
      </c>
      <c r="O51" s="8">
        <v>0</v>
      </c>
      <c r="P51" s="8">
        <v>0</v>
      </c>
      <c r="Q51" s="8">
        <v>0</v>
      </c>
      <c r="R51" s="8">
        <v>0</v>
      </c>
      <c r="S51" s="8">
        <v>0</v>
      </c>
      <c r="T51" s="8">
        <v>0</v>
      </c>
      <c r="U51" s="8">
        <v>0</v>
      </c>
      <c r="V51" s="8">
        <v>0</v>
      </c>
      <c r="W51" s="8">
        <v>0</v>
      </c>
      <c r="X51" s="10">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t="str">
        <f>+_xlfn.XLOOKUP(Table1[[#This Row],[L4 Code]],KIRMATAŞ!B:B,KIRMATAŞ!B:B,"")</f>
        <v/>
      </c>
      <c r="BZ51" s="8" t="str">
        <f>+_xlfn.XLOOKUP(Table1[[#This Row],[L4 Code]],'SU TEMİNİ'!C:C,'SU TEMİNİ'!C:C,"")</f>
        <v/>
      </c>
      <c r="CA51" s="8" t="str">
        <f>+_xlfn.XLOOKUP(Table1[[#This Row],[L4 Code]],TAŞ!C:C,TAŞ!C:C,"")</f>
        <v/>
      </c>
      <c r="CB51" s="8" t="s">
        <v>5345</v>
      </c>
    </row>
    <row r="52" spans="1:80">
      <c r="A52" s="3" t="s">
        <v>5444</v>
      </c>
      <c r="B52" s="96" t="s">
        <v>28</v>
      </c>
      <c r="C52" t="str">
        <f>+_xlfn.XLOOKUP(B52,'L4'!B:B,'L4'!C:C)</f>
        <v>ENJEKSIYON AMAÇLI DELIK AÇILMASI</v>
      </c>
      <c r="D52" t="s">
        <v>4967</v>
      </c>
      <c r="E52" t="str">
        <f>+_xlfn.XLOOKUP(D52,'M2'!H:H,'M2'!I:I)</f>
        <v>PROJE GENELİ</v>
      </c>
      <c r="F52" s="77" t="s">
        <v>4973</v>
      </c>
      <c r="G52" t="s">
        <v>4983</v>
      </c>
      <c r="H52" s="3" t="s">
        <v>4984</v>
      </c>
      <c r="I52" s="3" t="s">
        <v>355</v>
      </c>
      <c r="J52" s="78">
        <v>0</v>
      </c>
      <c r="K52" s="78">
        <f>+M52-SUM(N52:W52)</f>
        <v>0</v>
      </c>
      <c r="L52" s="5">
        <f>+SUM(X52:BT52)-K52</f>
        <v>0</v>
      </c>
      <c r="M52" s="78">
        <f t="shared" si="16"/>
        <v>0</v>
      </c>
      <c r="N52" s="8">
        <v>0</v>
      </c>
      <c r="O52" s="8">
        <v>0</v>
      </c>
      <c r="P52" s="8">
        <v>0</v>
      </c>
      <c r="Q52" s="8">
        <v>0</v>
      </c>
      <c r="R52" s="8">
        <v>0</v>
      </c>
      <c r="S52" s="8">
        <v>0</v>
      </c>
      <c r="T52" s="8">
        <v>0</v>
      </c>
      <c r="U52" s="8">
        <v>0</v>
      </c>
      <c r="V52" s="8">
        <v>0</v>
      </c>
      <c r="W52" s="8">
        <v>0</v>
      </c>
      <c r="X52" s="10">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t="str">
        <f>+_xlfn.XLOOKUP(Table1[[#This Row],[L4 Code]],KIRMATAŞ!B:B,KIRMATAŞ!B:B,"")</f>
        <v/>
      </c>
      <c r="BZ52" s="8" t="str">
        <f>+_xlfn.XLOOKUP(Table1[[#This Row],[L4 Code]],'SU TEMİNİ'!C:C,'SU TEMİNİ'!C:C,"")</f>
        <v/>
      </c>
      <c r="CA52" s="8" t="str">
        <f>+_xlfn.XLOOKUP(Table1[[#This Row],[L4 Code]],TAŞ!C:C,TAŞ!C:C,"")</f>
        <v/>
      </c>
      <c r="CB52" s="8" t="s">
        <v>5346</v>
      </c>
    </row>
    <row r="53" spans="1:80">
      <c r="A53" s="3" t="s">
        <v>5444</v>
      </c>
      <c r="B53" s="96" t="s">
        <v>9</v>
      </c>
      <c r="C53" t="str">
        <f>+_xlfn.XLOOKUP(B53,'L4'!B:B,'L4'!C:C)</f>
        <v>DOLGU - KIRMATAŞ</v>
      </c>
      <c r="D53" t="s">
        <v>4967</v>
      </c>
      <c r="E53" t="str">
        <f>+_xlfn.XLOOKUP(D53,'M2'!H:H,'M2'!I:I)</f>
        <v>PROJE GENELİ</v>
      </c>
      <c r="F53" s="77" t="s">
        <v>4973</v>
      </c>
      <c r="G53" t="s">
        <v>4983</v>
      </c>
      <c r="H53" s="3" t="s">
        <v>4984</v>
      </c>
      <c r="I53" s="3" t="s">
        <v>172</v>
      </c>
      <c r="J53" s="78">
        <v>3238.2950000000005</v>
      </c>
      <c r="K53" s="78">
        <f>+M53-SUM(N53:W53)</f>
        <v>3238.2950000000001</v>
      </c>
      <c r="L53" s="5">
        <f>+SUM(X53:BT53)-K53</f>
        <v>0</v>
      </c>
      <c r="M53" s="78">
        <f t="shared" si="16"/>
        <v>3238.2950000000001</v>
      </c>
      <c r="N53" s="8">
        <v>0</v>
      </c>
      <c r="O53" s="8">
        <v>0</v>
      </c>
      <c r="P53" s="8">
        <v>0</v>
      </c>
      <c r="Q53" s="8">
        <v>0</v>
      </c>
      <c r="R53" s="8">
        <v>0</v>
      </c>
      <c r="S53" s="8">
        <v>0</v>
      </c>
      <c r="T53" s="8">
        <v>0</v>
      </c>
      <c r="U53" s="8">
        <v>0</v>
      </c>
      <c r="V53" s="8">
        <v>0</v>
      </c>
      <c r="W53" s="8">
        <v>0</v>
      </c>
      <c r="X53" s="10">
        <v>0</v>
      </c>
      <c r="Y53" s="8">
        <v>0</v>
      </c>
      <c r="Z53" s="8">
        <v>95.472755545212536</v>
      </c>
      <c r="AA53" s="8">
        <v>107.31375839819241</v>
      </c>
      <c r="AB53" s="8">
        <v>113.38556922408308</v>
      </c>
      <c r="AC53" s="8">
        <v>109.41223033974336</v>
      </c>
      <c r="AD53" s="8">
        <v>211.11099964502171</v>
      </c>
      <c r="AE53" s="8">
        <v>88.039676897567148</v>
      </c>
      <c r="AF53" s="8">
        <v>92.959267758629963</v>
      </c>
      <c r="AG53" s="8">
        <v>211.23111839969729</v>
      </c>
      <c r="AH53" s="8">
        <v>337.4847770264123</v>
      </c>
      <c r="AI53" s="8">
        <v>342.40436788747525</v>
      </c>
      <c r="AJ53" s="8">
        <v>342.40436788747525</v>
      </c>
      <c r="AK53" s="8">
        <v>287.72889659657949</v>
      </c>
      <c r="AL53" s="8">
        <v>173.09154321892288</v>
      </c>
      <c r="AM53" s="8">
        <v>100.75638669795016</v>
      </c>
      <c r="AN53" s="8">
        <v>96.128734928356593</v>
      </c>
      <c r="AO53" s="8">
        <v>95.336077410056831</v>
      </c>
      <c r="AP53" s="8">
        <v>78.272864897212656</v>
      </c>
      <c r="AQ53" s="8">
        <v>73.353274036149827</v>
      </c>
      <c r="AR53" s="8">
        <v>73.353274036149827</v>
      </c>
      <c r="AS53" s="8">
        <v>49.066030732587109</v>
      </c>
      <c r="AT53" s="8">
        <v>48.082112560374497</v>
      </c>
      <c r="AU53" s="8">
        <v>53.001703421437313</v>
      </c>
      <c r="AV53" s="8">
        <v>58.905212454712725</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t="str">
        <f>+_xlfn.XLOOKUP(Table1[[#This Row],[L4 Code]],KIRMATAŞ!B:B,KIRMATAŞ!B:B,"")</f>
        <v>D-01.ALT-02.SNT-007</v>
      </c>
      <c r="BZ53" s="8" t="str">
        <f>+_xlfn.XLOOKUP(Table1[[#This Row],[L4 Code]],'SU TEMİNİ'!C:C,'SU TEMİNİ'!C:C,"")</f>
        <v/>
      </c>
      <c r="CA53" s="8" t="str">
        <f>+_xlfn.XLOOKUP(Table1[[#This Row],[L4 Code]],TAŞ!C:C,TAŞ!C:C,"")</f>
        <v/>
      </c>
      <c r="CB53" s="8" t="s">
        <v>5347</v>
      </c>
    </row>
    <row r="54" spans="1:80">
      <c r="A54" s="3" t="s">
        <v>5444</v>
      </c>
      <c r="B54" s="96"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1756.16</v>
      </c>
      <c r="L54" s="5">
        <f>-SUM(Y54:BT54)+K54</f>
        <v>0</v>
      </c>
      <c r="M54" s="78">
        <v>1756.16</v>
      </c>
      <c r="R54" s="8">
        <v>0</v>
      </c>
      <c r="S54" s="8">
        <v>0</v>
      </c>
      <c r="T54" s="8">
        <v>0</v>
      </c>
      <c r="U54" s="8">
        <v>0</v>
      </c>
      <c r="V54" s="8">
        <v>0</v>
      </c>
      <c r="W54" s="8">
        <v>0</v>
      </c>
      <c r="X54" s="10">
        <v>0</v>
      </c>
      <c r="Y54" s="8">
        <f>((+$K54))*0</f>
        <v>0</v>
      </c>
      <c r="Z54" s="8">
        <f>((+$K54))*0.0314935939058961</f>
        <v>55.307789873778503</v>
      </c>
      <c r="AA54" s="8">
        <f>((+$K54))*0.0314935939058961</f>
        <v>55.307789873778503</v>
      </c>
      <c r="AB54" s="8">
        <f>((+$K54))*0.0314935939058961</f>
        <v>55.307789873778503</v>
      </c>
      <c r="AC54" s="8">
        <f>((+$K54))*0.0314935939058961</f>
        <v>55.307789873778503</v>
      </c>
      <c r="AD54" s="8">
        <f>((+$K54))*0.0617819869185816</f>
        <v>108.49905414693626</v>
      </c>
      <c r="AE54" s="8">
        <f>((+$K54))*0.0302883930126855</f>
        <v>53.191264273157771</v>
      </c>
      <c r="AF54" s="8">
        <f>((+$K54))*0.0302883930126855</f>
        <v>53.191264273157771</v>
      </c>
      <c r="AG54" s="8">
        <f>((+$K54))*0.0603788226723469</f>
        <v>106.03487322426874</v>
      </c>
      <c r="AH54" s="8">
        <f>((+$K54))*0.0915250568814701</f>
        <v>160.73264389296253</v>
      </c>
      <c r="AI54" s="8">
        <f>((+$K54))*0.0915250568814701</f>
        <v>160.73264389296253</v>
      </c>
      <c r="AJ54" s="8">
        <f>((+$K54))*0.0915250568814701</f>
        <v>160.73264389296253</v>
      </c>
      <c r="AK54" s="8">
        <f>((+$K54))*0.0796472557000248</f>
        <v>139.87332457015557</v>
      </c>
      <c r="AL54" s="8">
        <f>((+$K54))*0.0493588626873393</f>
        <v>86.68206029699779</v>
      </c>
      <c r="AM54" s="8">
        <f>((+$K54))*0.0311462342091232</f>
        <v>54.697770668693799</v>
      </c>
      <c r="AN54" s="8">
        <f t="shared" ref="AN54:AS54" si="17">((+$K54))*0.0285067228354687</f>
        <v>50.062366374736712</v>
      </c>
      <c r="AO54" s="8">
        <f t="shared" si="17"/>
        <v>50.062366374736712</v>
      </c>
      <c r="AP54" s="8">
        <f t="shared" si="17"/>
        <v>50.062366374736712</v>
      </c>
      <c r="AQ54" s="8">
        <f t="shared" si="17"/>
        <v>50.062366374736712</v>
      </c>
      <c r="AR54" s="8">
        <f t="shared" si="17"/>
        <v>50.062366374736712</v>
      </c>
      <c r="AS54" s="8">
        <f t="shared" si="17"/>
        <v>50.062366374736712</v>
      </c>
      <c r="AT54" s="8">
        <f>(((+$K54))*0.0285067228354687)+0</f>
        <v>50.062366374736712</v>
      </c>
      <c r="AU54" s="8">
        <f>((+$K54))*0.0285067228354687</f>
        <v>50.062366374736712</v>
      </c>
      <c r="AV54" s="8">
        <f>((+$K54))*0.0285067228354687</f>
        <v>50.062366374736712</v>
      </c>
      <c r="AW54" s="8">
        <f>((+$K54))*0</f>
        <v>0</v>
      </c>
      <c r="AX54" s="8">
        <f>((+$K54))*0</f>
        <v>0</v>
      </c>
      <c r="AY54" s="8">
        <f>((+$K54))*0</f>
        <v>0</v>
      </c>
      <c r="AZ54" s="8">
        <f>((+$K54))*0</f>
        <v>0</v>
      </c>
      <c r="BY54" s="8" t="str">
        <f>+_xlfn.XLOOKUP(Table1[[#This Row],[L4 Code]],KIRMATAŞ!B:B,KIRMATAŞ!B:B,"")</f>
        <v>D-01.ALT-02.SNT-007</v>
      </c>
      <c r="BZ54" s="8" t="str">
        <f>+_xlfn.XLOOKUP(Table1[[#This Row],[L4 Code]],'SU TEMİNİ'!C:C,'SU TEMİNİ'!C:C,"")</f>
        <v/>
      </c>
      <c r="CA54" s="8" t="str">
        <f>+_xlfn.XLOOKUP(Table1[[#This Row],[L4 Code]],TAŞ!C:C,TAŞ!C:C,"")</f>
        <v/>
      </c>
      <c r="CB54" s="8" t="s">
        <v>5348</v>
      </c>
    </row>
    <row r="55" spans="1:80">
      <c r="A55" s="3" t="s">
        <v>5444</v>
      </c>
      <c r="B55" s="96" t="s">
        <v>2656</v>
      </c>
      <c r="C55" t="str">
        <f>+_xlfn.XLOOKUP(B55,'L4'!B:B,'L4'!C:C)</f>
        <v>BITÜMLÜ SICAK TEMEL YAPILMASI</v>
      </c>
      <c r="D55" t="s">
        <v>4967</v>
      </c>
      <c r="E55" t="str">
        <f>+_xlfn.XLOOKUP(D55,'M2'!H:H,'M2'!I:I)</f>
        <v>PROJE GENELİ</v>
      </c>
      <c r="F55" s="77" t="s">
        <v>4973</v>
      </c>
      <c r="G55" t="s">
        <v>4983</v>
      </c>
      <c r="H55" s="3" t="s">
        <v>4984</v>
      </c>
      <c r="I55" s="3" t="s">
        <v>370</v>
      </c>
      <c r="J55" s="78">
        <v>11147.21</v>
      </c>
      <c r="K55" s="78">
        <f t="shared" ref="K55:K60" si="18">+M55-SUM(N55:W55)</f>
        <v>11147.21</v>
      </c>
      <c r="L55" s="5">
        <f t="shared" ref="L55:L60" si="19">+SUM(X55:BT55)-K55</f>
        <v>0</v>
      </c>
      <c r="M55" s="78">
        <f t="shared" ref="M55:M60" si="20">+SUM(N55:BX55)</f>
        <v>11147.21</v>
      </c>
      <c r="N55" s="8">
        <v>0</v>
      </c>
      <c r="O55" s="8">
        <v>0</v>
      </c>
      <c r="P55" s="8">
        <v>0</v>
      </c>
      <c r="Q55" s="8">
        <v>0</v>
      </c>
      <c r="R55" s="8">
        <v>0</v>
      </c>
      <c r="S55" s="8">
        <v>0</v>
      </c>
      <c r="T55" s="8">
        <v>0</v>
      </c>
      <c r="U55" s="8">
        <v>0</v>
      </c>
      <c r="V55" s="8">
        <v>0</v>
      </c>
      <c r="W55" s="8">
        <v>0</v>
      </c>
      <c r="X55" s="10">
        <v>0</v>
      </c>
      <c r="Y55" s="8">
        <v>0</v>
      </c>
      <c r="Z55" s="8">
        <v>0</v>
      </c>
      <c r="AA55" s="8">
        <v>0</v>
      </c>
      <c r="AB55" s="8">
        <v>0</v>
      </c>
      <c r="AC55" s="8">
        <v>0</v>
      </c>
      <c r="AD55" s="8">
        <v>0</v>
      </c>
      <c r="AE55" s="8">
        <v>0</v>
      </c>
      <c r="AG55" s="8">
        <v>796.22928571428565</v>
      </c>
      <c r="AH55" s="8">
        <v>796.22928571428565</v>
      </c>
      <c r="AI55" s="8">
        <v>796.22928571428565</v>
      </c>
      <c r="AJ55" s="8">
        <v>796.22928571428565</v>
      </c>
      <c r="AK55" s="8">
        <v>796.22928571428565</v>
      </c>
      <c r="AL55" s="8">
        <v>796.22928571428565</v>
      </c>
      <c r="AM55" s="8">
        <v>796.22928571428565</v>
      </c>
      <c r="AQ55" s="8">
        <v>796.22928571428565</v>
      </c>
      <c r="AR55" s="8">
        <v>796.22928571428565</v>
      </c>
      <c r="AS55" s="8">
        <v>796.22928571428565</v>
      </c>
      <c r="AT55" s="8">
        <v>796.22928571428565</v>
      </c>
      <c r="AU55" s="8">
        <v>796.22928571428565</v>
      </c>
      <c r="AV55" s="8">
        <v>796.22928571428565</v>
      </c>
      <c r="AW55" s="8">
        <v>796.22928571428565</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t="str">
        <f>+_xlfn.XLOOKUP(Table1[[#This Row],[L4 Code]],KIRMATAŞ!B:B,KIRMATAŞ!B:B,"")</f>
        <v/>
      </c>
      <c r="BZ55" s="8" t="str">
        <f>+_xlfn.XLOOKUP(Table1[[#This Row],[L4 Code]],'SU TEMİNİ'!C:C,'SU TEMİNİ'!C:C,"")</f>
        <v/>
      </c>
      <c r="CA55" s="8" t="str">
        <f>+_xlfn.XLOOKUP(Table1[[#This Row],[L4 Code]],TAŞ!C:C,TAŞ!C:C,"")</f>
        <v/>
      </c>
      <c r="CB55" s="8" t="s">
        <v>5349</v>
      </c>
    </row>
    <row r="56" spans="1:80">
      <c r="A56" s="3" t="s">
        <v>5444</v>
      </c>
      <c r="B56" s="96" t="s">
        <v>2657</v>
      </c>
      <c r="C56" t="str">
        <f>+_xlfn.XLOOKUP(B56,'L4'!B:B,'L4'!C:C)</f>
        <v>BINDER TABAKASI YAPILMASI ( BITÜM YÜKLENICI )</v>
      </c>
      <c r="D56" t="s">
        <v>4967</v>
      </c>
      <c r="E56" t="str">
        <f>+_xlfn.XLOOKUP(D56,'M2'!H:H,'M2'!I:I)</f>
        <v>PROJE GENELİ</v>
      </c>
      <c r="F56" s="77" t="s">
        <v>4973</v>
      </c>
      <c r="G56" t="s">
        <v>4983</v>
      </c>
      <c r="H56" s="3" t="s">
        <v>4984</v>
      </c>
      <c r="I56" s="3" t="s">
        <v>374</v>
      </c>
      <c r="J56" s="78">
        <v>12256.919999999998</v>
      </c>
      <c r="K56" s="78">
        <f t="shared" si="18"/>
        <v>12256.919999999998</v>
      </c>
      <c r="L56" s="5">
        <f t="shared" si="19"/>
        <v>0</v>
      </c>
      <c r="M56" s="78">
        <f t="shared" si="20"/>
        <v>12256.919999999998</v>
      </c>
      <c r="N56" s="8">
        <v>0</v>
      </c>
      <c r="O56" s="8">
        <v>0</v>
      </c>
      <c r="P56" s="8">
        <v>0</v>
      </c>
      <c r="Q56" s="8">
        <v>0</v>
      </c>
      <c r="R56" s="8">
        <v>0</v>
      </c>
      <c r="S56" s="8">
        <v>0</v>
      </c>
      <c r="T56" s="8">
        <v>0</v>
      </c>
      <c r="U56" s="8">
        <v>0</v>
      </c>
      <c r="V56" s="8">
        <v>0</v>
      </c>
      <c r="W56" s="8">
        <v>0</v>
      </c>
      <c r="X56" s="10">
        <v>0</v>
      </c>
      <c r="Y56" s="8">
        <v>0</v>
      </c>
      <c r="Z56" s="8">
        <v>0</v>
      </c>
      <c r="AA56" s="8">
        <v>0</v>
      </c>
      <c r="AB56" s="8">
        <v>0</v>
      </c>
      <c r="AC56" s="8">
        <v>0</v>
      </c>
      <c r="AD56" s="8">
        <v>0</v>
      </c>
      <c r="AE56" s="8">
        <v>0</v>
      </c>
      <c r="AG56" s="8">
        <v>875.49428571428575</v>
      </c>
      <c r="AH56" s="8">
        <v>875.49428571428575</v>
      </c>
      <c r="AI56" s="8">
        <v>875.49428571428575</v>
      </c>
      <c r="AJ56" s="8">
        <v>875.49428571428575</v>
      </c>
      <c r="AK56" s="8">
        <v>875.49428571428575</v>
      </c>
      <c r="AL56" s="8">
        <v>875.49428571428575</v>
      </c>
      <c r="AM56" s="8">
        <v>875.49428571428575</v>
      </c>
      <c r="AQ56" s="8">
        <v>875.49428571428575</v>
      </c>
      <c r="AR56" s="8">
        <v>875.49428571428575</v>
      </c>
      <c r="AS56" s="8">
        <v>875.49428571428575</v>
      </c>
      <c r="AT56" s="8">
        <v>875.49428571428575</v>
      </c>
      <c r="AU56" s="8">
        <v>875.49428571428575</v>
      </c>
      <c r="AV56" s="8">
        <v>875.49428571428575</v>
      </c>
      <c r="AW56" s="8">
        <v>875.49428571428575</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t="str">
        <f>+_xlfn.XLOOKUP(Table1[[#This Row],[L4 Code]],KIRMATAŞ!B:B,KIRMATAŞ!B:B,"")</f>
        <v/>
      </c>
      <c r="BZ56" s="8" t="str">
        <f>+_xlfn.XLOOKUP(Table1[[#This Row],[L4 Code]],'SU TEMİNİ'!C:C,'SU TEMİNİ'!C:C,"")</f>
        <v/>
      </c>
      <c r="CA56" s="8" t="str">
        <f>+_xlfn.XLOOKUP(Table1[[#This Row],[L4 Code]],TAŞ!C:C,TAŞ!C:C,"")</f>
        <v/>
      </c>
      <c r="CB56" s="8" t="s">
        <v>5350</v>
      </c>
    </row>
    <row r="57" spans="1:80">
      <c r="A57" s="3" t="s">
        <v>5444</v>
      </c>
      <c r="B57" s="96" t="s">
        <v>2658</v>
      </c>
      <c r="C57" t="str">
        <f>+_xlfn.XLOOKUP(B57,'L4'!B:B,'L4'!C:C)</f>
        <v>AŞINMA TABAKASI YAPILMASI</v>
      </c>
      <c r="D57" t="s">
        <v>4967</v>
      </c>
      <c r="E57" t="str">
        <f>+_xlfn.XLOOKUP(D57,'M2'!H:H,'M2'!I:I)</f>
        <v>PROJE GENELİ</v>
      </c>
      <c r="F57" s="77" t="s">
        <v>4973</v>
      </c>
      <c r="G57" t="s">
        <v>4983</v>
      </c>
      <c r="H57" s="3" t="s">
        <v>4984</v>
      </c>
      <c r="I57" s="3" t="s">
        <v>378</v>
      </c>
      <c r="J57" s="78">
        <v>9699.4599999999991</v>
      </c>
      <c r="K57" s="78">
        <f t="shared" si="18"/>
        <v>9699.4599999999991</v>
      </c>
      <c r="L57" s="5">
        <f t="shared" si="19"/>
        <v>0</v>
      </c>
      <c r="M57" s="78">
        <f t="shared" si="20"/>
        <v>9699.4599999999991</v>
      </c>
      <c r="N57" s="8">
        <v>0</v>
      </c>
      <c r="O57" s="8">
        <v>0</v>
      </c>
      <c r="P57" s="8">
        <v>0</v>
      </c>
      <c r="Q57" s="8">
        <v>0</v>
      </c>
      <c r="R57" s="8">
        <v>0</v>
      </c>
      <c r="S57" s="8">
        <v>0</v>
      </c>
      <c r="T57" s="8">
        <v>0</v>
      </c>
      <c r="U57" s="8">
        <v>0</v>
      </c>
      <c r="V57" s="8">
        <v>0</v>
      </c>
      <c r="W57" s="8">
        <v>0</v>
      </c>
      <c r="X57" s="10">
        <v>0</v>
      </c>
      <c r="Y57" s="8">
        <v>0</v>
      </c>
      <c r="Z57" s="8">
        <v>0</v>
      </c>
      <c r="AA57" s="8">
        <v>0</v>
      </c>
      <c r="AB57" s="8">
        <v>0</v>
      </c>
      <c r="AC57" s="8">
        <v>0</v>
      </c>
      <c r="AD57" s="8">
        <v>0</v>
      </c>
      <c r="AE57" s="8">
        <v>0</v>
      </c>
      <c r="AS57" s="8">
        <v>1616.5766666666666</v>
      </c>
      <c r="AT57" s="8">
        <v>1616.5766666666666</v>
      </c>
      <c r="AU57" s="8">
        <v>1616.5766666666666</v>
      </c>
      <c r="AV57" s="8">
        <v>1616.5766666666666</v>
      </c>
      <c r="AW57" s="8">
        <v>1616.5766666666666</v>
      </c>
      <c r="AX57" s="8">
        <v>1616.5766666666666</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t="str">
        <f>+_xlfn.XLOOKUP(Table1[[#This Row],[L4 Code]],KIRMATAŞ!B:B,KIRMATAŞ!B:B,"")</f>
        <v/>
      </c>
      <c r="BZ57" s="8" t="str">
        <f>+_xlfn.XLOOKUP(Table1[[#This Row],[L4 Code]],'SU TEMİNİ'!C:C,'SU TEMİNİ'!C:C,"")</f>
        <v/>
      </c>
      <c r="CA57" s="8" t="str">
        <f>+_xlfn.XLOOKUP(Table1[[#This Row],[L4 Code]],TAŞ!C:C,TAŞ!C:C,"")</f>
        <v/>
      </c>
      <c r="CB57" s="8" t="s">
        <v>5351</v>
      </c>
    </row>
    <row r="58" spans="1:80">
      <c r="A58" s="3" t="s">
        <v>5444</v>
      </c>
      <c r="B58" s="96" t="s">
        <v>2659</v>
      </c>
      <c r="C58" t="str">
        <f>+_xlfn.XLOOKUP(B58,'L4'!B:B,'L4'!C:C)</f>
        <v>İKI TABAKA ASTARLI BITÜMLÜ SATHI KAPLAMA YP.</v>
      </c>
      <c r="D58" t="s">
        <v>4967</v>
      </c>
      <c r="E58" t="str">
        <f>+_xlfn.XLOOKUP(D58,'M2'!H:H,'M2'!I:I)</f>
        <v>PROJE GENELİ</v>
      </c>
      <c r="F58" s="77" t="s">
        <v>4973</v>
      </c>
      <c r="G58" t="s">
        <v>4983</v>
      </c>
      <c r="H58" s="3" t="s">
        <v>4984</v>
      </c>
      <c r="I58" s="3" t="s">
        <v>382</v>
      </c>
      <c r="J58" s="78">
        <v>148.1</v>
      </c>
      <c r="K58" s="78">
        <f t="shared" si="18"/>
        <v>148.1</v>
      </c>
      <c r="L58" s="5">
        <f t="shared" si="19"/>
        <v>0</v>
      </c>
      <c r="M58" s="78">
        <f t="shared" si="20"/>
        <v>148.1</v>
      </c>
      <c r="N58" s="8">
        <v>0</v>
      </c>
      <c r="O58" s="8">
        <v>0</v>
      </c>
      <c r="P58" s="8">
        <v>0</v>
      </c>
      <c r="Q58" s="8">
        <v>0</v>
      </c>
      <c r="R58" s="8">
        <v>0</v>
      </c>
      <c r="S58" s="8">
        <v>0</v>
      </c>
      <c r="T58" s="8">
        <v>0</v>
      </c>
      <c r="U58" s="8">
        <v>0</v>
      </c>
      <c r="V58" s="8">
        <v>0</v>
      </c>
      <c r="W58" s="8">
        <v>0</v>
      </c>
      <c r="X58" s="10">
        <v>0</v>
      </c>
      <c r="Y58" s="8">
        <v>0</v>
      </c>
      <c r="Z58" s="8">
        <v>0</v>
      </c>
      <c r="AA58" s="8">
        <v>0</v>
      </c>
      <c r="AB58" s="8">
        <v>0</v>
      </c>
      <c r="AC58" s="8">
        <v>0</v>
      </c>
      <c r="AD58" s="8">
        <v>0</v>
      </c>
      <c r="AE58" s="8">
        <v>0</v>
      </c>
      <c r="AT58" s="8">
        <v>24.683333333333334</v>
      </c>
      <c r="AU58" s="8">
        <v>24.683333333333334</v>
      </c>
      <c r="AV58" s="8">
        <v>24.683333333333334</v>
      </c>
      <c r="AW58" s="8">
        <v>24.683333333333334</v>
      </c>
      <c r="AX58" s="8">
        <v>24.683333333333334</v>
      </c>
      <c r="AY58" s="8">
        <v>24.683333333333334</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t="str">
        <f>+_xlfn.XLOOKUP(Table1[[#This Row],[L4 Code]],KIRMATAŞ!B:B,KIRMATAŞ!B:B,"")</f>
        <v/>
      </c>
      <c r="BZ58" s="8" t="str">
        <f>+_xlfn.XLOOKUP(Table1[[#This Row],[L4 Code]],'SU TEMİNİ'!C:C,'SU TEMİNİ'!C:C,"")</f>
        <v/>
      </c>
      <c r="CA58" s="8" t="str">
        <f>+_xlfn.XLOOKUP(Table1[[#This Row],[L4 Code]],TAŞ!C:C,TAŞ!C:C,"")</f>
        <v/>
      </c>
      <c r="CB58" s="8" t="s">
        <v>5352</v>
      </c>
    </row>
    <row r="59" spans="1:80">
      <c r="A59" s="3" t="s">
        <v>5444</v>
      </c>
      <c r="B59" s="96" t="s">
        <v>2661</v>
      </c>
      <c r="C59" t="str">
        <f>+_xlfn.XLOOKUP(B59,'L4'!B:B,'L4'!C:C)</f>
        <v>ALTYAPI AKTARIMLARI</v>
      </c>
      <c r="D59" t="s">
        <v>4967</v>
      </c>
      <c r="E59" t="str">
        <f>+_xlfn.XLOOKUP(D59,'M2'!H:H,'M2'!I:I)</f>
        <v>PROJE GENELİ</v>
      </c>
      <c r="F59" s="77" t="s">
        <v>4973</v>
      </c>
      <c r="G59" t="s">
        <v>4983</v>
      </c>
      <c r="H59" s="3" t="s">
        <v>4984</v>
      </c>
      <c r="I59" s="3" t="s">
        <v>390</v>
      </c>
      <c r="J59" s="78">
        <v>1</v>
      </c>
      <c r="K59" s="78">
        <f t="shared" si="18"/>
        <v>1</v>
      </c>
      <c r="L59" s="5">
        <f t="shared" si="19"/>
        <v>0</v>
      </c>
      <c r="M59" s="78">
        <f t="shared" si="20"/>
        <v>1</v>
      </c>
      <c r="N59" s="8">
        <v>0</v>
      </c>
      <c r="O59" s="8">
        <v>0</v>
      </c>
      <c r="P59" s="8">
        <v>0</v>
      </c>
      <c r="Q59" s="8">
        <v>0</v>
      </c>
      <c r="R59" s="8">
        <v>0</v>
      </c>
      <c r="S59" s="8">
        <v>0</v>
      </c>
      <c r="T59" s="8">
        <v>0</v>
      </c>
      <c r="U59" s="8">
        <v>0</v>
      </c>
      <c r="V59" s="8">
        <v>0</v>
      </c>
      <c r="W59" s="8">
        <v>0</v>
      </c>
      <c r="X59" s="10">
        <v>0</v>
      </c>
      <c r="Y59" s="8">
        <v>0</v>
      </c>
      <c r="Z59" s="8">
        <v>0</v>
      </c>
      <c r="AA59" s="8">
        <v>0</v>
      </c>
      <c r="AB59" s="8">
        <v>0</v>
      </c>
      <c r="AC59" s="8">
        <v>0.10000000000000002</v>
      </c>
      <c r="AD59" s="8">
        <v>0.10000000000000002</v>
      </c>
      <c r="AE59" s="8">
        <v>0.10000000000000002</v>
      </c>
      <c r="AF59" s="8">
        <v>0.10000000000000002</v>
      </c>
      <c r="AG59" s="8">
        <v>0.10000000000000002</v>
      </c>
      <c r="AH59" s="8">
        <v>0.10000000000000002</v>
      </c>
      <c r="AI59" s="8">
        <v>0.10000000000000002</v>
      </c>
      <c r="AJ59" s="8">
        <v>0.10000000000000002</v>
      </c>
      <c r="AK59" s="8">
        <v>0.10000000000000002</v>
      </c>
      <c r="AL59" s="8">
        <v>0.10000000000000002</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t="str">
        <f>+_xlfn.XLOOKUP(Table1[[#This Row],[L4 Code]],KIRMATAŞ!B:B,KIRMATAŞ!B:B,"")</f>
        <v/>
      </c>
      <c r="BZ59" s="8" t="str">
        <f>+_xlfn.XLOOKUP(Table1[[#This Row],[L4 Code]],'SU TEMİNİ'!C:C,'SU TEMİNİ'!C:C,"")</f>
        <v/>
      </c>
      <c r="CA59" s="8" t="str">
        <f>+_xlfn.XLOOKUP(Table1[[#This Row],[L4 Code]],TAŞ!C:C,TAŞ!C:C,"")</f>
        <v/>
      </c>
      <c r="CB59" s="8" t="s">
        <v>5353</v>
      </c>
    </row>
    <row r="60" spans="1:80">
      <c r="A60" s="3" t="s">
        <v>5444</v>
      </c>
      <c r="B60" s="96" t="s">
        <v>2665</v>
      </c>
      <c r="C60" t="str">
        <f>+_xlfn.XLOOKUP(B60,'L4'!B:B,'L4'!C:C)</f>
        <v>ALTYAPI HAT EMNIYETI SERTIFIKASYONU</v>
      </c>
      <c r="D60" t="s">
        <v>4967</v>
      </c>
      <c r="E60" t="str">
        <f>+_xlfn.XLOOKUP(D60,'M2'!H:H,'M2'!I:I)</f>
        <v>PROJE GENELİ</v>
      </c>
      <c r="F60" s="77" t="s">
        <v>4973</v>
      </c>
      <c r="G60" t="s">
        <v>4983</v>
      </c>
      <c r="H60" s="3" t="s">
        <v>4984</v>
      </c>
      <c r="I60" s="3" t="s">
        <v>399</v>
      </c>
      <c r="J60" s="78">
        <v>1</v>
      </c>
      <c r="K60" s="78">
        <f t="shared" si="18"/>
        <v>1</v>
      </c>
      <c r="L60" s="5">
        <f t="shared" si="19"/>
        <v>0</v>
      </c>
      <c r="M60" s="78">
        <f t="shared" si="20"/>
        <v>1</v>
      </c>
      <c r="N60" s="8">
        <v>0</v>
      </c>
      <c r="O60" s="8">
        <v>0</v>
      </c>
      <c r="P60" s="8">
        <v>0</v>
      </c>
      <c r="Q60" s="8">
        <v>0</v>
      </c>
      <c r="R60" s="8">
        <v>0</v>
      </c>
      <c r="S60" s="8">
        <v>0</v>
      </c>
      <c r="T60" s="8">
        <v>0</v>
      </c>
      <c r="U60" s="8">
        <v>0</v>
      </c>
      <c r="V60" s="8">
        <v>0</v>
      </c>
      <c r="W60" s="8">
        <v>0</v>
      </c>
      <c r="X60" s="10">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1</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t="str">
        <f>+_xlfn.XLOOKUP(Table1[[#This Row],[L4 Code]],KIRMATAŞ!B:B,KIRMATAŞ!B:B,"")</f>
        <v/>
      </c>
      <c r="BZ60" s="8" t="str">
        <f>+_xlfn.XLOOKUP(Table1[[#This Row],[L4 Code]],'SU TEMİNİ'!C:C,'SU TEMİNİ'!C:C,"")</f>
        <v/>
      </c>
      <c r="CA60" s="8" t="str">
        <f>+_xlfn.XLOOKUP(Table1[[#This Row],[L4 Code]],TAŞ!C:C,TAŞ!C:C,"")</f>
        <v/>
      </c>
      <c r="CB60" s="8" t="s">
        <v>5354</v>
      </c>
    </row>
    <row r="61" spans="1:80">
      <c r="A61" s="3" t="s">
        <v>5444</v>
      </c>
      <c r="B61" s="96"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 t="shared" ref="K61:K66" si="21">+M61-SUM(N61:X61)</f>
        <v>504.56299999999999</v>
      </c>
      <c r="L61" s="5">
        <f t="shared" ref="L61:L66" si="22">-SUM(Y61:BT61)+K61</f>
        <v>0</v>
      </c>
      <c r="M61" s="78">
        <f>+J61</f>
        <v>504.56299999999999</v>
      </c>
      <c r="T61" s="8">
        <v>0</v>
      </c>
      <c r="U61" s="8">
        <v>0</v>
      </c>
      <c r="V61" s="8">
        <v>0</v>
      </c>
      <c r="W61" s="8">
        <v>0</v>
      </c>
      <c r="X61" s="10">
        <v>0</v>
      </c>
      <c r="Y61" s="8">
        <f>(+$K61)*0</f>
        <v>0</v>
      </c>
      <c r="Z61" s="8">
        <f>(+$K61)*0.0314935939058961</f>
        <v>15.890502221940654</v>
      </c>
      <c r="AA61" s="8">
        <f>(+$K61)*0.0314935939058961</f>
        <v>15.890502221940654</v>
      </c>
      <c r="AB61" s="8">
        <f>(+$K61)*0.0314935939058961</f>
        <v>15.890502221940654</v>
      </c>
      <c r="AC61" s="8">
        <f>(+$K61)*0.0314935939058961</f>
        <v>15.890502221940654</v>
      </c>
      <c r="AD61" s="8">
        <f>(+$K61)*0.0617819869185816</f>
        <v>31.172904665600285</v>
      </c>
      <c r="AE61" s="8">
        <f>(+$K61)*0.0302883930126855</f>
        <v>15.282402443659633</v>
      </c>
      <c r="AF61" s="8">
        <f>((+$K61)*0.0302883930126855)-0</f>
        <v>15.282402443659633</v>
      </c>
      <c r="AG61" s="8">
        <f>(+$K61)*0.0603788226723469</f>
        <v>30.464919904027369</v>
      </c>
      <c r="AH61" s="8">
        <f>(+$K61)*0.0915250568814701</f>
        <v>46.180157275285197</v>
      </c>
      <c r="AI61" s="8">
        <f>(+$K61)*0.0915250568814701</f>
        <v>46.180157275285197</v>
      </c>
      <c r="AJ61" s="8">
        <f>(+$K61)*0.0915250568814701</f>
        <v>46.180157275285197</v>
      </c>
      <c r="AK61" s="8">
        <f>(+$K61)*0.0796472557000248</f>
        <v>40.187058277771612</v>
      </c>
      <c r="AL61" s="8">
        <f>(+$K61)*0.0493588626873393</f>
        <v>24.904655834111978</v>
      </c>
      <c r="AM61" s="8">
        <f>(+$K61)*0.0311462342091232</f>
        <v>15.715237371257828</v>
      </c>
      <c r="AN61" s="8">
        <f t="shared" ref="AN61:AV61" si="23">(+$K61)*0.0285067228354687</f>
        <v>14.383437594032593</v>
      </c>
      <c r="AO61" s="8">
        <f t="shared" si="23"/>
        <v>14.383437594032593</v>
      </c>
      <c r="AP61" s="8">
        <f t="shared" si="23"/>
        <v>14.383437594032593</v>
      </c>
      <c r="AQ61" s="8">
        <f t="shared" si="23"/>
        <v>14.383437594032593</v>
      </c>
      <c r="AR61" s="8">
        <f t="shared" si="23"/>
        <v>14.383437594032593</v>
      </c>
      <c r="AS61" s="8">
        <f t="shared" si="23"/>
        <v>14.383437594032593</v>
      </c>
      <c r="AT61" s="8">
        <f t="shared" si="23"/>
        <v>14.383437594032593</v>
      </c>
      <c r="AU61" s="8">
        <f t="shared" si="23"/>
        <v>14.383437594032593</v>
      </c>
      <c r="AV61" s="8">
        <f t="shared" si="23"/>
        <v>14.383437594032593</v>
      </c>
      <c r="AW61" s="8">
        <f>(+$K61)*0</f>
        <v>0</v>
      </c>
      <c r="AX61" s="8">
        <f>(+$K61)*0</f>
        <v>0</v>
      </c>
      <c r="AY61" s="8">
        <f>(+$K61)*0</f>
        <v>0</v>
      </c>
      <c r="AZ61" s="8">
        <f>(+$K61)*0</f>
        <v>0</v>
      </c>
      <c r="BY61" s="8" t="str">
        <f>+_xlfn.XLOOKUP(Table1[[#This Row],[L4 Code]],KIRMATAŞ!B:B,KIRMATAŞ!B:B,"")</f>
        <v>D-01.ALT-02.SNT-007</v>
      </c>
      <c r="BZ61" s="8" t="str">
        <f>+_xlfn.XLOOKUP(Table1[[#This Row],[L4 Code]],'SU TEMİNİ'!C:C,'SU TEMİNİ'!C:C,"")</f>
        <v/>
      </c>
      <c r="CA61" s="8" t="str">
        <f>+_xlfn.XLOOKUP(Table1[[#This Row],[L4 Code]],TAŞ!C:C,TAŞ!C:C,"")</f>
        <v/>
      </c>
      <c r="CB61" s="8" t="s">
        <v>5355</v>
      </c>
    </row>
    <row r="62" spans="1:80">
      <c r="A62" s="3" t="s">
        <v>5444</v>
      </c>
      <c r="B62" s="96"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 t="shared" si="21"/>
        <v>815.28200000000004</v>
      </c>
      <c r="L62" s="5">
        <f t="shared" si="22"/>
        <v>0</v>
      </c>
      <c r="M62" s="78">
        <v>815.28200000000004</v>
      </c>
      <c r="P62" s="8">
        <v>0</v>
      </c>
      <c r="Q62" s="8">
        <v>0</v>
      </c>
      <c r="R62" s="8">
        <v>0</v>
      </c>
      <c r="S62" s="8">
        <v>0</v>
      </c>
      <c r="T62" s="8">
        <v>0</v>
      </c>
      <c r="U62" s="8">
        <v>0</v>
      </c>
      <c r="V62" s="8">
        <v>0</v>
      </c>
      <c r="W62" s="8">
        <v>0</v>
      </c>
      <c r="X62" s="10">
        <v>0</v>
      </c>
      <c r="Z62" s="8">
        <v>32.188952359068296</v>
      </c>
      <c r="AA62" s="8">
        <v>20.347949506088426</v>
      </c>
      <c r="AB62" s="8">
        <v>14.276138680197745</v>
      </c>
      <c r="AC62" s="8">
        <v>18.249477564537479</v>
      </c>
      <c r="AD62" s="8">
        <v>39.327041542441734</v>
      </c>
      <c r="AE62" s="8">
        <v>34.736656385615447</v>
      </c>
      <c r="AF62" s="8">
        <v>29.817065524552632</v>
      </c>
      <c r="AG62" s="8">
        <v>33.519088472006594</v>
      </c>
      <c r="AH62" s="8">
        <v>33.519088472006594</v>
      </c>
      <c r="AI62" s="8">
        <v>28.599497610943704</v>
      </c>
      <c r="AJ62" s="8">
        <v>28.599497610943704</v>
      </c>
      <c r="AK62" s="8">
        <v>35.127387222159939</v>
      </c>
      <c r="AL62" s="8">
        <v>26.988407316633978</v>
      </c>
      <c r="AM62" s="8">
        <v>25.497271928764874</v>
      </c>
      <c r="AN62" s="8">
        <v>19.425461102874113</v>
      </c>
      <c r="AO62" s="8">
        <v>20.218118621173875</v>
      </c>
      <c r="AP62" s="8">
        <v>37.281331134018053</v>
      </c>
      <c r="AQ62" s="8">
        <v>42.200921995080868</v>
      </c>
      <c r="AR62" s="8">
        <v>42.200921995080868</v>
      </c>
      <c r="AS62" s="8">
        <v>66.488165298643594</v>
      </c>
      <c r="AT62" s="8">
        <v>67.472083470856205</v>
      </c>
      <c r="AU62" s="8">
        <v>62.55249260979339</v>
      </c>
      <c r="AV62" s="8">
        <v>56.648983576517978</v>
      </c>
      <c r="BY62" s="8" t="str">
        <f>+_xlfn.XLOOKUP(Table1[[#This Row],[L4 Code]],KIRMATAŞ!B:B,KIRMATAŞ!B:B,"")</f>
        <v>D-01.ALT-02.SNT-007</v>
      </c>
      <c r="BZ62" s="8" t="str">
        <f>+_xlfn.XLOOKUP(Table1[[#This Row],[L4 Code]],'SU TEMİNİ'!C:C,'SU TEMİNİ'!C:C,"")</f>
        <v/>
      </c>
      <c r="CA62" s="8" t="str">
        <f>+_xlfn.XLOOKUP(Table1[[#This Row],[L4 Code]],TAŞ!C:C,TAŞ!C:C,"")</f>
        <v/>
      </c>
      <c r="CB62" s="8" t="s">
        <v>5356</v>
      </c>
    </row>
    <row r="63" spans="1:80">
      <c r="A63" s="3" t="s">
        <v>5444</v>
      </c>
      <c r="B63" s="96"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 t="shared" si="21"/>
        <v>813.00964489150067</v>
      </c>
      <c r="L63" s="5">
        <f t="shared" si="22"/>
        <v>0</v>
      </c>
      <c r="M63" s="78">
        <v>1700</v>
      </c>
      <c r="R63" s="8">
        <v>393</v>
      </c>
      <c r="S63" s="8">
        <v>-39.189</v>
      </c>
      <c r="T63" s="8">
        <v>326.76600000000002</v>
      </c>
      <c r="U63" s="8">
        <v>7.3551084993823679E-3</v>
      </c>
      <c r="V63" s="8">
        <v>172.98299999999995</v>
      </c>
      <c r="W63" s="8">
        <v>33.423000000000002</v>
      </c>
      <c r="X63" s="10">
        <v>0</v>
      </c>
      <c r="Y63" s="8">
        <f>((+$K63))*0.0234647417611078</f>
        <v>19.077061366669017</v>
      </c>
      <c r="Z63" s="8">
        <f>((+$K63))*0.0160172440537002</f>
        <v>13.0221739002393</v>
      </c>
      <c r="AA63" s="8">
        <f>((+$K63))*0.0249581733757012</f>
        <v>20.291235673319338</v>
      </c>
      <c r="AB63" s="8">
        <f>((+$K63))*0.0175106756682936</f>
        <v>14.236348206889621</v>
      </c>
      <c r="AC63" s="8">
        <f>((+$K63))*0.0223842517859311</f>
        <v>18.198612595641784</v>
      </c>
      <c r="AD63" s="8">
        <f>((+$K63))*0.0482373479881093</f>
        <v>39.217429158320492</v>
      </c>
      <c r="AE63" s="8">
        <f>((+$K63))*0.0426069217591158</f>
        <v>34.639838329298691</v>
      </c>
      <c r="AF63" s="8">
        <f>((+$K63))*0.0365727018682525</f>
        <v>29.733959358630685</v>
      </c>
      <c r="AG63" s="8">
        <f>((+$K63))*0.0411134901445225</f>
        <v>33.425664022648448</v>
      </c>
      <c r="AH63" s="8">
        <f>((+$K63))*0.0411134901445225</f>
        <v>33.425664022648448</v>
      </c>
      <c r="AI63" s="8">
        <f>((+$K63))*0.0350792702536591</f>
        <v>28.519785051980371</v>
      </c>
      <c r="AJ63" s="8">
        <f>((+$K63))*0.0350792702536591</f>
        <v>28.519785051980371</v>
      </c>
      <c r="AK63" s="8">
        <f>((+$K63))*0.0331031561062724</f>
        <v>26.913185190748436</v>
      </c>
      <c r="AL63" s="8">
        <f>((+$K63))*0.0331031561062724</f>
        <v>26.913185190748436</v>
      </c>
      <c r="AM63" s="8">
        <f>((+$K63))*0.0312741749833369</f>
        <v>25.426205897477388</v>
      </c>
      <c r="AN63" s="8">
        <f>((+$K63))*0.0238266772759292</f>
        <v>19.371318431047587</v>
      </c>
      <c r="AO63" s="8">
        <f>((+$K63))*0.0247989267776964</f>
        <v>20.161766653225275</v>
      </c>
      <c r="AP63" s="8">
        <f>((+$K63))*0.0457281420833749</f>
        <v>37.177420556752715</v>
      </c>
      <c r="AQ63" s="8">
        <f>((+$K63))*0.0517623619742382</f>
        <v>42.083299527420714</v>
      </c>
      <c r="AR63" s="8">
        <f>((+$K63))*0.0517623619742382</f>
        <v>42.083299527420714</v>
      </c>
      <c r="AS63" s="8">
        <f>((+$K63))*0.0517623619742382</f>
        <v>42.083299527420714</v>
      </c>
      <c r="AT63" s="8">
        <f>(((+$K63))*0.0457281420833749)+8.11629492957115</f>
        <v>45.293715486323862</v>
      </c>
      <c r="AU63" s="8">
        <f>((+$K63))*0.0396939221925116</f>
        <v>32.271541586084716</v>
      </c>
      <c r="AV63" s="8">
        <f>((+$K63))*0.0396939221925116</f>
        <v>32.271541586084716</v>
      </c>
      <c r="AW63" s="8">
        <f>((+$K63))*0.0297899908296304</f>
        <v>24.219549865718875</v>
      </c>
      <c r="AX63" s="8">
        <f>((+$K63))*0.0370310546986664</f>
        <v>30.106604630520511</v>
      </c>
      <c r="AY63" s="8">
        <f>((+$K63))*0.0370310546986664</f>
        <v>30.106604630520511</v>
      </c>
      <c r="AZ63" s="8">
        <f>((+$K63))*0.0297899908296304</f>
        <v>24.219549865718875</v>
      </c>
      <c r="BY63" s="8" t="str">
        <f>+_xlfn.XLOOKUP(Table1[[#This Row],[L4 Code]],KIRMATAŞ!B:B,KIRMATAŞ!B:B,"")</f>
        <v/>
      </c>
      <c r="BZ63" s="8" t="str">
        <f>+_xlfn.XLOOKUP(Table1[[#This Row],[L4 Code]],'SU TEMİNİ'!C:C,'SU TEMİNİ'!C:C,"")</f>
        <v/>
      </c>
      <c r="CA63" s="8" t="str">
        <f>+_xlfn.XLOOKUP(Table1[[#This Row],[L4 Code]],TAŞ!C:C,TAŞ!C:C,"")</f>
        <v/>
      </c>
      <c r="CB63" s="98" t="s">
        <v>5357</v>
      </c>
    </row>
    <row r="64" spans="1:80">
      <c r="A64" s="3" t="s">
        <v>5444</v>
      </c>
      <c r="B64" s="96"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 t="shared" si="21"/>
        <v>390.30000000000007</v>
      </c>
      <c r="L64" s="5">
        <f t="shared" si="22"/>
        <v>0</v>
      </c>
      <c r="M64" s="78">
        <v>1000</v>
      </c>
      <c r="R64" s="8">
        <v>0</v>
      </c>
      <c r="S64" s="8">
        <v>0</v>
      </c>
      <c r="T64" s="8">
        <v>550.91</v>
      </c>
      <c r="U64" s="8">
        <v>0.01</v>
      </c>
      <c r="V64" s="8">
        <v>58.78</v>
      </c>
      <c r="W64" s="8">
        <v>0</v>
      </c>
      <c r="X64" s="10">
        <v>0</v>
      </c>
      <c r="Y64" s="8">
        <f>(+$K64)*0.0234647417611078</f>
        <v>9.1582887093603755</v>
      </c>
      <c r="Z64" s="8">
        <f>(+$K64)*0.0160172440537002</f>
        <v>6.2515303541591889</v>
      </c>
      <c r="AA64" s="8">
        <f>(+$K64)*0.0249581733757012</f>
        <v>9.7411750685361795</v>
      </c>
      <c r="AB64" s="8">
        <f>(+$K64)*0.0175106756682936</f>
        <v>6.8344167133349938</v>
      </c>
      <c r="AC64" s="8">
        <f>(+$K64)*0.0223842517859311</f>
        <v>8.7365734720489101</v>
      </c>
      <c r="AD64" s="8">
        <f>(+$K64)*0.0482373479881093</f>
        <v>18.827036919759063</v>
      </c>
      <c r="AE64" s="8">
        <f>(+$K64)*0.0426069217591158</f>
        <v>16.6294815625829</v>
      </c>
      <c r="AF64" s="8">
        <f>((+$K64)*0.0365727018682525)--3.89637433075512</f>
        <v>18.170699869934072</v>
      </c>
      <c r="AG64" s="8">
        <f>(+$K64)*0.0411134901445225</f>
        <v>16.046595203407136</v>
      </c>
      <c r="AH64" s="8">
        <f>(+$K64)*0.0411134901445225</f>
        <v>16.046595203407136</v>
      </c>
      <c r="AI64" s="8">
        <f>(+$K64)*0.0350792702536591</f>
        <v>13.691439180003151</v>
      </c>
      <c r="AJ64" s="8">
        <f>(+$K64)*0.0350792702536591</f>
        <v>13.691439180003151</v>
      </c>
      <c r="AK64" s="8">
        <f>(+$K64)*0.0331031561062724</f>
        <v>12.92016182827812</v>
      </c>
      <c r="AL64" s="8">
        <f>(+$K64)*0.0331031561062724</f>
        <v>12.92016182827812</v>
      </c>
      <c r="AM64" s="8">
        <f>(+$K64)*0.0312741749833369</f>
        <v>12.206310495996394</v>
      </c>
      <c r="AN64" s="8">
        <f>(+$K64)*0.0238266772759292</f>
        <v>9.2995521407951678</v>
      </c>
      <c r="AO64" s="8">
        <f>(+$K64)*0.0247989267776964</f>
        <v>9.6790211213349071</v>
      </c>
      <c r="AP64" s="8">
        <f>(+$K64)*0.0457281420833749</f>
        <v>17.847693855141227</v>
      </c>
      <c r="AQ64" s="8">
        <f>(+$K64)*0.0517623619742382</f>
        <v>20.202849878545173</v>
      </c>
      <c r="AR64" s="8">
        <f>(+$K64)*0.0517623619742382</f>
        <v>20.202849878545173</v>
      </c>
      <c r="AS64" s="8">
        <f>(+$K64)*0.0517623619742382</f>
        <v>20.202849878545173</v>
      </c>
      <c r="AT64" s="8">
        <f>(+$K64)*0.0457281420833749</f>
        <v>17.847693855141227</v>
      </c>
      <c r="AU64" s="8">
        <f>(+$K64)*0.0396939221925116</f>
        <v>15.492537831737282</v>
      </c>
      <c r="AV64" s="8">
        <f>(+$K64)*0.0396939221925116</f>
        <v>15.492537831737282</v>
      </c>
      <c r="AW64" s="8">
        <f>(+$K64)*0.0297899908296304</f>
        <v>11.627033420804748</v>
      </c>
      <c r="AX64" s="8">
        <f>(+$K64)*0.0370310546986664</f>
        <v>14.4532206488895</v>
      </c>
      <c r="AY64" s="8">
        <f>(+$K64)*0.0370310546986664</f>
        <v>14.4532206488895</v>
      </c>
      <c r="AZ64" s="8">
        <f>(+$K64)*0.0297899908296304</f>
        <v>11.627033420804748</v>
      </c>
      <c r="BY64" s="8" t="str">
        <f>+_xlfn.XLOOKUP(Table1[[#This Row],[L4 Code]],KIRMATAŞ!B:B,KIRMATAŞ!B:B,"")</f>
        <v/>
      </c>
      <c r="BZ64" s="8" t="str">
        <f>+_xlfn.XLOOKUP(Table1[[#This Row],[L4 Code]],'SU TEMİNİ'!C:C,'SU TEMİNİ'!C:C,"")</f>
        <v/>
      </c>
      <c r="CA64" s="8" t="str">
        <f>+_xlfn.XLOOKUP(Table1[[#This Row],[L4 Code]],TAŞ!C:C,TAŞ!C:C,"")</f>
        <v/>
      </c>
      <c r="CB64" s="98" t="s">
        <v>5358</v>
      </c>
    </row>
    <row r="65" spans="1:80">
      <c r="A65" s="3" t="s">
        <v>5444</v>
      </c>
      <c r="B65" s="96"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 t="shared" si="21"/>
        <v>1005.994</v>
      </c>
      <c r="L65" s="5">
        <f t="shared" si="22"/>
        <v>0</v>
      </c>
      <c r="M65" s="78">
        <v>1600</v>
      </c>
      <c r="T65" s="8">
        <v>392.86505100000005</v>
      </c>
      <c r="U65" s="8">
        <v>0</v>
      </c>
      <c r="V65" s="8">
        <v>201.14094899999992</v>
      </c>
      <c r="W65" s="8">
        <v>0</v>
      </c>
      <c r="X65" s="10">
        <v>0</v>
      </c>
      <c r="Y65" s="8">
        <f>(+$K65)*0.0234647417611078</f>
        <v>23.60538942322388</v>
      </c>
      <c r="Z65" s="8">
        <f>(+$K65)*0.0160172440537002</f>
        <v>16.113251414558079</v>
      </c>
      <c r="AA65" s="8">
        <f>(+$K65)*0.0249581733757012</f>
        <v>25.107772666915153</v>
      </c>
      <c r="AB65" s="8">
        <f>(+$K65)*0.0175106756682936</f>
        <v>17.615634658249352</v>
      </c>
      <c r="AC65" s="8">
        <f>((+$K65)*0.0223842517859311)--0.478231543317569</f>
        <v>22.99665453445354</v>
      </c>
      <c r="AD65" s="8">
        <f>((+$K65)*0.0482373479881093)--0.478231543317569</f>
        <v>49.004714195267603</v>
      </c>
      <c r="AE65" s="8">
        <f>((+$K65)*0.0426069217591158)--0.478231543317569</f>
        <v>43.340539191457509</v>
      </c>
      <c r="AF65" s="8">
        <f>((+$K65)*0.0365727018682525)--0.478231543317569</f>
        <v>37.270150186568372</v>
      </c>
      <c r="AG65" s="8">
        <f>((+$K65)*0.0411134901445225)--0.478231543317569</f>
        <v>41.838155947766339</v>
      </c>
      <c r="AH65" s="8">
        <f>((+$K65)*0.0411134901445225)--0.478231543317569</f>
        <v>41.838155947766339</v>
      </c>
      <c r="AI65" s="8">
        <f>((+$K65)*0.0350792702536591)--0.478231543317569</f>
        <v>35.76776694287711</v>
      </c>
      <c r="AJ65" s="8">
        <f>((+$K65)*0.0350792702536591)--0.478231543317569</f>
        <v>35.76776694287711</v>
      </c>
      <c r="AK65" s="8">
        <f>((+$K65)*0.0331031561062724)--0.478231543317569</f>
        <v>33.779807967290971</v>
      </c>
      <c r="AL65" s="8">
        <f>((+$K65)*0.0331031561062724)--0.478231543317569</f>
        <v>33.779807967290971</v>
      </c>
      <c r="AM65" s="8">
        <f>((+$K65)*0.0312741749833369)--0.478231543317569</f>
        <v>31.939863931504593</v>
      </c>
      <c r="AN65" s="8">
        <f>((+$K65)*0.0238266772759292)--0.478231543317569</f>
        <v>24.447725922838689</v>
      </c>
      <c r="AO65" s="8">
        <f>((+$K65)*0.0247989267776964)--0.478231543317569</f>
        <v>25.425803088119483</v>
      </c>
      <c r="AP65" s="8">
        <f>((+$K65)*0.0457281420833749)--0.478231543317569</f>
        <v>46.480468110340219</v>
      </c>
      <c r="AQ65" s="8">
        <f>((+$K65)*0.0517623619742382)--0.478231543317569</f>
        <v>52.550857115229348</v>
      </c>
      <c r="AR65" s="8">
        <f>((+$K65)*0.0517623619742382)--0.478231543317569</f>
        <v>52.550857115229348</v>
      </c>
      <c r="AS65" s="8">
        <f>((+$K65)*0.0517623619742382)--0.478231543317569</f>
        <v>52.550857115229348</v>
      </c>
      <c r="AT65" s="8">
        <f>((+$K65)*0.0457281420833749)--0.478231543317569</f>
        <v>46.480468110340219</v>
      </c>
      <c r="AU65" s="8">
        <f>((+$K65)*0.0396939221925116)--0.478231543317569</f>
        <v>40.410079105451089</v>
      </c>
      <c r="AV65" s="8">
        <f>((+$K65)*0.0396939221925116)--0.478231543317569</f>
        <v>40.410079105451089</v>
      </c>
      <c r="AW65" s="8">
        <f>((+$K65)*0.0297899908296304)--0.478231543317569</f>
        <v>30.446783577980778</v>
      </c>
      <c r="AX65" s="8">
        <f>(+$K65)*0.0370310546986664</f>
        <v>37.25301884053021</v>
      </c>
      <c r="AY65" s="8">
        <f>(+$K65)*0.0370310546986664</f>
        <v>37.25301884053021</v>
      </c>
      <c r="AZ65" s="8">
        <f>(+$K65)*0.0297899908296304</f>
        <v>29.968552034663208</v>
      </c>
      <c r="BY65" s="8" t="str">
        <f>+_xlfn.XLOOKUP(Table1[[#This Row],[L4 Code]],KIRMATAŞ!B:B,KIRMATAŞ!B:B,"")</f>
        <v/>
      </c>
      <c r="BZ65" s="8" t="str">
        <f>+_xlfn.XLOOKUP(Table1[[#This Row],[L4 Code]],'SU TEMİNİ'!C:C,'SU TEMİNİ'!C:C,"")</f>
        <v/>
      </c>
      <c r="CA65" s="8" t="str">
        <f>+_xlfn.XLOOKUP(Table1[[#This Row],[L4 Code]],TAŞ!C:C,TAŞ!C:C,"")</f>
        <v/>
      </c>
      <c r="CB65" s="8" t="s">
        <v>5359</v>
      </c>
    </row>
    <row r="66" spans="1:80">
      <c r="A66" s="3" t="s">
        <v>5444</v>
      </c>
      <c r="B66" s="96"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 t="shared" si="21"/>
        <v>196.10399999999981</v>
      </c>
      <c r="L66" s="5">
        <f t="shared" si="22"/>
        <v>0</v>
      </c>
      <c r="M66" s="78">
        <v>3500</v>
      </c>
      <c r="P66" s="8">
        <v>891.54</v>
      </c>
      <c r="Q66" s="8">
        <v>1631.98</v>
      </c>
      <c r="R66" s="8">
        <v>463.30000000000018</v>
      </c>
      <c r="S66" s="8">
        <v>0</v>
      </c>
      <c r="T66" s="8">
        <v>-759.23564699999997</v>
      </c>
      <c r="U66" s="8">
        <v>-3.5300000035931589E-4</v>
      </c>
      <c r="V66" s="8">
        <v>1076.3120000000004</v>
      </c>
      <c r="W66" s="8">
        <v>0</v>
      </c>
      <c r="X66" s="10">
        <v>0</v>
      </c>
      <c r="Y66" s="8">
        <v>4.6015297183202799</v>
      </c>
      <c r="Z66" s="8">
        <v>3.1410456279068213</v>
      </c>
      <c r="AA66" s="8">
        <v>4.8943976316685038</v>
      </c>
      <c r="AB66" s="8">
        <v>3.4339135412550452</v>
      </c>
      <c r="AC66" s="8">
        <v>4.3896413122282283</v>
      </c>
      <c r="AD66" s="8">
        <v>9.4595368898601784</v>
      </c>
      <c r="AE66" s="8">
        <v>8.3553877846496363</v>
      </c>
      <c r="AF66" s="8">
        <v>7.1720531271717807</v>
      </c>
      <c r="AG66" s="8">
        <v>8.0625198713014328</v>
      </c>
      <c r="AH66" s="8">
        <v>8.0625198713014328</v>
      </c>
      <c r="AI66" s="8">
        <v>6.8791852138235585</v>
      </c>
      <c r="AJ66" s="8">
        <v>6.8791852138235585</v>
      </c>
      <c r="AK66" s="8">
        <v>8.4493722954933439</v>
      </c>
      <c r="AL66" s="8">
        <v>6.4916613250644373</v>
      </c>
      <c r="AM66" s="8">
        <v>6.1329908109322933</v>
      </c>
      <c r="AN66" s="8">
        <v>4.6725067205188155</v>
      </c>
      <c r="AO66" s="8">
        <v>4.8631687368133703</v>
      </c>
      <c r="AP66" s="8">
        <v>8.9674715751181431</v>
      </c>
      <c r="AQ66" s="8">
        <v>10.150806232595997</v>
      </c>
      <c r="AR66" s="8">
        <v>10.150806232595997</v>
      </c>
      <c r="AS66" s="8">
        <v>10.150806232595997</v>
      </c>
      <c r="AT66" s="8">
        <v>8.9674715751181431</v>
      </c>
      <c r="AU66" s="8">
        <v>7.7841369176402884</v>
      </c>
      <c r="AV66" s="8">
        <v>7.7841369176402884</v>
      </c>
      <c r="AW66" s="8">
        <v>5.8419363616538345</v>
      </c>
      <c r="AX66" s="8">
        <v>7.2619379506272699</v>
      </c>
      <c r="AY66" s="8">
        <v>7.2619379506272699</v>
      </c>
      <c r="AZ66" s="8">
        <v>5.8419363616538345</v>
      </c>
      <c r="BY66" s="8" t="str">
        <f>+_xlfn.XLOOKUP(Table1[[#This Row],[L4 Code]],KIRMATAŞ!B:B,KIRMATAŞ!B:B,"")</f>
        <v/>
      </c>
      <c r="BZ66" s="8" t="str">
        <f>+_xlfn.XLOOKUP(Table1[[#This Row],[L4 Code]],'SU TEMİNİ'!C:C,'SU TEMİNİ'!C:C,"")</f>
        <v/>
      </c>
      <c r="CA66" s="8" t="str">
        <f>+_xlfn.XLOOKUP(Table1[[#This Row],[L4 Code]],TAŞ!C:C,TAŞ!C:C,"")</f>
        <v/>
      </c>
      <c r="CB66" s="8" t="s">
        <v>5360</v>
      </c>
    </row>
    <row r="67" spans="1:80">
      <c r="A67" s="3" t="s">
        <v>5444</v>
      </c>
      <c r="B67" s="96" t="s">
        <v>2624</v>
      </c>
      <c r="C67" t="str">
        <f>+_xlfn.XLOOKUP(B67,'L4'!B:B,'L4'!C:C)</f>
        <v>PREFABRIK DRENAJ VE KONTROL BACASI YAP.</v>
      </c>
      <c r="D67" t="s">
        <v>4967</v>
      </c>
      <c r="E67" t="str">
        <f>+_xlfn.XLOOKUP(D67,'M2'!H:H,'M2'!I:I)</f>
        <v>PROJE GENELİ</v>
      </c>
      <c r="F67" s="77" t="s">
        <v>4973</v>
      </c>
      <c r="G67" t="s">
        <v>4983</v>
      </c>
      <c r="H67" s="3" t="s">
        <v>4984</v>
      </c>
      <c r="I67" s="3" t="s">
        <v>183</v>
      </c>
      <c r="J67" s="78">
        <v>2770.4599999999996</v>
      </c>
      <c r="K67" s="78">
        <f>+M67-SUM(N67:W67)</f>
        <v>2770.4599999999996</v>
      </c>
      <c r="L67" s="5">
        <f>+SUM(X67:BT67)-K67</f>
        <v>0</v>
      </c>
      <c r="M67" s="78">
        <f>+SUM(N67:BX67)</f>
        <v>2770.4599999999996</v>
      </c>
      <c r="N67" s="8">
        <v>0</v>
      </c>
      <c r="O67" s="8">
        <v>0</v>
      </c>
      <c r="P67" s="8">
        <v>0</v>
      </c>
      <c r="Q67" s="8">
        <v>0</v>
      </c>
      <c r="R67" s="8">
        <v>0</v>
      </c>
      <c r="S67" s="8">
        <v>0</v>
      </c>
      <c r="T67" s="8">
        <v>0</v>
      </c>
      <c r="U67" s="8">
        <v>0</v>
      </c>
      <c r="V67" s="8">
        <v>0</v>
      </c>
      <c r="W67" s="8">
        <v>0</v>
      </c>
      <c r="X67" s="10">
        <v>0</v>
      </c>
      <c r="Y67" s="8">
        <v>0</v>
      </c>
      <c r="Z67" s="8">
        <v>0</v>
      </c>
      <c r="AA67" s="8">
        <v>0</v>
      </c>
      <c r="AB67" s="8">
        <v>0</v>
      </c>
      <c r="AC67" s="8">
        <v>0</v>
      </c>
      <c r="AD67" s="8">
        <v>0</v>
      </c>
      <c r="AE67" s="8">
        <v>173.15375</v>
      </c>
      <c r="AF67" s="8">
        <v>173.15375</v>
      </c>
      <c r="AG67" s="8">
        <v>173.15375</v>
      </c>
      <c r="AH67" s="8">
        <v>173.15375</v>
      </c>
      <c r="AI67" s="8">
        <v>173.15375</v>
      </c>
      <c r="AJ67" s="8">
        <v>173.15375</v>
      </c>
      <c r="AK67" s="8">
        <v>173.15375</v>
      </c>
      <c r="AL67" s="8">
        <v>173.15375</v>
      </c>
      <c r="AM67" s="8">
        <v>0</v>
      </c>
      <c r="AN67" s="8">
        <v>0</v>
      </c>
      <c r="AO67" s="8">
        <v>0</v>
      </c>
      <c r="AP67" s="8">
        <v>0</v>
      </c>
      <c r="AQ67" s="8">
        <v>173.15375</v>
      </c>
      <c r="AR67" s="8">
        <v>173.15375</v>
      </c>
      <c r="AS67" s="8">
        <v>173.15375</v>
      </c>
      <c r="AT67" s="8">
        <v>173.15375</v>
      </c>
      <c r="AU67" s="8">
        <v>173.15375</v>
      </c>
      <c r="AV67" s="8">
        <v>173.15375</v>
      </c>
      <c r="AW67" s="8">
        <v>173.15375</v>
      </c>
      <c r="AX67" s="8">
        <v>173.15375</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t="str">
        <f>+_xlfn.XLOOKUP(Table1[[#This Row],[L4 Code]],KIRMATAŞ!B:B,KIRMATAŞ!B:B,"")</f>
        <v>D-01.ALT-02.SNT-009</v>
      </c>
      <c r="BZ67" s="8" t="str">
        <f>+_xlfn.XLOOKUP(Table1[[#This Row],[L4 Code]],'SU TEMİNİ'!C:C,'SU TEMİNİ'!C:C,"")</f>
        <v/>
      </c>
      <c r="CA67" s="8" t="str">
        <f>+_xlfn.XLOOKUP(Table1[[#This Row],[L4 Code]],TAŞ!C:C,TAŞ!C:C,"")</f>
        <v/>
      </c>
      <c r="CB67" s="8" t="s">
        <v>5361</v>
      </c>
    </row>
    <row r="68" spans="1:80">
      <c r="A68" s="3" t="s">
        <v>5444</v>
      </c>
      <c r="B68" s="96" t="s">
        <v>12</v>
      </c>
      <c r="C68" t="str">
        <f>+_xlfn.XLOOKUP(B68,'L4'!B:B,'L4'!C:C)</f>
        <v>PÜSKÜRTME BETONU YAPILMASI</v>
      </c>
      <c r="D68" t="s">
        <v>4967</v>
      </c>
      <c r="E68" t="str">
        <f>+_xlfn.XLOOKUP(D68,'M2'!H:H,'M2'!I:I)</f>
        <v>PROJE GENELİ</v>
      </c>
      <c r="F68" s="77" t="s">
        <v>4973</v>
      </c>
      <c r="G68" t="s">
        <v>4983</v>
      </c>
      <c r="H68" s="3" t="s">
        <v>4984</v>
      </c>
      <c r="I68" s="3" t="s">
        <v>199</v>
      </c>
      <c r="J68" s="78">
        <v>101625.56926146134</v>
      </c>
      <c r="K68" s="78">
        <f>+M68-SUM(N68:W68)</f>
        <v>95649.588195310353</v>
      </c>
      <c r="L68" s="5">
        <f>+SUM(X68:BT68)-K68</f>
        <v>0</v>
      </c>
      <c r="M68" s="78">
        <f>+SUM(N68:BX68)</f>
        <v>101821.50019531035</v>
      </c>
      <c r="N68" s="8">
        <v>0</v>
      </c>
      <c r="O68" s="8">
        <v>0</v>
      </c>
      <c r="P68" s="8">
        <v>1194.615999691267</v>
      </c>
      <c r="Q68" s="8">
        <v>4977.2960003087319</v>
      </c>
      <c r="R68" s="8">
        <v>0</v>
      </c>
      <c r="S68" s="8">
        <v>0</v>
      </c>
      <c r="T68" s="8">
        <v>0</v>
      </c>
      <c r="U68" s="8">
        <v>0</v>
      </c>
      <c r="V68" s="8">
        <v>0</v>
      </c>
      <c r="X68" s="10"/>
      <c r="Y68" s="8">
        <v>4367.3282702416082</v>
      </c>
      <c r="Z68" s="8">
        <v>7578.4364457613001</v>
      </c>
      <c r="AA68" s="8">
        <v>5494.3780669706657</v>
      </c>
      <c r="AB68" s="8">
        <v>5411.1230054307844</v>
      </c>
      <c r="AC68" s="8">
        <v>3331.0553018252181</v>
      </c>
      <c r="AD68" s="8">
        <v>5451.8411411144561</v>
      </c>
      <c r="AE68" s="8">
        <v>10505.322575319033</v>
      </c>
      <c r="AF68" s="8">
        <v>8333.0921467478965</v>
      </c>
      <c r="AG68" s="8">
        <v>7109.8213338901023</v>
      </c>
      <c r="AH68" s="8">
        <v>7109.8213338901023</v>
      </c>
      <c r="AI68" s="8">
        <v>2137.4723204497946</v>
      </c>
      <c r="AJ68" s="8">
        <v>2137.4723204497946</v>
      </c>
      <c r="AK68" s="8">
        <v>2121.826686075392</v>
      </c>
      <c r="AL68" s="8">
        <v>2151.2170087015093</v>
      </c>
      <c r="AM68" s="8">
        <v>2163.9383261346466</v>
      </c>
      <c r="AN68" s="8">
        <v>2215.7387418034723</v>
      </c>
      <c r="AO68" s="8">
        <v>2208.9763458546618</v>
      </c>
      <c r="AP68" s="8">
        <v>2063.4050284740401</v>
      </c>
      <c r="AQ68" s="8">
        <v>2021.4345424310688</v>
      </c>
      <c r="AR68" s="8">
        <v>2021.4345424310688</v>
      </c>
      <c r="AS68" s="8">
        <v>2021.4345424310688</v>
      </c>
      <c r="AT68" s="8">
        <v>2030.3398558216434</v>
      </c>
      <c r="AU68" s="8">
        <v>1847.8092685901452</v>
      </c>
      <c r="AV68" s="8">
        <v>1847.8092685901452</v>
      </c>
      <c r="AW68" s="8">
        <v>1967.0597758806646</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t="str">
        <f>+_xlfn.XLOOKUP(Table1[[#This Row],[L4 Code]],KIRMATAŞ!B:B,KIRMATAŞ!B:B,"")</f>
        <v>D-01.ALT-02.SNT-018</v>
      </c>
      <c r="BZ68" s="8" t="str">
        <f>+_xlfn.XLOOKUP(Table1[[#This Row],[L4 Code]],'SU TEMİNİ'!C:C,'SU TEMİNİ'!C:C,"")</f>
        <v/>
      </c>
      <c r="CA68" s="8" t="str">
        <f>+_xlfn.XLOOKUP(Table1[[#This Row],[L4 Code]],TAŞ!C:C,TAŞ!C:C,"")</f>
        <v/>
      </c>
      <c r="CB68" s="8" t="s">
        <v>5362</v>
      </c>
    </row>
    <row r="69" spans="1:80">
      <c r="A69" s="3" t="s">
        <v>5444</v>
      </c>
      <c r="B69" s="96"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3312.1399000000001</v>
      </c>
      <c r="L69" s="5">
        <f>-SUM(Y69:BT69)+K69</f>
        <v>0</v>
      </c>
      <c r="M69" s="78">
        <v>8500</v>
      </c>
      <c r="R69" s="8">
        <v>343</v>
      </c>
      <c r="S69" s="8">
        <v>762.91</v>
      </c>
      <c r="T69" s="8">
        <v>529.52099999999996</v>
      </c>
      <c r="U69" s="8">
        <v>1062.5190999999995</v>
      </c>
      <c r="V69" s="8">
        <v>1451.63</v>
      </c>
      <c r="W69" s="8">
        <v>1038.2800000000007</v>
      </c>
      <c r="X69" s="10">
        <v>0</v>
      </c>
      <c r="Y69" s="8">
        <f>((+$K69))*0.0234647417611078</f>
        <v>77.718507430161409</v>
      </c>
      <c r="Z69" s="8">
        <f>((+$K69))*0.0160172440537002</f>
        <v>53.051353118298181</v>
      </c>
      <c r="AA69" s="8">
        <f>((+$K69))*0.0249581733757012</f>
        <v>82.664961868777638</v>
      </c>
      <c r="AB69" s="8">
        <f>((+$K69))*0.0175106756682936</f>
        <v>57.997807556914402</v>
      </c>
      <c r="AC69" s="8">
        <f>((+$K69))*0.0223842517859311</f>
        <v>74.139773471828647</v>
      </c>
      <c r="AD69" s="8">
        <f>((+$K69))*0.0482373479881093</f>
        <v>159.76884494160154</v>
      </c>
      <c r="AE69" s="8">
        <f>((+$K69))*0.0426069217591158</f>
        <v>141.12008557454561</v>
      </c>
      <c r="AF69" s="8">
        <f>((+$K69))*0.0365727018682525</f>
        <v>121.13390510864365</v>
      </c>
      <c r="AG69" s="8">
        <f>((+$K69))*0.0411134901445225</f>
        <v>136.17363113592975</v>
      </c>
      <c r="AH69" s="8">
        <f>((+$K69))*0.0411134901445225</f>
        <v>136.17363113592975</v>
      </c>
      <c r="AI69" s="8">
        <f>((+$K69))*0.0350792702536591</f>
        <v>116.18745067002745</v>
      </c>
      <c r="AJ69" s="8">
        <f>((+$K69))*0.0350792702536591</f>
        <v>116.18745067002745</v>
      </c>
      <c r="AK69" s="8">
        <f>((+$K69))*0.0331031561062724</f>
        <v>109.64228415551347</v>
      </c>
      <c r="AL69" s="8">
        <f>((+$K69))*0.0331031561062724</f>
        <v>109.64228415551347</v>
      </c>
      <c r="AM69" s="8">
        <f>((+$K69))*0.0312741749833369</f>
        <v>103.58444280189198</v>
      </c>
      <c r="AN69" s="8">
        <f>((+$K69))*0.0238266772759292</f>
        <v>78.917288490028412</v>
      </c>
      <c r="AO69" s="8">
        <f>((+$K69))*0.0247989267776964</f>
        <v>82.13751485758668</v>
      </c>
      <c r="AP69" s="8">
        <f>((+$K69))*0.0457281420833749</f>
        <v>151.45800394721513</v>
      </c>
      <c r="AQ69" s="8">
        <f>((+$K69))*0.0517623619742382</f>
        <v>171.44418441311711</v>
      </c>
      <c r="AR69" s="8">
        <f>((+$K69))*0.0517623619742382</f>
        <v>171.44418441311711</v>
      </c>
      <c r="AS69" s="8">
        <f>((+$K69))*0.0517623619742382</f>
        <v>171.44418441311711</v>
      </c>
      <c r="AT69" s="8">
        <f>(((+$K69))*0.0457281420833749)+33.0651726523965</f>
        <v>184.52317659961165</v>
      </c>
      <c r="AU69" s="8">
        <f>(((+$K69))*0.0396939221925116)+122.652033806535</f>
        <v>254.12385728784818</v>
      </c>
      <c r="AV69" s="8">
        <f>(((+$K69))*0.0396939221925116)+122.652033806535</f>
        <v>254.12385728784818</v>
      </c>
      <c r="AW69" s="8">
        <f>(((+$K69))*0.0297899908296304)+98.668617247453</f>
        <v>197.33723449490594</v>
      </c>
      <c r="BY69" s="8" t="str">
        <f>+_xlfn.XLOOKUP(Table1[[#This Row],[L4 Code]],KIRMATAŞ!B:B,KIRMATAŞ!B:B,"")</f>
        <v>D-01.ALT-02.SNT-018</v>
      </c>
      <c r="BZ69" s="8" t="str">
        <f>+_xlfn.XLOOKUP(Table1[[#This Row],[L4 Code]],'SU TEMİNİ'!C:C,'SU TEMİNİ'!C:C,"")</f>
        <v/>
      </c>
      <c r="CA69" s="8" t="str">
        <f>+_xlfn.XLOOKUP(Table1[[#This Row],[L4 Code]],TAŞ!C:C,TAŞ!C:C,"")</f>
        <v/>
      </c>
      <c r="CB69" s="8" t="s">
        <v>5363</v>
      </c>
    </row>
    <row r="70" spans="1:80">
      <c r="A70" s="3" t="s">
        <v>5444</v>
      </c>
      <c r="B70" s="96"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363.92999999999938</v>
      </c>
      <c r="L70" s="5">
        <f>-SUM(Y70:BT70)+K70</f>
        <v>0</v>
      </c>
      <c r="M70" s="78">
        <f>+J70</f>
        <v>3500</v>
      </c>
      <c r="R70" s="8">
        <v>1767</v>
      </c>
      <c r="S70" s="8">
        <v>1962.05</v>
      </c>
      <c r="T70" s="8">
        <v>-1431.28</v>
      </c>
      <c r="U70" s="8">
        <v>0</v>
      </c>
      <c r="V70" s="8">
        <v>838.3</v>
      </c>
      <c r="W70" s="8">
        <v>0</v>
      </c>
      <c r="X70" s="10">
        <v>0</v>
      </c>
      <c r="Y70" s="8">
        <f>(+$K70)*0.0234647417611078</f>
        <v>8.5395234691199473</v>
      </c>
      <c r="Z70" s="8">
        <f>(+$K70)*0.0160172440537002</f>
        <v>5.8291556284631039</v>
      </c>
      <c r="AA70" s="8">
        <f>(+$K70)*0.0249581733757012</f>
        <v>9.0830280366189218</v>
      </c>
      <c r="AB70" s="8">
        <f>(+$K70)*0.0175106756682936</f>
        <v>6.3726601959620792</v>
      </c>
      <c r="AC70" s="8">
        <f>(+$K70)*0.0223842517859311</f>
        <v>8.1463007524538913</v>
      </c>
      <c r="AD70" s="8">
        <f>(+$K70)*0.0482373479881093</f>
        <v>17.55501805331259</v>
      </c>
      <c r="AE70" s="8">
        <f>(+$K70)*0.0426069217591158</f>
        <v>15.505937035794986</v>
      </c>
      <c r="AF70" s="8">
        <f>((+$K70)*0.0365727018682525)--3.63312198358113</f>
        <v>16.943025374494237</v>
      </c>
      <c r="AG70" s="8">
        <f>(+$K70)*0.0411134901445225</f>
        <v>14.962432468296049</v>
      </c>
      <c r="AH70" s="8">
        <f>(+$K70)*0.0411134901445225</f>
        <v>14.962432468296049</v>
      </c>
      <c r="AI70" s="8">
        <f>(+$K70)*0.0350792702536591</f>
        <v>12.766398823414136</v>
      </c>
      <c r="AJ70" s="8">
        <f>(+$K70)*0.0350792702536591</f>
        <v>12.766398823414136</v>
      </c>
      <c r="AK70" s="8">
        <f>(+$K70)*0.0331031561062724</f>
        <v>12.047231601755694</v>
      </c>
      <c r="AL70" s="8">
        <f>(+$K70)*0.0331031561062724</f>
        <v>12.047231601755694</v>
      </c>
      <c r="AM70" s="8">
        <f>(+$K70)*0.0312741749833369</f>
        <v>11.381610501685779</v>
      </c>
      <c r="AN70" s="8">
        <f>(+$K70)*0.0238266772759292</f>
        <v>8.6712426610288986</v>
      </c>
      <c r="AO70" s="8">
        <f>(+$K70)*0.0247989267776964</f>
        <v>9.0250734222070346</v>
      </c>
      <c r="AP70" s="8">
        <f>(+$K70)*0.0457281420833749</f>
        <v>16.641842748402599</v>
      </c>
      <c r="AQ70" s="8">
        <f>(+$K70)*0.0517623619742382</f>
        <v>18.837876393284475</v>
      </c>
      <c r="AR70" s="8">
        <f>(+$K70)*0.0517623619742382</f>
        <v>18.837876393284475</v>
      </c>
      <c r="AS70" s="8">
        <f>(+$K70)*0.0517623619742382</f>
        <v>18.837876393284475</v>
      </c>
      <c r="AT70" s="8">
        <f>(+$K70)*0.0457281420833749</f>
        <v>16.641842748402599</v>
      </c>
      <c r="AU70" s="8">
        <f>((+$K70)*0.0396939221925116)+13.4767117364856</f>
        <v>27.922520840006321</v>
      </c>
      <c r="AV70" s="8">
        <f>((+$K70)*0.0396939221925116)+13.4767117364856</f>
        <v>27.922520840006321</v>
      </c>
      <c r="AW70" s="8">
        <f>((+$K70)*0.0297899908296304)+10.8414713626274</f>
        <v>21.682942725254776</v>
      </c>
      <c r="BY70" s="8" t="str">
        <f>+_xlfn.XLOOKUP(Table1[[#This Row],[L4 Code]],KIRMATAŞ!B:B,KIRMATAŞ!B:B,"")</f>
        <v>D-01.ALT-02.SNT-018</v>
      </c>
      <c r="BZ70" s="8" t="str">
        <f>+_xlfn.XLOOKUP(Table1[[#This Row],[L4 Code]],'SU TEMİNİ'!C:C,'SU TEMİNİ'!C:C,"")</f>
        <v/>
      </c>
      <c r="CA70" s="8" t="str">
        <f>+_xlfn.XLOOKUP(Table1[[#This Row],[L4 Code]],TAŞ!C:C,TAŞ!C:C,"")</f>
        <v/>
      </c>
      <c r="CB70" s="8" t="s">
        <v>5364</v>
      </c>
    </row>
    <row r="71" spans="1:80">
      <c r="A71" s="3" t="s">
        <v>5444</v>
      </c>
      <c r="B71" s="96"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335.3122000000003</v>
      </c>
      <c r="L71" s="5">
        <f>-SUM(Y71:BT71)+K71</f>
        <v>0</v>
      </c>
      <c r="M71" s="78">
        <v>5029</v>
      </c>
      <c r="R71" s="8">
        <v>366</v>
      </c>
      <c r="S71" s="8">
        <v>979</v>
      </c>
      <c r="T71" s="8">
        <v>905</v>
      </c>
      <c r="U71" s="8">
        <v>1151.2905000000001</v>
      </c>
      <c r="V71" s="8">
        <v>226.93949999999995</v>
      </c>
      <c r="W71" s="8">
        <v>192.88230000000021</v>
      </c>
      <c r="X71" s="10">
        <v>872.57549999999947</v>
      </c>
      <c r="Y71" s="8">
        <f>(+$K71)*0.0234647417611078</f>
        <v>7.8680141823489373</v>
      </c>
      <c r="Z71" s="8">
        <f>(+$K71)*0.0160172440537002</f>
        <v>5.3707773415831372</v>
      </c>
      <c r="AA71" s="8">
        <f>(+$K71)*0.0249581733757012</f>
        <v>8.3687800225878028</v>
      </c>
      <c r="AB71" s="8">
        <f>(+$K71)*0.0175106756682936</f>
        <v>5.8715431818220027</v>
      </c>
      <c r="AC71" s="8">
        <f>((+$K71)*0.0223842517859311)--0.159401418794958</f>
        <v>7.6651141304894503</v>
      </c>
      <c r="AD71" s="8">
        <f>((+$K71)*0.0482373479881093)--0.159401418794958</f>
        <v>16.333972694853475</v>
      </c>
      <c r="AE71" s="8">
        <f>((+$K71)*0.0426069217591158)--0.159401418794958</f>
        <v>14.44602208907196</v>
      </c>
      <c r="AF71" s="8">
        <f>((+$K71)*0.0365727018682525)--0.159401418794958</f>
        <v>12.422674542182824</v>
      </c>
      <c r="AG71" s="8">
        <f>((+$K71)*0.0411134901445225)--0.159401418794958</f>
        <v>13.945256248833129</v>
      </c>
      <c r="AH71" s="8">
        <f>((+$K71)*0.0411134901445225)--0.159401418794958</f>
        <v>13.945256248833129</v>
      </c>
      <c r="AI71" s="8">
        <f>((+$K71)*0.0350792702536591)--0.159401418794958</f>
        <v>11.921908701943961</v>
      </c>
      <c r="AJ71" s="8">
        <f>((+$K71)*0.0350792702536591)--0.159401418794958</f>
        <v>11.921908701943961</v>
      </c>
      <c r="AK71" s="8">
        <f>((+$K71)*0.0331031561062724)--0.159401418794958</f>
        <v>11.259293519732601</v>
      </c>
      <c r="AL71" s="8">
        <f>((+$K71)*0.0331031561062724)--0.159401418794958</f>
        <v>11.259293519732601</v>
      </c>
      <c r="AM71" s="8">
        <f>((+$K71)*0.0312741749833369)--0.159401418794958</f>
        <v>10.646013835642627</v>
      </c>
      <c r="AN71" s="8">
        <f>((+$K71)*0.0238266772759292)--0.159401418794958</f>
        <v>8.1487769948767923</v>
      </c>
      <c r="AO71" s="8">
        <f>((+$K71)*0.0247989267776964)--0.159401418794958</f>
        <v>8.4747841142632563</v>
      </c>
      <c r="AP71" s="8">
        <f>((+$K71)*0.0457281420833749)--0.159401418794958</f>
        <v>15.492605342683992</v>
      </c>
      <c r="AQ71" s="8">
        <f>((+$K71)*0.0517623619742382)--0.159401418794958</f>
        <v>17.515952889573125</v>
      </c>
      <c r="AR71" s="8">
        <f>((+$K71)*0.0517623619742382)--0.159401418794958</f>
        <v>17.515952889573125</v>
      </c>
      <c r="AS71" s="8">
        <f>((+$K71)*0.0517623619742382)--0.159401418794958</f>
        <v>17.515952889573125</v>
      </c>
      <c r="AT71" s="8">
        <f>((+$K71)*0.0457281420833749)--0.159401418794958</f>
        <v>15.492605342683992</v>
      </c>
      <c r="AU71" s="8">
        <f>(((+$K71)*0.0396939221925116)--0.159401418794958)+12.4169644193302</f>
        <v>25.886222215125059</v>
      </c>
      <c r="AV71" s="8">
        <f>(((+$K71)*0.0396939221925116)--0.159401418794958)+12.4169644193302</f>
        <v>25.886222215125059</v>
      </c>
      <c r="AW71" s="8">
        <f>(((+$K71)*0.0297899908296304)--0.159401418794958)+9.9889473630632</f>
        <v>20.137296144921365</v>
      </c>
      <c r="BY71" s="8" t="str">
        <f>+_xlfn.XLOOKUP(Table1[[#This Row],[L4 Code]],KIRMATAŞ!B:B,KIRMATAŞ!B:B,"")</f>
        <v>D-01.ALT-02.SNT-018</v>
      </c>
      <c r="BZ71" s="8" t="str">
        <f>+_xlfn.XLOOKUP(Table1[[#This Row],[L4 Code]],'SU TEMİNİ'!C:C,'SU TEMİNİ'!C:C,"")</f>
        <v/>
      </c>
      <c r="CA71" s="8" t="str">
        <f>+_xlfn.XLOOKUP(Table1[[#This Row],[L4 Code]],TAŞ!C:C,TAŞ!C:C,"")</f>
        <v/>
      </c>
      <c r="CB71" s="8" t="s">
        <v>5365</v>
      </c>
    </row>
    <row r="72" spans="1:80">
      <c r="A72" s="3" t="s">
        <v>5444</v>
      </c>
      <c r="B72" s="96"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2944.0299999999988</v>
      </c>
      <c r="L72" s="5">
        <f>-SUM(Y72:BT72)+K72</f>
        <v>0</v>
      </c>
      <c r="M72" s="78">
        <v>20000</v>
      </c>
      <c r="P72" s="8">
        <v>1935.6</v>
      </c>
      <c r="Q72" s="8">
        <v>2705.81</v>
      </c>
      <c r="R72" s="8">
        <v>752.8100000000004</v>
      </c>
      <c r="S72" s="8">
        <v>0</v>
      </c>
      <c r="T72" s="8">
        <v>4402.4379999999992</v>
      </c>
      <c r="U72" s="8">
        <v>3116.7651750000005</v>
      </c>
      <c r="V72" s="8">
        <v>1517.3968249999998</v>
      </c>
      <c r="W72" s="8">
        <v>1379</v>
      </c>
      <c r="X72" s="10">
        <v>1246.1500000000015</v>
      </c>
      <c r="Y72" s="8">
        <v>69.080903686954173</v>
      </c>
      <c r="Z72" s="8">
        <v>47.155247011414986</v>
      </c>
      <c r="AA72" s="8">
        <v>73.477611163265578</v>
      </c>
      <c r="AB72" s="8">
        <v>51.551954487726391</v>
      </c>
      <c r="AC72" s="8">
        <v>65.899908785334702</v>
      </c>
      <c r="AD72" s="8">
        <v>142.01219959743338</v>
      </c>
      <c r="AE72" s="8">
        <v>125.43605586648962</v>
      </c>
      <c r="AF72" s="8">
        <v>107.67113148119135</v>
      </c>
      <c r="AG72" s="8">
        <v>121.03934839017853</v>
      </c>
      <c r="AH72" s="8">
        <v>121.03934839017853</v>
      </c>
      <c r="AI72" s="8">
        <v>103.27442400487998</v>
      </c>
      <c r="AJ72" s="8">
        <v>103.27442400487998</v>
      </c>
      <c r="AK72" s="8">
        <v>126.84700729766637</v>
      </c>
      <c r="AL72" s="8">
        <v>97.456684671549098</v>
      </c>
      <c r="AM72" s="8">
        <v>92.072109376193296</v>
      </c>
      <c r="AN72" s="8">
        <v>70.146452700653811</v>
      </c>
      <c r="AO72" s="8">
        <v>73.008784401341501</v>
      </c>
      <c r="AP72" s="8">
        <v>134.62502213771813</v>
      </c>
      <c r="AQ72" s="8">
        <v>152.38994652301642</v>
      </c>
      <c r="AR72" s="8">
        <v>152.38994652301642</v>
      </c>
      <c r="AS72" s="8">
        <v>152.38994652301642</v>
      </c>
      <c r="AT72" s="8">
        <v>134.62502213771813</v>
      </c>
      <c r="AU72" s="8">
        <v>225.88063371693471</v>
      </c>
      <c r="AV72" s="8">
        <v>225.88063371693471</v>
      </c>
      <c r="AW72" s="8">
        <v>175.4052534043135</v>
      </c>
      <c r="BY72" s="8" t="str">
        <f>+_xlfn.XLOOKUP(Table1[[#This Row],[L4 Code]],KIRMATAŞ!B:B,KIRMATAŞ!B:B,"")</f>
        <v>D-01.ALT-02.SNT-018</v>
      </c>
      <c r="BZ72" s="8" t="str">
        <f>+_xlfn.XLOOKUP(Table1[[#This Row],[L4 Code]],'SU TEMİNİ'!C:C,'SU TEMİNİ'!C:C,"")</f>
        <v/>
      </c>
      <c r="CA72" s="8" t="str">
        <f>+_xlfn.XLOOKUP(Table1[[#This Row],[L4 Code]],TAŞ!C:C,TAŞ!C:C,"")</f>
        <v/>
      </c>
      <c r="CB72" s="8" t="s">
        <v>5366</v>
      </c>
    </row>
    <row r="73" spans="1:80">
      <c r="A73" s="3" t="s">
        <v>5444</v>
      </c>
      <c r="B73" s="96" t="s">
        <v>2626</v>
      </c>
      <c r="C73" t="str">
        <f>+_xlfn.XLOOKUP(B73,'L4'!B:B,'L4'!C:C)</f>
        <v>DÖKME KAZIK - Ø 120 CM. - KÖPRÜ HARIÇ</v>
      </c>
      <c r="D73" t="s">
        <v>4967</v>
      </c>
      <c r="E73" t="str">
        <f>+_xlfn.XLOOKUP(D73,'M2'!H:H,'M2'!I:I)</f>
        <v>PROJE GENELİ</v>
      </c>
      <c r="F73" s="77" t="s">
        <v>4973</v>
      </c>
      <c r="G73" t="s">
        <v>4983</v>
      </c>
      <c r="H73" s="3" t="s">
        <v>4984</v>
      </c>
      <c r="I73" s="3" t="s">
        <v>204</v>
      </c>
      <c r="J73" s="78">
        <v>30000</v>
      </c>
      <c r="K73" s="78">
        <f>+M73-SUM(N73:W73)</f>
        <v>960229.00000000012</v>
      </c>
      <c r="L73" s="5">
        <f>+SUM(X73:BT73)-K73</f>
        <v>0</v>
      </c>
      <c r="M73" s="78">
        <f>+SUM(N73:BX73)</f>
        <v>960229.00000000012</v>
      </c>
      <c r="N73" s="8">
        <v>0</v>
      </c>
      <c r="O73" s="8">
        <v>0</v>
      </c>
      <c r="P73" s="8">
        <v>0</v>
      </c>
      <c r="Q73" s="8">
        <v>0</v>
      </c>
      <c r="R73" s="8">
        <v>0</v>
      </c>
      <c r="S73" s="8">
        <v>0</v>
      </c>
      <c r="T73" s="8">
        <v>0</v>
      </c>
      <c r="U73" s="8">
        <v>0</v>
      </c>
      <c r="V73" s="8">
        <v>0</v>
      </c>
      <c r="W73" s="8">
        <v>0</v>
      </c>
      <c r="X73" s="10">
        <v>0</v>
      </c>
      <c r="Y73" s="8">
        <v>0</v>
      </c>
      <c r="Z73" s="8">
        <v>0</v>
      </c>
      <c r="AA73" s="8">
        <v>0</v>
      </c>
      <c r="AB73" s="8">
        <v>0</v>
      </c>
      <c r="AC73" s="8">
        <v>0</v>
      </c>
      <c r="AD73" s="8">
        <v>0</v>
      </c>
      <c r="AE73" s="8">
        <v>60014.312500000007</v>
      </c>
      <c r="AF73" s="8">
        <v>60014.312500000007</v>
      </c>
      <c r="AG73" s="8">
        <v>60014.312500000007</v>
      </c>
      <c r="AH73" s="8">
        <v>60014.312500000007</v>
      </c>
      <c r="AI73" s="8">
        <v>60014.312500000007</v>
      </c>
      <c r="AJ73" s="8">
        <v>60014.312500000007</v>
      </c>
      <c r="AK73" s="8">
        <v>60014.312500000007</v>
      </c>
      <c r="AL73" s="8">
        <v>60014.312500000007</v>
      </c>
      <c r="AQ73" s="8">
        <v>60014.312500000007</v>
      </c>
      <c r="AR73" s="8">
        <v>60014.312500000007</v>
      </c>
      <c r="AS73" s="8">
        <v>60014.312500000007</v>
      </c>
      <c r="AT73" s="8">
        <v>60014.312500000007</v>
      </c>
      <c r="AU73" s="8">
        <v>60014.312500000007</v>
      </c>
      <c r="AV73" s="8">
        <v>60014.312500000007</v>
      </c>
      <c r="AW73" s="8">
        <v>60014.312500000007</v>
      </c>
      <c r="AX73" s="8">
        <v>60014.312500000007</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t="str">
        <f>+_xlfn.XLOOKUP(Table1[[#This Row],[L4 Code]],KIRMATAŞ!B:B,KIRMATAŞ!B:B,"")</f>
        <v>D-01.ALT-02.SNT-021</v>
      </c>
      <c r="BZ73" s="8" t="str">
        <f>+_xlfn.XLOOKUP(Table1[[#This Row],[L4 Code]],'SU TEMİNİ'!C:C,'SU TEMİNİ'!C:C,"")</f>
        <v/>
      </c>
      <c r="CA73" s="8" t="str">
        <f>+_xlfn.XLOOKUP(Table1[[#This Row],[L4 Code]],TAŞ!C:C,TAŞ!C:C,"")</f>
        <v/>
      </c>
      <c r="CB73" s="8" t="s">
        <v>5367</v>
      </c>
    </row>
    <row r="74" spans="1:80">
      <c r="A74" s="3" t="s">
        <v>5444</v>
      </c>
      <c r="B74" s="96"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817.05399335694574</v>
      </c>
      <c r="L74" s="5">
        <f>-SUM(Y74:BT74)+K74</f>
        <v>0</v>
      </c>
      <c r="M74" s="78">
        <v>873.99400000000003</v>
      </c>
      <c r="R74" s="8">
        <v>0</v>
      </c>
      <c r="S74" s="8">
        <v>0</v>
      </c>
      <c r="T74" s="8">
        <v>1.954</v>
      </c>
      <c r="U74" s="8">
        <v>12.275138200000002</v>
      </c>
      <c r="V74" s="8">
        <v>26.611166600000036</v>
      </c>
      <c r="W74" s="8">
        <v>3.172654990795472</v>
      </c>
      <c r="X74" s="10">
        <v>12.927046852258755</v>
      </c>
      <c r="Y74" s="8">
        <f>((+$K74))*0.0115410180021323</f>
        <v>9.4296348460465946</v>
      </c>
      <c r="Z74" s="8">
        <f>((+$K74))*0.0266373244917462</f>
        <v>21.764132348326008</v>
      </c>
      <c r="AA74" s="8">
        <f>((+$K74))*0.029859010429513</f>
        <v>24.396423709120288</v>
      </c>
      <c r="AB74" s="8">
        <f>((+$K74))*0.027490119898227</f>
        <v>22.460912240707604</v>
      </c>
      <c r="AC74" s="8">
        <f>((+$K74))*0.0337606457249117</f>
        <v>27.584270407848202</v>
      </c>
      <c r="AD74" s="8">
        <f>((+$K74))*0.0586166948538854</f>
        <v>47.893004607752594</v>
      </c>
      <c r="AE74" s="8">
        <f>((+$K74))*0.0358709338712884</f>
        <v>29.308489764979115</v>
      </c>
      <c r="AF74" s="8">
        <f>((+$K74))*0.0339710839096281</f>
        <v>27.756209767025524</v>
      </c>
      <c r="AG74" s="8">
        <f>((+$K74))*0.0517051918388949</f>
        <v>42.245933469256038</v>
      </c>
      <c r="AH74" s="8">
        <f>((+$K74))*0.0689777558576869</f>
        <v>56.358550876323534</v>
      </c>
      <c r="AI74" s="8">
        <f>((+$K74))*0.0670779058960266</f>
        <v>54.806270878369943</v>
      </c>
      <c r="AJ74" s="8">
        <f>((+$K74))*0.0670779058960266</f>
        <v>54.806270878369943</v>
      </c>
      <c r="AK74" s="8">
        <f>((+$K74))*0.0594783079391817</f>
        <v>48.596989019822537</v>
      </c>
      <c r="AL74" s="8">
        <f>((+$K74))*0.0426814713192123</f>
        <v>34.873066583712358</v>
      </c>
      <c r="AM74" s="8">
        <f>((+$K74))*0.0315370081970794</f>
        <v>25.767438485954454</v>
      </c>
      <c r="AN74" s="8">
        <f>((+$K74))*0.0277043410540313</f>
        <v>22.635942491519049</v>
      </c>
      <c r="AO74" s="8">
        <f>((+$K74))*0.0284405808351657</f>
        <v>23.237490144763154</v>
      </c>
      <c r="AP74" s="8">
        <f>((+$K74))*0.0350782118593981</f>
        <v>28.660793079542191</v>
      </c>
      <c r="AQ74" s="8">
        <f>((+$K74))*0.0369780618210584</f>
        <v>30.213073077495778</v>
      </c>
      <c r="AR74" s="8">
        <f>((+$K74))*0.0369780618210584</f>
        <v>30.213073077495778</v>
      </c>
      <c r="AS74" s="8">
        <f>((+$K74))*0.0369780618210584</f>
        <v>30.213073077495778</v>
      </c>
      <c r="AT74" s="8">
        <f>(((+$K74))*0.0350782118593981)+5.94184337968034</f>
        <v>34.602636459222531</v>
      </c>
      <c r="AU74" s="8">
        <f>((+$K74))*0.0331783618977378</f>
        <v>27.108513081588601</v>
      </c>
      <c r="AV74" s="8">
        <f>((+$K74))*0.0331783618977378</f>
        <v>27.108513081588601</v>
      </c>
      <c r="AW74" s="8">
        <f>((+$K74))*0.00947556212514416</f>
        <v>7.7420458736508637</v>
      </c>
      <c r="AX74" s="8">
        <f>((+$K74))*0.0119509826242206</f>
        <v>9.7645980776589116</v>
      </c>
      <c r="AY74" s="8">
        <f>((+$K74))*0.0119509826242206</f>
        <v>9.7645980776589116</v>
      </c>
      <c r="AZ74" s="8">
        <f>((+$K74))*0.00947556212514416</f>
        <v>7.7420458736508637</v>
      </c>
      <c r="BY74" s="8" t="str">
        <f>+_xlfn.XLOOKUP(Table1[[#This Row],[L4 Code]],KIRMATAŞ!B:B,KIRMATAŞ!B:B,"")</f>
        <v/>
      </c>
      <c r="BZ74" s="8" t="str">
        <f>+_xlfn.XLOOKUP(Table1[[#This Row],[L4 Code]],'SU TEMİNİ'!C:C,'SU TEMİNİ'!C:C,"")</f>
        <v/>
      </c>
      <c r="CA74" s="8" t="str">
        <f>+_xlfn.XLOOKUP(Table1[[#This Row],[L4 Code]],TAŞ!C:C,TAŞ!C:C,"")</f>
        <v/>
      </c>
      <c r="CB74" s="8" t="s">
        <v>5368</v>
      </c>
    </row>
    <row r="75" spans="1:80">
      <c r="A75" s="3" t="s">
        <v>5444</v>
      </c>
      <c r="B75" s="96"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594.66300000000001</v>
      </c>
      <c r="L75" s="5">
        <f>-SUM(Y75:BT75)+K75</f>
        <v>0</v>
      </c>
      <c r="M75" s="78">
        <f>+J75</f>
        <v>682.55499999999995</v>
      </c>
      <c r="R75" s="8">
        <v>3.6120000000000001</v>
      </c>
      <c r="S75" s="8">
        <v>-3.61</v>
      </c>
      <c r="T75" s="8">
        <v>17.600000000000001</v>
      </c>
      <c r="U75" s="8">
        <v>50.87</v>
      </c>
      <c r="V75" s="8">
        <v>13.96</v>
      </c>
      <c r="W75" s="8">
        <v>-4.72</v>
      </c>
      <c r="X75" s="10">
        <v>10.18</v>
      </c>
      <c r="Y75" s="8">
        <f>(+$K75)*0.0115410180021323</f>
        <v>6.8630163882019994</v>
      </c>
      <c r="Z75" s="8">
        <f>(+$K75)*0.0266373244917462</f>
        <v>15.84023129423527</v>
      </c>
      <c r="AA75" s="8">
        <f>(+$K75)*0.029859010429513</f>
        <v>17.756048719045488</v>
      </c>
      <c r="AB75" s="8">
        <f>(+$K75)*0.027490119898227</f>
        <v>16.347357169039363</v>
      </c>
      <c r="AC75" s="8">
        <f>(+$K75)*0.0337606457249117</f>
        <v>20.076206868713165</v>
      </c>
      <c r="AD75" s="8">
        <f>(+$K75)*0.0586166948538854</f>
        <v>34.857179611896051</v>
      </c>
      <c r="AE75" s="8">
        <f>(+$K75)*0.0358709338712884</f>
        <v>21.331117148701978</v>
      </c>
      <c r="AF75" s="8">
        <f>((+$K75)*0.0339710839096281)--4.32455436044506</f>
        <v>24.525901031396234</v>
      </c>
      <c r="AG75" s="8">
        <f>(+$K75)*0.0517051918388949</f>
        <v>30.747164494492761</v>
      </c>
      <c r="AH75" s="8">
        <f>(+$K75)*0.0689777558576869</f>
        <v>41.018519231599662</v>
      </c>
      <c r="AI75" s="8">
        <f>(+$K75)*0.0670779058960266</f>
        <v>39.888748753848866</v>
      </c>
      <c r="AJ75" s="8">
        <f>(+$K75)*0.0670779058960266</f>
        <v>39.888748753848866</v>
      </c>
      <c r="AK75" s="8">
        <f>(+$K75)*0.0594783079391817</f>
        <v>35.369549034037604</v>
      </c>
      <c r="AL75" s="8">
        <f>(+$K75)*0.0426814713192123</f>
        <v>25.381091779096746</v>
      </c>
      <c r="AM75" s="8">
        <f>(+$K75)*0.0315370081970794</f>
        <v>18.753891905499827</v>
      </c>
      <c r="AN75" s="8">
        <f>(+$K75)*0.0277043410540313</f>
        <v>16.474746564213415</v>
      </c>
      <c r="AO75" s="8">
        <f>(+$K75)*0.0284405808351657</f>
        <v>16.91256112118214</v>
      </c>
      <c r="AP75" s="8">
        <f>(+$K75)*0.0350782118593981</f>
        <v>20.859714698945254</v>
      </c>
      <c r="AQ75" s="8">
        <f>(+$K75)*0.0369780618210584</f>
        <v>21.989485176696054</v>
      </c>
      <c r="AR75" s="8">
        <f>(+$K75)*0.0369780618210584</f>
        <v>21.989485176696054</v>
      </c>
      <c r="AS75" s="8">
        <f>(+$K75)*0.0369780618210584</f>
        <v>21.989485176696054</v>
      </c>
      <c r="AT75" s="8">
        <f>(+$K75)*0.0350782118593981</f>
        <v>20.859714698945254</v>
      </c>
      <c r="AU75" s="8">
        <f>(+$K75)*0.0331783618977378</f>
        <v>19.729944221194451</v>
      </c>
      <c r="AV75" s="8">
        <f>(+$K75)*0.0331783618977378</f>
        <v>19.729944221194451</v>
      </c>
      <c r="AW75" s="8">
        <f>(+$K75)*0.00947556212514416</f>
        <v>5.6347662000246022</v>
      </c>
      <c r="AX75" s="8">
        <f>(+$K75)*0.0119509826242206</f>
        <v>7.1068071802668946</v>
      </c>
      <c r="AY75" s="8">
        <f>(+$K75)*0.0119509826242206</f>
        <v>7.1068071802668946</v>
      </c>
      <c r="AZ75" s="8">
        <f>(+$K75)*0.00947556212514416</f>
        <v>5.6347662000246022</v>
      </c>
      <c r="BY75" s="8" t="str">
        <f>+_xlfn.XLOOKUP(Table1[[#This Row],[L4 Code]],KIRMATAŞ!B:B,KIRMATAŞ!B:B,"")</f>
        <v/>
      </c>
      <c r="BZ75" s="8" t="str">
        <f>+_xlfn.XLOOKUP(Table1[[#This Row],[L4 Code]],'SU TEMİNİ'!C:C,'SU TEMİNİ'!C:C,"")</f>
        <v/>
      </c>
      <c r="CA75" s="8" t="str">
        <f>+_xlfn.XLOOKUP(Table1[[#This Row],[L4 Code]],TAŞ!C:C,TAŞ!C:C,"")</f>
        <v/>
      </c>
      <c r="CB75" s="8" t="s">
        <v>5369</v>
      </c>
    </row>
    <row r="76" spans="1:80">
      <c r="A76" s="3" t="s">
        <v>5444</v>
      </c>
      <c r="B76" s="96"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462.70900000000006</v>
      </c>
      <c r="L76" s="5">
        <f>-SUM(Y76:BT76)+K76</f>
        <v>0</v>
      </c>
      <c r="M76" s="78">
        <v>509.45100000000002</v>
      </c>
      <c r="P76" s="8">
        <v>0</v>
      </c>
      <c r="Q76" s="8">
        <v>0</v>
      </c>
      <c r="R76" s="8">
        <v>0</v>
      </c>
      <c r="S76" s="8">
        <v>0</v>
      </c>
      <c r="T76" s="8">
        <v>14.398000000000001</v>
      </c>
      <c r="U76" s="8">
        <v>14.916716975321973</v>
      </c>
      <c r="V76" s="8">
        <v>28.845283024678004</v>
      </c>
      <c r="W76" s="8">
        <v>2.8359999999999985</v>
      </c>
      <c r="X76" s="10">
        <v>-14.254000000000005</v>
      </c>
      <c r="Y76" s="8">
        <v>10.857347195540431</v>
      </c>
      <c r="Z76" s="8">
        <v>7.4113229788435673</v>
      </c>
      <c r="AA76" s="8">
        <v>11.548371444497327</v>
      </c>
      <c r="AB76" s="8">
        <v>8.1023472278004647</v>
      </c>
      <c r="AC76" s="8">
        <v>10.357394759616394</v>
      </c>
      <c r="AD76" s="8">
        <v>22.319855050230071</v>
      </c>
      <c r="AE76" s="8">
        <v>19.714606160238713</v>
      </c>
      <c r="AF76" s="8">
        <v>16.922518308757247</v>
      </c>
      <c r="AG76" s="8">
        <v>19.023581911281862</v>
      </c>
      <c r="AH76" s="8">
        <v>19.023581911281862</v>
      </c>
      <c r="AI76" s="8">
        <v>16.231494059800351</v>
      </c>
      <c r="AJ76" s="8">
        <v>16.231494059800351</v>
      </c>
      <c r="AK76" s="8">
        <v>19.936363386139146</v>
      </c>
      <c r="AL76" s="8">
        <v>15.317128258777199</v>
      </c>
      <c r="AM76" s="8">
        <v>14.470842232364836</v>
      </c>
      <c r="AN76" s="8">
        <v>11.024818015667925</v>
      </c>
      <c r="AO76" s="8">
        <v>11.474686610381125</v>
      </c>
      <c r="AP76" s="8">
        <v>21.158822895256318</v>
      </c>
      <c r="AQ76" s="8">
        <v>23.950910746737787</v>
      </c>
      <c r="AR76" s="8">
        <v>23.950910746737787</v>
      </c>
      <c r="AS76" s="8">
        <v>23.950910746737787</v>
      </c>
      <c r="AT76" s="8">
        <v>21.158822895256318</v>
      </c>
      <c r="AU76" s="8">
        <v>18.366735043774852</v>
      </c>
      <c r="AV76" s="8">
        <v>18.366735043774852</v>
      </c>
      <c r="AW76" s="8">
        <v>13.784096866787456</v>
      </c>
      <c r="AX76" s="8">
        <v>17.134602288565237</v>
      </c>
      <c r="AY76" s="8">
        <v>17.134602288565237</v>
      </c>
      <c r="AZ76" s="8">
        <v>13.784096866787456</v>
      </c>
      <c r="BY76" s="8" t="str">
        <f>+_xlfn.XLOOKUP(Table1[[#This Row],[L4 Code]],KIRMATAŞ!B:B,KIRMATAŞ!B:B,"")</f>
        <v/>
      </c>
      <c r="BZ76" s="8" t="str">
        <f>+_xlfn.XLOOKUP(Table1[[#This Row],[L4 Code]],'SU TEMİNİ'!C:C,'SU TEMİNİ'!C:C,"")</f>
        <v/>
      </c>
      <c r="CA76" s="8" t="str">
        <f>+_xlfn.XLOOKUP(Table1[[#This Row],[L4 Code]],TAŞ!C:C,TAŞ!C:C,"")</f>
        <v/>
      </c>
      <c r="CB76" s="8" t="s">
        <v>5370</v>
      </c>
    </row>
    <row r="77" spans="1:80">
      <c r="A77" s="3" t="s">
        <v>5444</v>
      </c>
      <c r="B77" s="96" t="s">
        <v>2628</v>
      </c>
      <c r="C77" t="str">
        <f>+_xlfn.XLOOKUP(B77,'L4'!B:B,'L4'!C:C)</f>
        <v>SOILMIXING KOLON - Ø 80 CM.</v>
      </c>
      <c r="D77" t="s">
        <v>4967</v>
      </c>
      <c r="E77" t="str">
        <f>+_xlfn.XLOOKUP(D77,'M2'!H:H,'M2'!I:I)</f>
        <v>PROJE GENELİ</v>
      </c>
      <c r="F77" s="77" t="s">
        <v>4973</v>
      </c>
      <c r="G77" t="s">
        <v>4983</v>
      </c>
      <c r="H77" s="3" t="s">
        <v>4984</v>
      </c>
      <c r="I77" s="3" t="s">
        <v>219</v>
      </c>
      <c r="J77" s="78">
        <v>2782602.9999999991</v>
      </c>
      <c r="K77" s="78">
        <f>+M77-SUM(N77:W77)</f>
        <v>2139379.0000000005</v>
      </c>
      <c r="L77" s="5">
        <f>+SUM(X77:BT77)-K77</f>
        <v>0</v>
      </c>
      <c r="M77" s="78">
        <f>+SUM(N77:BX77)</f>
        <v>2149757.0000000005</v>
      </c>
      <c r="N77" s="8">
        <v>0</v>
      </c>
      <c r="O77" s="8">
        <v>0</v>
      </c>
      <c r="P77" s="8">
        <v>3004.1999715532347</v>
      </c>
      <c r="Q77" s="8">
        <v>7373.8000284467644</v>
      </c>
      <c r="X77" s="10"/>
      <c r="Y77" s="8">
        <v>23479.421640188979</v>
      </c>
      <c r="Z77" s="8">
        <v>23479.421640188979</v>
      </c>
      <c r="AA77" s="8">
        <v>23479.421640188979</v>
      </c>
      <c r="AB77" s="8">
        <v>43714.64061829116</v>
      </c>
      <c r="AC77" s="8">
        <v>84185.07857449555</v>
      </c>
      <c r="AD77" s="8">
        <v>124655.51653069991</v>
      </c>
      <c r="AE77" s="8">
        <v>165125.95448690429</v>
      </c>
      <c r="AF77" s="8">
        <v>165125.95448690429</v>
      </c>
      <c r="AG77" s="8">
        <v>165125.95448690429</v>
      </c>
      <c r="AH77" s="8">
        <v>165125.95448690429</v>
      </c>
      <c r="AI77" s="8">
        <v>165125.95448690429</v>
      </c>
      <c r="AJ77" s="8">
        <v>165125.95448690429</v>
      </c>
      <c r="AK77" s="8">
        <v>165125.95448690429</v>
      </c>
      <c r="AL77" s="8">
        <v>165125.95448690429</v>
      </c>
      <c r="AM77" s="8">
        <v>165125.95448690429</v>
      </c>
      <c r="AN77" s="8">
        <v>165125.95448690429</v>
      </c>
      <c r="AO77" s="8">
        <v>165125.95448690429</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t="str">
        <f>+_xlfn.XLOOKUP(Table1[[#This Row],[L4 Code]],KIRMATAŞ!B:B,KIRMATAŞ!B:B,"")</f>
        <v/>
      </c>
      <c r="BZ77" s="8" t="str">
        <f>+_xlfn.XLOOKUP(Table1[[#This Row],[L4 Code]],'SU TEMİNİ'!C:C,'SU TEMİNİ'!C:C,"")</f>
        <v/>
      </c>
      <c r="CA77" s="8" t="str">
        <f>+_xlfn.XLOOKUP(Table1[[#This Row],[L4 Code]],TAŞ!C:C,TAŞ!C:C,"")</f>
        <v/>
      </c>
      <c r="CB77" s="8" t="s">
        <v>5371</v>
      </c>
    </row>
    <row r="78" spans="1:80">
      <c r="A78" s="3" t="s">
        <v>5444</v>
      </c>
      <c r="B78" s="96" t="s">
        <v>2639</v>
      </c>
      <c r="C78" t="str">
        <f>+_xlfn.XLOOKUP(B78,'L4'!B:B,'L4'!C:C)</f>
        <v>KÖPRÜ TEMELI KAZILMASI</v>
      </c>
      <c r="D78" t="s">
        <v>4967</v>
      </c>
      <c r="E78" t="str">
        <f>+_xlfn.XLOOKUP(D78,'M2'!H:H,'M2'!I:I)</f>
        <v>PROJE GENELİ</v>
      </c>
      <c r="F78" s="77" t="s">
        <v>4973</v>
      </c>
      <c r="G78" t="s">
        <v>4983</v>
      </c>
      <c r="H78" s="3" t="s">
        <v>4984</v>
      </c>
      <c r="I78" s="3" t="s">
        <v>247</v>
      </c>
      <c r="J78" s="78">
        <v>186091.64492763163</v>
      </c>
      <c r="K78" s="78">
        <f>+M78-SUM(N78:W78)</f>
        <v>186091.6449276316</v>
      </c>
      <c r="L78" s="5">
        <f>+SUM(X78:BT78)-K78</f>
        <v>0</v>
      </c>
      <c r="M78" s="78">
        <f>+SUM(N78:BX78)</f>
        <v>186091.6449276316</v>
      </c>
      <c r="N78" s="8">
        <v>0</v>
      </c>
      <c r="O78" s="8">
        <v>0</v>
      </c>
      <c r="P78" s="8">
        <v>0</v>
      </c>
      <c r="Q78" s="8">
        <v>0</v>
      </c>
      <c r="R78" s="8">
        <v>0</v>
      </c>
      <c r="S78" s="8">
        <v>0</v>
      </c>
      <c r="T78" s="8">
        <v>0</v>
      </c>
      <c r="U78" s="8">
        <v>0</v>
      </c>
      <c r="V78" s="8">
        <v>0</v>
      </c>
      <c r="W78" s="8">
        <v>0</v>
      </c>
      <c r="X78" s="10"/>
      <c r="Y78" s="8">
        <v>3603.1057105263158</v>
      </c>
      <c r="Z78" s="8">
        <v>10061.767296052632</v>
      </c>
      <c r="AA78" s="8">
        <v>9638.2995328947381</v>
      </c>
      <c r="AB78" s="8">
        <v>9638.2995328947381</v>
      </c>
      <c r="AC78" s="8">
        <v>8350.9575328947376</v>
      </c>
      <c r="AD78" s="8">
        <v>6504.6380855263151</v>
      </c>
      <c r="AE78" s="8">
        <v>6152.0430427631582</v>
      </c>
      <c r="AF78" s="8">
        <v>9757.3442361842117</v>
      </c>
      <c r="AG78" s="8">
        <v>8984.5155684210531</v>
      </c>
      <c r="AH78" s="8">
        <v>9407.9833315789492</v>
      </c>
      <c r="AI78" s="8">
        <v>9944.3758315789473</v>
      </c>
      <c r="AJ78" s="8">
        <v>7796.0343842105258</v>
      </c>
      <c r="AK78" s="8">
        <v>4502.6361052631582</v>
      </c>
      <c r="AL78" s="8">
        <v>3342.3861052631587</v>
      </c>
      <c r="AM78" s="8">
        <v>2182.1361052631582</v>
      </c>
      <c r="AN78" s="8">
        <v>2182.1361052631582</v>
      </c>
      <c r="AO78" s="8">
        <v>3720.735644736842</v>
      </c>
      <c r="AP78" s="8">
        <v>3720.735644736842</v>
      </c>
      <c r="AQ78" s="8">
        <v>6490.7644078947369</v>
      </c>
      <c r="AR78" s="8">
        <v>9684.2609342105279</v>
      </c>
      <c r="AS78" s="8">
        <v>9684.2609342105279</v>
      </c>
      <c r="AT78" s="8">
        <v>9684.2609342105279</v>
      </c>
      <c r="AU78" s="8">
        <v>9684.2609342105279</v>
      </c>
      <c r="AV78" s="8">
        <v>6490.7644078947369</v>
      </c>
      <c r="AW78" s="8">
        <v>3720.735644736842</v>
      </c>
      <c r="AX78" s="8">
        <v>3720.735644736842</v>
      </c>
      <c r="AY78" s="8">
        <v>3720.735644736842</v>
      </c>
      <c r="AZ78" s="8">
        <v>3720.735644736842</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t="str">
        <f>+_xlfn.XLOOKUP(Table1[[#This Row],[L4 Code]],KIRMATAŞ!B:B,KIRMATAŞ!B:B,"")</f>
        <v/>
      </c>
      <c r="BZ78" s="8" t="str">
        <f>+_xlfn.XLOOKUP(Table1[[#This Row],[L4 Code]],'SU TEMİNİ'!C:C,'SU TEMİNİ'!C:C,"")</f>
        <v/>
      </c>
      <c r="CA78" s="8" t="str">
        <f>+_xlfn.XLOOKUP(Table1[[#This Row],[L4 Code]],TAŞ!C:C,TAŞ!C:C,"")</f>
        <v/>
      </c>
      <c r="CB78" s="8" t="s">
        <v>5372</v>
      </c>
    </row>
    <row r="79" spans="1:80">
      <c r="A79" s="3" t="s">
        <v>5444</v>
      </c>
      <c r="B79" s="96" t="s">
        <v>2640</v>
      </c>
      <c r="C79" t="str">
        <f>+_xlfn.XLOOKUP(B79,'L4'!B:B,'L4'!C:C)</f>
        <v>DÖKME KAZIK - Ø 120 CM. - KÖPRÜ</v>
      </c>
      <c r="D79" t="s">
        <v>4967</v>
      </c>
      <c r="E79" t="str">
        <f>+_xlfn.XLOOKUP(D79,'M2'!H:H,'M2'!I:I)</f>
        <v>PROJE GENELİ</v>
      </c>
      <c r="F79" s="77" t="s">
        <v>4973</v>
      </c>
      <c r="G79" t="s">
        <v>4983</v>
      </c>
      <c r="H79" s="3" t="s">
        <v>4984</v>
      </c>
      <c r="I79" s="3" t="s">
        <v>251</v>
      </c>
      <c r="J79" s="78">
        <v>11312.522807017551</v>
      </c>
      <c r="K79" s="78">
        <f>+M79-SUM(N79:W79)</f>
        <v>14613.470175438601</v>
      </c>
      <c r="L79" s="5">
        <f>+SUM(X79:BT79)-K79</f>
        <v>0</v>
      </c>
      <c r="M79" s="78">
        <f>+SUM(N79:BX79)</f>
        <v>14613.470175438601</v>
      </c>
      <c r="N79" s="8">
        <v>0</v>
      </c>
      <c r="O79" s="8">
        <v>0</v>
      </c>
      <c r="P79" s="8">
        <v>0</v>
      </c>
      <c r="Q79" s="8">
        <v>0</v>
      </c>
      <c r="R79" s="8">
        <v>0</v>
      </c>
      <c r="S79" s="8">
        <v>0</v>
      </c>
      <c r="T79" s="8">
        <v>0</v>
      </c>
      <c r="X79" s="10"/>
      <c r="Y79" s="8">
        <v>449.27744360902261</v>
      </c>
      <c r="Z79" s="8">
        <v>826.59089390142015</v>
      </c>
      <c r="AA79" s="8">
        <v>787.64352548036754</v>
      </c>
      <c r="AB79" s="8">
        <v>787.64352548036754</v>
      </c>
      <c r="AC79" s="8">
        <v>669.24352548036757</v>
      </c>
      <c r="AD79" s="8">
        <v>499.43299916457818</v>
      </c>
      <c r="AE79" s="8">
        <v>470.28738512949042</v>
      </c>
      <c r="AF79" s="8">
        <v>588.45370091896416</v>
      </c>
      <c r="AG79" s="8">
        <v>517.37475355054312</v>
      </c>
      <c r="AH79" s="8">
        <v>556.32212197159572</v>
      </c>
      <c r="AI79" s="8">
        <v>605.65545530492909</v>
      </c>
      <c r="AJ79" s="8">
        <v>514.77826232247298</v>
      </c>
      <c r="AK79" s="8">
        <v>318.58738512949043</v>
      </c>
      <c r="AL79" s="8">
        <v>318.58738512949043</v>
      </c>
      <c r="AM79" s="8">
        <v>318.58738512949043</v>
      </c>
      <c r="AN79" s="8">
        <v>318.58738512949043</v>
      </c>
      <c r="AO79" s="8">
        <v>460.09615705931503</v>
      </c>
      <c r="AP79" s="8">
        <v>460.09615705931503</v>
      </c>
      <c r="AQ79" s="8">
        <v>499.04352548036763</v>
      </c>
      <c r="AR79" s="8">
        <v>576.93826232247284</v>
      </c>
      <c r="AS79" s="8">
        <v>576.93826232247295</v>
      </c>
      <c r="AT79" s="8">
        <v>576.93826232247284</v>
      </c>
      <c r="AU79" s="8">
        <v>576.93826232247295</v>
      </c>
      <c r="AV79" s="8">
        <v>499.04352548036763</v>
      </c>
      <c r="AW79" s="8">
        <v>460.09615705931503</v>
      </c>
      <c r="AX79" s="8">
        <v>460.09615705931503</v>
      </c>
      <c r="AY79" s="8">
        <v>460.09615705931503</v>
      </c>
      <c r="AZ79" s="8">
        <v>460.09615705931503</v>
      </c>
      <c r="BA79" s="8">
        <v>0</v>
      </c>
      <c r="BB79" s="8">
        <v>0</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8" t="str">
        <f>+_xlfn.XLOOKUP(Table1[[#This Row],[L4 Code]],KIRMATAŞ!B:B,KIRMATAŞ!B:B,"")</f>
        <v>D-01.ALT-03.KPR-008</v>
      </c>
      <c r="BZ79" s="8" t="str">
        <f>+_xlfn.XLOOKUP(Table1[[#This Row],[L4 Code]],'SU TEMİNİ'!C:C,'SU TEMİNİ'!C:C,"")</f>
        <v/>
      </c>
      <c r="CA79" s="8" t="str">
        <f>+_xlfn.XLOOKUP(Table1[[#This Row],[L4 Code]],TAŞ!C:C,TAŞ!C:C,"")</f>
        <v/>
      </c>
      <c r="CB79" s="8" t="s">
        <v>5373</v>
      </c>
    </row>
    <row r="80" spans="1:80">
      <c r="A80" s="3" t="s">
        <v>5444</v>
      </c>
      <c r="B80" s="96"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 t="shared" ref="K80:K85" si="24">+M80-SUM(N80:X80)</f>
        <v>5005.1499999999996</v>
      </c>
      <c r="L80" s="5">
        <f t="shared" ref="L80:L85" si="25">-SUM(Y80:BT80)+K80</f>
        <v>0</v>
      </c>
      <c r="M80" s="78">
        <f>10010.3/2</f>
        <v>5005.1499999999996</v>
      </c>
      <c r="R80" s="8">
        <v>0</v>
      </c>
      <c r="S80" s="8">
        <v>0</v>
      </c>
      <c r="T80" s="8">
        <v>0</v>
      </c>
      <c r="U80" s="8">
        <v>0</v>
      </c>
      <c r="V80" s="8">
        <v>0</v>
      </c>
      <c r="W80" s="8">
        <v>0</v>
      </c>
      <c r="X80" s="10">
        <v>0</v>
      </c>
      <c r="Y80" s="8">
        <f>((+$K80))*0.0046152462963148</f>
        <v>23.100000000000019</v>
      </c>
      <c r="Z80" s="8">
        <f>((+$K80))*0.0198655384953498</f>
        <v>99.430000000000049</v>
      </c>
      <c r="AA80" s="8">
        <f>((+$K80))*0.0244807847916646</f>
        <v>122.53000000000007</v>
      </c>
      <c r="AB80" s="8">
        <f>((+$K80))*0.0198655384953498</f>
        <v>99.430000000000049</v>
      </c>
      <c r="AC80" s="8">
        <f>((+$K80))*0.0198655384953498</f>
        <v>99.430000000000049</v>
      </c>
      <c r="AD80" s="8">
        <f>((+$K80))*0.0528165989031298</f>
        <v>264.35500000000008</v>
      </c>
      <c r="AE80" s="8">
        <f>((+$K80))*0.03295106040778</f>
        <v>164.92500000000007</v>
      </c>
      <c r="AF80" s="8">
        <f>((+$K80))*0.03295106040778</f>
        <v>164.92500000000007</v>
      </c>
      <c r="AG80" s="8">
        <f>((+$K80))*0.0519315105441396</f>
        <v>259.9250000000003</v>
      </c>
      <c r="AH80" s="8">
        <f>((+$K80))*0.0715779413870381</f>
        <v>358.25833333333372</v>
      </c>
      <c r="AI80" s="8">
        <f>((+$K80))*0.0715779413870381</f>
        <v>358.25833333333372</v>
      </c>
      <c r="AJ80" s="8">
        <f>((+$K80))*0.0715779413870381</f>
        <v>358.25833333333372</v>
      </c>
      <c r="AK80" s="8">
        <f>((+$K80))*0.0640856584384751</f>
        <v>320.75833333333361</v>
      </c>
      <c r="AL80" s="8">
        <f>((+$K80))*0.0449803369196395</f>
        <v>225.13333333333361</v>
      </c>
      <c r="AM80" s="8">
        <f>((+$K80))*0.0334921697318429</f>
        <v>167.6333333333335</v>
      </c>
      <c r="AN80" s="8">
        <f>((+$K80))*0.0272119716691808</f>
        <v>136.20000000000027</v>
      </c>
      <c r="AO80" s="8">
        <f>((+$K80))*0.0272119716691808</f>
        <v>136.20000000000027</v>
      </c>
      <c r="AP80" s="8">
        <f>((+$K80))*0.0364424642618104</f>
        <v>182.40000000000032</v>
      </c>
      <c r="AQ80" s="8">
        <f>((+$K80))*0.0364424642618104</f>
        <v>182.40000000000032</v>
      </c>
      <c r="AR80" s="8">
        <f>((+$K80))*0.0364424642618104</f>
        <v>182.40000000000032</v>
      </c>
      <c r="AS80" s="8">
        <f>((+$K80))*0.0364424642618104</f>
        <v>182.40000000000032</v>
      </c>
      <c r="AT80" s="8">
        <f>(((+$K80))*0.0364424642618104)+0</f>
        <v>182.40000000000032</v>
      </c>
      <c r="AU80" s="8">
        <f>((+$K80))*0.0364424642618104</f>
        <v>182.40000000000032</v>
      </c>
      <c r="AV80" s="8">
        <f>((+$K80))*0.0364424642618104</f>
        <v>182.40000000000032</v>
      </c>
      <c r="AW80" s="8">
        <f>((+$K80))*0.0184609851852592</f>
        <v>92.400000000000077</v>
      </c>
      <c r="AX80" s="8">
        <f>((+$K80))*0.0184609851852592</f>
        <v>92.400000000000077</v>
      </c>
      <c r="AY80" s="8">
        <f>((+$K80))*0.0184609851852592</f>
        <v>92.400000000000077</v>
      </c>
      <c r="AZ80" s="8">
        <f>((+$K80))*0.0184609851852592</f>
        <v>92.400000000000077</v>
      </c>
      <c r="BY80" s="8" t="str">
        <f>+_xlfn.XLOOKUP(Table1[[#This Row],[L4 Code]],KIRMATAŞ!B:B,KIRMATAŞ!B:B,"")</f>
        <v/>
      </c>
      <c r="BZ80" s="8" t="str">
        <f>+_xlfn.XLOOKUP(Table1[[#This Row],[L4 Code]],'SU TEMİNİ'!C:C,'SU TEMİNİ'!C:C,"")</f>
        <v/>
      </c>
      <c r="CA80" s="8" t="str">
        <f>+_xlfn.XLOOKUP(Table1[[#This Row],[L4 Code]],TAŞ!C:C,TAŞ!C:C,"")</f>
        <v/>
      </c>
      <c r="CB80" s="8" t="s">
        <v>5374</v>
      </c>
    </row>
    <row r="81" spans="1:80">
      <c r="A81" s="3" t="s">
        <v>5444</v>
      </c>
      <c r="B81" s="96"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 t="shared" si="24"/>
        <v>5005.1499999999996</v>
      </c>
      <c r="L81" s="5">
        <f t="shared" si="25"/>
        <v>0</v>
      </c>
      <c r="M81" s="78">
        <v>5005.1499999999996</v>
      </c>
      <c r="T81" s="8">
        <v>0</v>
      </c>
      <c r="U81" s="8">
        <v>0</v>
      </c>
      <c r="V81" s="8">
        <v>0</v>
      </c>
      <c r="W81" s="8">
        <v>0</v>
      </c>
      <c r="X81" s="10">
        <v>0</v>
      </c>
      <c r="Y81" s="8">
        <f>(+$K81)*0.0046152462963148</f>
        <v>23.100000000000019</v>
      </c>
      <c r="Z81" s="8">
        <f>(+$K81)*0.0198655384953498</f>
        <v>99.430000000000049</v>
      </c>
      <c r="AA81" s="8">
        <f>(+$K81)*0.0244807847916646</f>
        <v>122.53000000000007</v>
      </c>
      <c r="AB81" s="8">
        <f>(+$K81)*0.0198655384953498</f>
        <v>99.430000000000049</v>
      </c>
      <c r="AC81" s="8">
        <f>(+$K81)*0.0198655384953498</f>
        <v>99.430000000000049</v>
      </c>
      <c r="AD81" s="8">
        <f>(+$K81)*0.0528165989031298</f>
        <v>264.35500000000008</v>
      </c>
      <c r="AE81" s="8">
        <f>(+$K81)*0.03295106040778</f>
        <v>164.92500000000007</v>
      </c>
      <c r="AF81" s="8">
        <f>((+$K81)*0.03295106040778)-0</f>
        <v>164.92500000000007</v>
      </c>
      <c r="AG81" s="8">
        <f>(+$K81)*0.0519315105441396</f>
        <v>259.9250000000003</v>
      </c>
      <c r="AH81" s="8">
        <f>(+$K81)*0.0715779413870381</f>
        <v>358.25833333333372</v>
      </c>
      <c r="AI81" s="8">
        <f>(+$K81)*0.0715779413870381</f>
        <v>358.25833333333372</v>
      </c>
      <c r="AJ81" s="8">
        <f>(+$K81)*0.0715779413870381</f>
        <v>358.25833333333372</v>
      </c>
      <c r="AK81" s="8">
        <f>(+$K81)*0.0640856584384751</f>
        <v>320.75833333333361</v>
      </c>
      <c r="AL81" s="8">
        <f>(+$K81)*0.0449803369196395</f>
        <v>225.13333333333361</v>
      </c>
      <c r="AM81" s="8">
        <f>(+$K81)*0.0334921697318429</f>
        <v>167.6333333333335</v>
      </c>
      <c r="AN81" s="8">
        <f>(+$K81)*0.0272119716691808</f>
        <v>136.20000000000027</v>
      </c>
      <c r="AO81" s="8">
        <f>(+$K81)*0.0272119716691808</f>
        <v>136.20000000000027</v>
      </c>
      <c r="AP81" s="8">
        <f t="shared" ref="AP81:AV81" si="26">(+$K81)*0.0364424642618104</f>
        <v>182.40000000000032</v>
      </c>
      <c r="AQ81" s="8">
        <f t="shared" si="26"/>
        <v>182.40000000000032</v>
      </c>
      <c r="AR81" s="8">
        <f t="shared" si="26"/>
        <v>182.40000000000032</v>
      </c>
      <c r="AS81" s="8">
        <f t="shared" si="26"/>
        <v>182.40000000000032</v>
      </c>
      <c r="AT81" s="8">
        <f t="shared" si="26"/>
        <v>182.40000000000032</v>
      </c>
      <c r="AU81" s="8">
        <f t="shared" si="26"/>
        <v>182.40000000000032</v>
      </c>
      <c r="AV81" s="8">
        <f t="shared" si="26"/>
        <v>182.40000000000032</v>
      </c>
      <c r="AW81" s="8">
        <f>(+$K81)*0.0184609851852592</f>
        <v>92.400000000000077</v>
      </c>
      <c r="AX81" s="8">
        <f>(+$K81)*0.0184609851852592</f>
        <v>92.400000000000077</v>
      </c>
      <c r="AY81" s="8">
        <f>(+$K81)*0.0184609851852592</f>
        <v>92.400000000000077</v>
      </c>
      <c r="AZ81" s="8">
        <f>(+$K81)*0.0184609851852592</f>
        <v>92.400000000000077</v>
      </c>
      <c r="BY81" s="8" t="str">
        <f>+_xlfn.XLOOKUP(Table1[[#This Row],[L4 Code]],KIRMATAŞ!B:B,KIRMATAŞ!B:B,"")</f>
        <v/>
      </c>
      <c r="BZ81" s="8" t="str">
        <f>+_xlfn.XLOOKUP(Table1[[#This Row],[L4 Code]],'SU TEMİNİ'!C:C,'SU TEMİNİ'!C:C,"")</f>
        <v/>
      </c>
      <c r="CA81" s="8" t="str">
        <f>+_xlfn.XLOOKUP(Table1[[#This Row],[L4 Code]],TAŞ!C:C,TAŞ!C:C,"")</f>
        <v/>
      </c>
      <c r="CB81" s="8" t="s">
        <v>5375</v>
      </c>
    </row>
    <row r="82" spans="1:80">
      <c r="A82" s="3" t="s">
        <v>5444</v>
      </c>
      <c r="B82" s="96"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 t="shared" si="24"/>
        <v>0</v>
      </c>
      <c r="L82" s="5">
        <f t="shared" si="25"/>
        <v>0</v>
      </c>
      <c r="M82" s="78">
        <v>0</v>
      </c>
      <c r="P82" s="8">
        <v>0</v>
      </c>
      <c r="Q82" s="8">
        <v>0</v>
      </c>
      <c r="R82" s="8">
        <v>0</v>
      </c>
      <c r="S82" s="8">
        <v>0</v>
      </c>
      <c r="T82" s="8">
        <v>0</v>
      </c>
      <c r="U82" s="8">
        <v>0</v>
      </c>
      <c r="V82" s="8">
        <v>0</v>
      </c>
      <c r="W82" s="8">
        <v>0</v>
      </c>
      <c r="X82" s="10">
        <v>0</v>
      </c>
      <c r="Y82" s="8">
        <v>0</v>
      </c>
      <c r="Z82" s="8">
        <v>0</v>
      </c>
      <c r="AA82" s="8">
        <v>0</v>
      </c>
      <c r="AB82" s="8">
        <v>0</v>
      </c>
      <c r="AC82" s="8">
        <v>0</v>
      </c>
      <c r="AD82" s="8">
        <v>0</v>
      </c>
      <c r="AE82" s="8">
        <v>0</v>
      </c>
      <c r="AF82" s="8">
        <v>0</v>
      </c>
      <c r="AG82" s="8">
        <v>0</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Y82" s="8" t="str">
        <f>+_xlfn.XLOOKUP(Table1[[#This Row],[L4 Code]],KIRMATAŞ!B:B,KIRMATAŞ!B:B,"")</f>
        <v/>
      </c>
      <c r="BZ82" s="8" t="str">
        <f>+_xlfn.XLOOKUP(Table1[[#This Row],[L4 Code]],'SU TEMİNİ'!C:C,'SU TEMİNİ'!C:C,"")</f>
        <v/>
      </c>
      <c r="CA82" s="8" t="str">
        <f>+_xlfn.XLOOKUP(Table1[[#This Row],[L4 Code]],TAŞ!C:C,TAŞ!C:C,"")</f>
        <v/>
      </c>
      <c r="CB82" s="8" t="s">
        <v>5376</v>
      </c>
    </row>
    <row r="83" spans="1:80">
      <c r="A83" s="3" t="s">
        <v>5444</v>
      </c>
      <c r="B83" s="96"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 t="shared" si="24"/>
        <v>1650</v>
      </c>
      <c r="L83" s="5">
        <f t="shared" si="25"/>
        <v>0</v>
      </c>
      <c r="M83" s="78">
        <v>1650</v>
      </c>
      <c r="R83" s="8">
        <v>0</v>
      </c>
      <c r="S83" s="8">
        <v>0</v>
      </c>
      <c r="T83" s="8">
        <v>0</v>
      </c>
      <c r="U83" s="8">
        <v>0</v>
      </c>
      <c r="V83" s="8">
        <v>0</v>
      </c>
      <c r="W83" s="8">
        <v>0</v>
      </c>
      <c r="X83" s="10">
        <v>0</v>
      </c>
      <c r="Y83" s="8">
        <f t="shared" ref="Y83:AD83" si="27">((+$K83))*0</f>
        <v>0</v>
      </c>
      <c r="Z83" s="8">
        <f t="shared" si="27"/>
        <v>0</v>
      </c>
      <c r="AA83" s="8">
        <f t="shared" si="27"/>
        <v>0</v>
      </c>
      <c r="AB83" s="8">
        <f t="shared" si="27"/>
        <v>0</v>
      </c>
      <c r="AC83" s="8">
        <f t="shared" si="27"/>
        <v>0</v>
      </c>
      <c r="AD83" s="8">
        <f t="shared" si="27"/>
        <v>0</v>
      </c>
      <c r="AE83" s="8">
        <f t="shared" ref="AE83:AL83" si="28">((+$K83))*0.0625</f>
        <v>103.125</v>
      </c>
      <c r="AF83" s="8">
        <f t="shared" si="28"/>
        <v>103.125</v>
      </c>
      <c r="AG83" s="8">
        <f t="shared" si="28"/>
        <v>103.125</v>
      </c>
      <c r="AH83" s="8">
        <f t="shared" si="28"/>
        <v>103.125</v>
      </c>
      <c r="AI83" s="8">
        <f t="shared" si="28"/>
        <v>103.125</v>
      </c>
      <c r="AJ83" s="8">
        <f t="shared" si="28"/>
        <v>103.125</v>
      </c>
      <c r="AK83" s="8">
        <f t="shared" si="28"/>
        <v>103.125</v>
      </c>
      <c r="AL83" s="8">
        <f t="shared" si="28"/>
        <v>103.125</v>
      </c>
      <c r="AM83" s="8">
        <f>((+$K83))*0</f>
        <v>0</v>
      </c>
      <c r="AN83" s="8">
        <f>((+$K83))*0</f>
        <v>0</v>
      </c>
      <c r="AO83" s="8">
        <f>((+$K83))*0</f>
        <v>0</v>
      </c>
      <c r="AP83" s="8">
        <f>((+$K83))*0</f>
        <v>0</v>
      </c>
      <c r="AQ83" s="8">
        <f>((+$K83))*0.0625</f>
        <v>103.125</v>
      </c>
      <c r="AR83" s="8">
        <f>((+$K83))*0.0625</f>
        <v>103.125</v>
      </c>
      <c r="AS83" s="8">
        <f>((+$K83))*0.0625</f>
        <v>103.125</v>
      </c>
      <c r="AT83" s="8">
        <f>(((+$K83))*0.0625)+0</f>
        <v>103.125</v>
      </c>
      <c r="AU83" s="8">
        <f>((+$K83))*0.0625</f>
        <v>103.125</v>
      </c>
      <c r="AV83" s="8">
        <f>((+$K83))*0.0625</f>
        <v>103.125</v>
      </c>
      <c r="AW83" s="8">
        <f>((+$K83))*0.0625</f>
        <v>103.125</v>
      </c>
      <c r="AX83" s="8">
        <f>((+$K83))*0.0625</f>
        <v>103.125</v>
      </c>
      <c r="AY83" s="8">
        <f>((+$K83))*0</f>
        <v>0</v>
      </c>
      <c r="AZ83" s="8">
        <f>((+$K83))*0</f>
        <v>0</v>
      </c>
      <c r="BY83" s="8" t="str">
        <f>+_xlfn.XLOOKUP(Table1[[#This Row],[L4 Code]],KIRMATAŞ!B:B,KIRMATAŞ!B:B,"")</f>
        <v/>
      </c>
      <c r="BZ83" s="8" t="str">
        <f>+_xlfn.XLOOKUP(Table1[[#This Row],[L4 Code]],'SU TEMİNİ'!C:C,'SU TEMİNİ'!C:C,"")</f>
        <v/>
      </c>
      <c r="CA83" s="8" t="str">
        <f>+_xlfn.XLOOKUP(Table1[[#This Row],[L4 Code]],TAŞ!C:C,TAŞ!C:C,"")</f>
        <v/>
      </c>
      <c r="CB83" s="8" t="s">
        <v>5377</v>
      </c>
    </row>
    <row r="84" spans="1:80">
      <c r="A84" s="3" t="s">
        <v>5444</v>
      </c>
      <c r="B84" s="96"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 t="shared" si="24"/>
        <v>1320</v>
      </c>
      <c r="L84" s="5">
        <f t="shared" si="25"/>
        <v>0</v>
      </c>
      <c r="M84" s="78">
        <f>+J84</f>
        <v>1320</v>
      </c>
      <c r="T84" s="8">
        <v>0</v>
      </c>
      <c r="U84" s="8">
        <v>0</v>
      </c>
      <c r="V84" s="8">
        <v>0</v>
      </c>
      <c r="W84" s="8">
        <v>0</v>
      </c>
      <c r="X84" s="10">
        <v>0</v>
      </c>
      <c r="Y84" s="8">
        <f t="shared" ref="Y84:AD84" si="29">(+$K84)*0</f>
        <v>0</v>
      </c>
      <c r="Z84" s="8">
        <f t="shared" si="29"/>
        <v>0</v>
      </c>
      <c r="AA84" s="8">
        <f t="shared" si="29"/>
        <v>0</v>
      </c>
      <c r="AB84" s="8">
        <f t="shared" si="29"/>
        <v>0</v>
      </c>
      <c r="AC84" s="8">
        <f t="shared" si="29"/>
        <v>0</v>
      </c>
      <c r="AD84" s="8">
        <f t="shared" si="29"/>
        <v>0</v>
      </c>
      <c r="AE84" s="8">
        <f>(+$K84)*0.0625</f>
        <v>82.5</v>
      </c>
      <c r="AF84" s="8">
        <f>((+$K84)*0.0625)-0</f>
        <v>82.5</v>
      </c>
      <c r="AG84" s="8">
        <f t="shared" ref="AG84:AL84" si="30">(+$K84)*0.0625</f>
        <v>82.5</v>
      </c>
      <c r="AH84" s="8">
        <f t="shared" si="30"/>
        <v>82.5</v>
      </c>
      <c r="AI84" s="8">
        <f t="shared" si="30"/>
        <v>82.5</v>
      </c>
      <c r="AJ84" s="8">
        <f t="shared" si="30"/>
        <v>82.5</v>
      </c>
      <c r="AK84" s="8">
        <f t="shared" si="30"/>
        <v>82.5</v>
      </c>
      <c r="AL84" s="8">
        <f t="shared" si="30"/>
        <v>82.5</v>
      </c>
      <c r="AM84" s="8">
        <f>(+$K84)*0</f>
        <v>0</v>
      </c>
      <c r="AN84" s="8">
        <f>(+$K84)*0</f>
        <v>0</v>
      </c>
      <c r="AO84" s="8">
        <f>(+$K84)*0</f>
        <v>0</v>
      </c>
      <c r="AP84" s="8">
        <f>(+$K84)*0</f>
        <v>0</v>
      </c>
      <c r="AQ84" s="8">
        <f t="shared" ref="AQ84:AX84" si="31">(+$K84)*0.0625</f>
        <v>82.5</v>
      </c>
      <c r="AR84" s="8">
        <f t="shared" si="31"/>
        <v>82.5</v>
      </c>
      <c r="AS84" s="8">
        <f t="shared" si="31"/>
        <v>82.5</v>
      </c>
      <c r="AT84" s="8">
        <f t="shared" si="31"/>
        <v>82.5</v>
      </c>
      <c r="AU84" s="8">
        <f t="shared" si="31"/>
        <v>82.5</v>
      </c>
      <c r="AV84" s="8">
        <f t="shared" si="31"/>
        <v>82.5</v>
      </c>
      <c r="AW84" s="8">
        <f t="shared" si="31"/>
        <v>82.5</v>
      </c>
      <c r="AX84" s="8">
        <f t="shared" si="31"/>
        <v>82.5</v>
      </c>
      <c r="AY84" s="8">
        <f>(+$K84)*0</f>
        <v>0</v>
      </c>
      <c r="AZ84" s="8">
        <f>(+$K84)*0</f>
        <v>0</v>
      </c>
      <c r="BY84" s="8" t="str">
        <f>+_xlfn.XLOOKUP(Table1[[#This Row],[L4 Code]],KIRMATAŞ!B:B,KIRMATAŞ!B:B,"")</f>
        <v/>
      </c>
      <c r="BZ84" s="8" t="str">
        <f>+_xlfn.XLOOKUP(Table1[[#This Row],[L4 Code]],'SU TEMİNİ'!C:C,'SU TEMİNİ'!C:C,"")</f>
        <v/>
      </c>
      <c r="CA84" s="8" t="str">
        <f>+_xlfn.XLOOKUP(Table1[[#This Row],[L4 Code]],TAŞ!C:C,TAŞ!C:C,"")</f>
        <v/>
      </c>
      <c r="CB84" s="8" t="s">
        <v>5378</v>
      </c>
    </row>
    <row r="85" spans="1:80">
      <c r="A85" s="3" t="s">
        <v>5444</v>
      </c>
      <c r="B85" s="96"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 t="shared" si="24"/>
        <v>1020</v>
      </c>
      <c r="L85" s="5">
        <f t="shared" si="25"/>
        <v>0</v>
      </c>
      <c r="M85" s="78">
        <v>1020</v>
      </c>
      <c r="P85" s="8">
        <v>0</v>
      </c>
      <c r="Q85" s="8">
        <v>0</v>
      </c>
      <c r="R85" s="8">
        <v>0</v>
      </c>
      <c r="S85" s="8">
        <v>0</v>
      </c>
      <c r="T85" s="8">
        <v>0</v>
      </c>
      <c r="U85" s="8">
        <v>0</v>
      </c>
      <c r="V85" s="8">
        <v>0</v>
      </c>
      <c r="W85" s="8">
        <v>0</v>
      </c>
      <c r="X85" s="10">
        <v>0</v>
      </c>
      <c r="AE85" s="8">
        <v>67.393096790628064</v>
      </c>
      <c r="AF85" s="8">
        <v>53.641744840391752</v>
      </c>
      <c r="AG85" s="8">
        <v>67.393096790628164</v>
      </c>
      <c r="AH85" s="8">
        <v>59.796649129072421</v>
      </c>
      <c r="AI85" s="8">
        <v>58.612792480382005</v>
      </c>
      <c r="AJ85" s="8">
        <v>84.982950606603765</v>
      </c>
      <c r="AK85" s="8">
        <v>43.947903874491629</v>
      </c>
      <c r="AL85" s="8">
        <v>33.765219228397854</v>
      </c>
      <c r="AQ85" s="8">
        <v>84.697267696726598</v>
      </c>
      <c r="AR85" s="8">
        <v>77.100820035170756</v>
      </c>
      <c r="AS85" s="8">
        <v>78.092514526973289</v>
      </c>
      <c r="AT85" s="8">
        <v>93.28540985008479</v>
      </c>
      <c r="AU85" s="8">
        <v>40.487800636361833</v>
      </c>
      <c r="AV85" s="8">
        <v>40.487800636361833</v>
      </c>
      <c r="AW85" s="8">
        <v>68.157466438862741</v>
      </c>
      <c r="AX85" s="8">
        <v>68.157466438862741</v>
      </c>
      <c r="BY85" s="8" t="str">
        <f>+_xlfn.XLOOKUP(Table1[[#This Row],[L4 Code]],KIRMATAŞ!B:B,KIRMATAŞ!B:B,"")</f>
        <v/>
      </c>
      <c r="BZ85" s="8" t="str">
        <f>+_xlfn.XLOOKUP(Table1[[#This Row],[L4 Code]],'SU TEMİNİ'!C:C,'SU TEMİNİ'!C:C,"")</f>
        <v/>
      </c>
      <c r="CA85" s="8" t="str">
        <f>+_xlfn.XLOOKUP(Table1[[#This Row],[L4 Code]],TAŞ!C:C,TAŞ!C:C,"")</f>
        <v/>
      </c>
      <c r="CB85" s="8" t="s">
        <v>5379</v>
      </c>
    </row>
    <row r="86" spans="1:80">
      <c r="A86" s="3" t="s">
        <v>5444</v>
      </c>
      <c r="B86" s="96" t="s">
        <v>2641</v>
      </c>
      <c r="C86" t="str">
        <f>+_xlfn.XLOOKUP(B86,'L4'!B:B,'L4'!C:C)</f>
        <v>BETON - DEMIRSIZ - TEMEL - KÖPRÜ</v>
      </c>
      <c r="D86" t="s">
        <v>4967</v>
      </c>
      <c r="E86" t="str">
        <f>+_xlfn.XLOOKUP(D86,'M2'!H:H,'M2'!I:I)</f>
        <v>PROJE GENELİ</v>
      </c>
      <c r="F86" s="77" t="s">
        <v>4973</v>
      </c>
      <c r="G86" t="s">
        <v>4983</v>
      </c>
      <c r="H86" s="3" t="s">
        <v>4984</v>
      </c>
      <c r="I86" s="3" t="s">
        <v>255</v>
      </c>
      <c r="J86" s="78">
        <v>9944.156353600687</v>
      </c>
      <c r="K86" s="78">
        <f>+M86-SUM(N86:W86)</f>
        <v>9944.1563536006888</v>
      </c>
      <c r="L86" s="5">
        <f>+SUM(X86:BT86)-K86</f>
        <v>0</v>
      </c>
      <c r="M86" s="78">
        <f>+SUM(N86:BX86)</f>
        <v>9944.1563536006888</v>
      </c>
      <c r="N86" s="8">
        <v>0</v>
      </c>
      <c r="O86" s="8">
        <v>0</v>
      </c>
      <c r="P86" s="8">
        <v>0</v>
      </c>
      <c r="Q86" s="8">
        <v>0</v>
      </c>
      <c r="R86" s="8">
        <v>0</v>
      </c>
      <c r="S86" s="8">
        <v>0</v>
      </c>
      <c r="T86" s="8">
        <v>0</v>
      </c>
      <c r="X86" s="10"/>
      <c r="Y86" s="8">
        <v>163.45257533524727</v>
      </c>
      <c r="Z86" s="8">
        <v>512.54648407220998</v>
      </c>
      <c r="AA86" s="8">
        <v>493.33614110131123</v>
      </c>
      <c r="AB86" s="8">
        <v>493.33614110131123</v>
      </c>
      <c r="AC86" s="8">
        <v>434.93669846977895</v>
      </c>
      <c r="AD86" s="8">
        <v>351.1796031166603</v>
      </c>
      <c r="AE86" s="8">
        <v>334.33434229343777</v>
      </c>
      <c r="AF86" s="8">
        <v>553.13737703381116</v>
      </c>
      <c r="AG86" s="8">
        <v>518.0785011119209</v>
      </c>
      <c r="AH86" s="8">
        <v>537.28884408281965</v>
      </c>
      <c r="AI86" s="8">
        <v>561.6219451792914</v>
      </c>
      <c r="AJ86" s="8">
        <v>436.53838449719439</v>
      </c>
      <c r="AK86" s="8">
        <v>259.51005642178694</v>
      </c>
      <c r="AL86" s="8">
        <v>179.25062933845359</v>
      </c>
      <c r="AM86" s="8">
        <v>98.991202255120299</v>
      </c>
      <c r="AN86" s="8">
        <v>98.991202255120299</v>
      </c>
      <c r="AO86" s="8">
        <v>168.78878171605248</v>
      </c>
      <c r="AP86" s="8">
        <v>168.78878171605248</v>
      </c>
      <c r="AQ86" s="8">
        <v>350.32072906195128</v>
      </c>
      <c r="AR86" s="8">
        <v>551.06301937874878</v>
      </c>
      <c r="AS86" s="8">
        <v>551.06301937874878</v>
      </c>
      <c r="AT86" s="8">
        <v>551.06301937874878</v>
      </c>
      <c r="AU86" s="8">
        <v>551.06301937874878</v>
      </c>
      <c r="AV86" s="8">
        <v>350.32072906195128</v>
      </c>
      <c r="AW86" s="8">
        <v>168.78878171605248</v>
      </c>
      <c r="AX86" s="8">
        <v>168.78878171605248</v>
      </c>
      <c r="AY86" s="8">
        <v>168.78878171605248</v>
      </c>
      <c r="AZ86" s="8">
        <v>168.78878171605248</v>
      </c>
      <c r="BA86" s="8">
        <v>0</v>
      </c>
      <c r="BB86" s="8">
        <v>0</v>
      </c>
      <c r="BC86" s="8">
        <v>0</v>
      </c>
      <c r="BD86" s="8">
        <v>0</v>
      </c>
      <c r="BE86" s="8">
        <v>0</v>
      </c>
      <c r="BF86" s="8">
        <v>0</v>
      </c>
      <c r="BG86" s="8">
        <v>0</v>
      </c>
      <c r="BH86" s="8">
        <v>0</v>
      </c>
      <c r="BI86" s="8">
        <v>0</v>
      </c>
      <c r="BJ86" s="8">
        <v>0</v>
      </c>
      <c r="BK86" s="8">
        <v>0</v>
      </c>
      <c r="BL86" s="8">
        <v>0</v>
      </c>
      <c r="BM86" s="8">
        <v>0</v>
      </c>
      <c r="BN86" s="8">
        <v>0</v>
      </c>
      <c r="BO86" s="8">
        <v>0</v>
      </c>
      <c r="BP86" s="8">
        <v>0</v>
      </c>
      <c r="BQ86" s="8">
        <v>0</v>
      </c>
      <c r="BR86" s="8">
        <v>0</v>
      </c>
      <c r="BS86" s="8">
        <v>0</v>
      </c>
      <c r="BT86" s="8">
        <v>0</v>
      </c>
      <c r="BU86" s="8">
        <v>0</v>
      </c>
      <c r="BV86" s="8">
        <v>0</v>
      </c>
      <c r="BW86" s="8">
        <v>0</v>
      </c>
      <c r="BX86" s="8">
        <v>0</v>
      </c>
      <c r="BY86" s="8" t="str">
        <f>+_xlfn.XLOOKUP(Table1[[#This Row],[L4 Code]],KIRMATAŞ!B:B,KIRMATAŞ!B:B,"")</f>
        <v>D-01.ALT-03.KPR-010</v>
      </c>
      <c r="BZ86" s="8" t="str">
        <f>+_xlfn.XLOOKUP(Table1[[#This Row],[L4 Code]],'SU TEMİNİ'!C:C,'SU TEMİNİ'!C:C,"")</f>
        <v/>
      </c>
      <c r="CA86" s="8" t="str">
        <f>+_xlfn.XLOOKUP(Table1[[#This Row],[L4 Code]],TAŞ!C:C,TAŞ!C:C,"")</f>
        <v/>
      </c>
      <c r="CB86" s="8" t="s">
        <v>5380</v>
      </c>
    </row>
    <row r="87" spans="1:80">
      <c r="A87" s="3" t="s">
        <v>5444</v>
      </c>
      <c r="B87" s="96" t="s">
        <v>2642</v>
      </c>
      <c r="C87" t="str">
        <f>+_xlfn.XLOOKUP(B87,'L4'!B:B,'L4'!C:C)</f>
        <v>BETON - DEMIRLI - KÖPRÜ - C 30/37</v>
      </c>
      <c r="D87" t="s">
        <v>4967</v>
      </c>
      <c r="E87" t="str">
        <f>+_xlfn.XLOOKUP(D87,'M2'!H:H,'M2'!I:I)</f>
        <v>PROJE GENELİ</v>
      </c>
      <c r="F87" s="77" t="s">
        <v>4973</v>
      </c>
      <c r="G87" t="s">
        <v>4983</v>
      </c>
      <c r="H87" s="3" t="s">
        <v>4984</v>
      </c>
      <c r="I87" s="3" t="s">
        <v>260</v>
      </c>
      <c r="J87" s="78">
        <v>180285.98995270996</v>
      </c>
      <c r="K87" s="78">
        <f>+M87-SUM(N87:W87)</f>
        <v>180285.98995270993</v>
      </c>
      <c r="L87" s="5">
        <f>+SUM(X87:BT87)-K87</f>
        <v>0</v>
      </c>
      <c r="M87" s="78">
        <f>+SUM(N87:BX87)</f>
        <v>180285.98995270993</v>
      </c>
      <c r="N87" s="8">
        <v>0</v>
      </c>
      <c r="O87" s="8">
        <v>0</v>
      </c>
      <c r="P87" s="8">
        <v>0</v>
      </c>
      <c r="Q87" s="8">
        <v>0</v>
      </c>
      <c r="R87" s="8">
        <v>0</v>
      </c>
      <c r="S87" s="8">
        <v>0</v>
      </c>
      <c r="T87" s="8">
        <v>0</v>
      </c>
      <c r="X87" s="10"/>
      <c r="Y87" s="8">
        <v>3480.7577138637216</v>
      </c>
      <c r="Z87" s="8">
        <v>9739.2773444779414</v>
      </c>
      <c r="AA87" s="8">
        <v>9330.1889630634669</v>
      </c>
      <c r="AB87" s="8">
        <v>9330.1889630634669</v>
      </c>
      <c r="AC87" s="8">
        <v>8086.5602835634672</v>
      </c>
      <c r="AD87" s="8">
        <v>6302.9349405963621</v>
      </c>
      <c r="AE87" s="8">
        <v>5962.0222518378632</v>
      </c>
      <c r="AF87" s="8">
        <v>9463.7804843827107</v>
      </c>
      <c r="AG87" s="8">
        <v>8717.1941883012951</v>
      </c>
      <c r="AH87" s="8">
        <v>9126.2825697157696</v>
      </c>
      <c r="AI87" s="8">
        <v>9644.4611861741032</v>
      </c>
      <c r="AJ87" s="8">
        <v>7559.6295878736619</v>
      </c>
      <c r="AK87" s="8">
        <v>4368.6230062284885</v>
      </c>
      <c r="AL87" s="8">
        <v>3238.3309645618215</v>
      </c>
      <c r="AM87" s="8">
        <v>2108.0389228951544</v>
      </c>
      <c r="AN87" s="8">
        <v>2108.0389228951544</v>
      </c>
      <c r="AO87" s="8">
        <v>3594.3933753677425</v>
      </c>
      <c r="AP87" s="8">
        <v>3594.3933753677425</v>
      </c>
      <c r="AQ87" s="8">
        <v>6289.4539382822168</v>
      </c>
      <c r="AR87" s="8">
        <v>9393.6028826111633</v>
      </c>
      <c r="AS87" s="8">
        <v>9393.6028826111633</v>
      </c>
      <c r="AT87" s="8">
        <v>9393.6028826111633</v>
      </c>
      <c r="AU87" s="8">
        <v>9393.6028826111633</v>
      </c>
      <c r="AV87" s="8">
        <v>6289.4539382822168</v>
      </c>
      <c r="AW87" s="8">
        <v>3594.3933753677425</v>
      </c>
      <c r="AX87" s="8">
        <v>3594.3933753677425</v>
      </c>
      <c r="AY87" s="8">
        <v>3594.3933753677425</v>
      </c>
      <c r="AZ87" s="8">
        <v>3594.3933753677425</v>
      </c>
      <c r="BA87" s="8">
        <v>0</v>
      </c>
      <c r="BB87" s="8">
        <v>0</v>
      </c>
      <c r="BC87" s="8">
        <v>0</v>
      </c>
      <c r="BD87" s="8">
        <v>0</v>
      </c>
      <c r="BE87" s="8">
        <v>0</v>
      </c>
      <c r="BF87" s="8">
        <v>0</v>
      </c>
      <c r="BG87" s="8">
        <v>0</v>
      </c>
      <c r="BH87" s="8">
        <v>0</v>
      </c>
      <c r="BI87" s="8">
        <v>0</v>
      </c>
      <c r="BJ87" s="8">
        <v>0</v>
      </c>
      <c r="BK87" s="8">
        <v>0</v>
      </c>
      <c r="BL87" s="8">
        <v>0</v>
      </c>
      <c r="BM87" s="8">
        <v>0</v>
      </c>
      <c r="BN87" s="8">
        <v>0</v>
      </c>
      <c r="BO87" s="8">
        <v>0</v>
      </c>
      <c r="BP87" s="8">
        <v>0</v>
      </c>
      <c r="BQ87" s="8">
        <v>0</v>
      </c>
      <c r="BR87" s="8">
        <v>0</v>
      </c>
      <c r="BS87" s="8">
        <v>0</v>
      </c>
      <c r="BT87" s="8">
        <v>0</v>
      </c>
      <c r="BU87" s="8">
        <v>0</v>
      </c>
      <c r="BV87" s="8">
        <v>0</v>
      </c>
      <c r="BW87" s="8">
        <v>0</v>
      </c>
      <c r="BX87" s="8">
        <v>0</v>
      </c>
      <c r="BY87" s="8" t="str">
        <f>+_xlfn.XLOOKUP(Table1[[#This Row],[L4 Code]],KIRMATAŞ!B:B,KIRMATAŞ!B:B,"")</f>
        <v>D-01.ALT-03.KPR-011</v>
      </c>
      <c r="BZ87" s="8" t="str">
        <f>+_xlfn.XLOOKUP(Table1[[#This Row],[L4 Code]],'SU TEMİNİ'!C:C,'SU TEMİNİ'!C:C,"")</f>
        <v/>
      </c>
      <c r="CA87" s="8" t="str">
        <f>+_xlfn.XLOOKUP(Table1[[#This Row],[L4 Code]],TAŞ!C:C,TAŞ!C:C,"")</f>
        <v/>
      </c>
      <c r="CB87" s="8" t="s">
        <v>5381</v>
      </c>
    </row>
    <row r="88" spans="1:80">
      <c r="A88" s="3" t="s">
        <v>5444</v>
      </c>
      <c r="B88" s="96" t="s">
        <v>2643</v>
      </c>
      <c r="C88" t="str">
        <f>+_xlfn.XLOOKUP(B88,'L4'!B:B,'L4'!C:C)</f>
        <v>BETON - ÖNGERMELI KÖPRÜ KIRIŞLERINDE</v>
      </c>
      <c r="D88" t="s">
        <v>4967</v>
      </c>
      <c r="E88" t="str">
        <f>+_xlfn.XLOOKUP(D88,'M2'!H:H,'M2'!I:I)</f>
        <v>PROJE GENELİ</v>
      </c>
      <c r="F88" s="77" t="s">
        <v>4973</v>
      </c>
      <c r="G88" t="s">
        <v>4983</v>
      </c>
      <c r="H88" s="3" t="s">
        <v>4984</v>
      </c>
      <c r="I88" s="3" t="s">
        <v>264</v>
      </c>
      <c r="J88" s="78">
        <v>36251.841165707228</v>
      </c>
      <c r="K88" s="78">
        <f>+M88-SUM(N88:W88)</f>
        <v>36251.841165707228</v>
      </c>
      <c r="L88" s="5">
        <f>+SUM(X88:BT88)-K88</f>
        <v>0</v>
      </c>
      <c r="M88" s="78">
        <f>+SUM(N88:BX88)</f>
        <v>36251.841165707228</v>
      </c>
      <c r="N88" s="8">
        <v>0</v>
      </c>
      <c r="O88" s="8">
        <v>0</v>
      </c>
      <c r="P88" s="8">
        <v>0</v>
      </c>
      <c r="Q88" s="8">
        <v>0</v>
      </c>
      <c r="R88" s="8">
        <v>0</v>
      </c>
      <c r="S88" s="8">
        <v>0</v>
      </c>
      <c r="T88" s="8">
        <v>0</v>
      </c>
      <c r="X88" s="10"/>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BA88" s="8">
        <v>0</v>
      </c>
      <c r="BB88" s="8">
        <v>0</v>
      </c>
      <c r="BC88" s="8">
        <v>0</v>
      </c>
      <c r="BD88" s="8">
        <v>0</v>
      </c>
      <c r="BE88" s="8">
        <v>0</v>
      </c>
      <c r="BF88" s="8">
        <v>0</v>
      </c>
      <c r="BG88" s="8">
        <v>0</v>
      </c>
      <c r="BH88" s="8">
        <v>0</v>
      </c>
      <c r="BI88" s="8">
        <v>0</v>
      </c>
      <c r="BJ88" s="8">
        <v>0</v>
      </c>
      <c r="BK88" s="8">
        <v>0</v>
      </c>
      <c r="BL88" s="8">
        <v>0</v>
      </c>
      <c r="BM88" s="8">
        <v>0</v>
      </c>
      <c r="BN88" s="8">
        <v>0</v>
      </c>
      <c r="BO88" s="8">
        <v>0</v>
      </c>
      <c r="BP88" s="8">
        <v>0</v>
      </c>
      <c r="BQ88" s="8">
        <v>0</v>
      </c>
      <c r="BR88" s="8">
        <v>0</v>
      </c>
      <c r="BS88" s="8">
        <v>0</v>
      </c>
      <c r="BT88" s="8">
        <v>0</v>
      </c>
      <c r="BU88" s="8">
        <v>0</v>
      </c>
      <c r="BV88" s="8">
        <v>0</v>
      </c>
      <c r="BW88" s="8">
        <v>0</v>
      </c>
      <c r="BX88" s="8">
        <v>0</v>
      </c>
      <c r="BY88" s="8" t="str">
        <f>+_xlfn.XLOOKUP(Table1[[#This Row],[L4 Code]],KIRMATAŞ!B:B,KIRMATAŞ!B:B,"")</f>
        <v>D-01.ALT-03.KPR-013</v>
      </c>
      <c r="BZ88" s="8" t="str">
        <f>+_xlfn.XLOOKUP(Table1[[#This Row],[L4 Code]],'SU TEMİNİ'!C:C,'SU TEMİNİ'!C:C,"")</f>
        <v/>
      </c>
      <c r="CA88" s="8" t="str">
        <f>+_xlfn.XLOOKUP(Table1[[#This Row],[L4 Code]],TAŞ!C:C,TAŞ!C:C,"")</f>
        <v/>
      </c>
      <c r="CB88" s="8" t="s">
        <v>5382</v>
      </c>
    </row>
    <row r="89" spans="1:80">
      <c r="A89" s="3" t="s">
        <v>5444</v>
      </c>
      <c r="B89" s="96" t="s">
        <v>2650</v>
      </c>
      <c r="C89" t="str">
        <f>+_xlfn.XLOOKUP(B89,'L4'!B:B,'L4'!C:C)</f>
        <v>KÖPRÜLERDE PREKAST CEPHE PANELI (MLZ.+İŞÇ.)</v>
      </c>
      <c r="D89" t="s">
        <v>4967</v>
      </c>
      <c r="E89" t="str">
        <f>+_xlfn.XLOOKUP(D89,'M2'!H:H,'M2'!I:I)</f>
        <v>PROJE GENELİ</v>
      </c>
      <c r="F89" s="77" t="s">
        <v>4973</v>
      </c>
      <c r="G89" t="s">
        <v>4983</v>
      </c>
      <c r="H89" s="3" t="s">
        <v>4984</v>
      </c>
      <c r="I89" s="3" t="s">
        <v>299</v>
      </c>
      <c r="J89" s="78">
        <v>825.37875000000008</v>
      </c>
      <c r="K89" s="78">
        <f>+M89-SUM(N89:W89)</f>
        <v>825.37875000000008</v>
      </c>
      <c r="L89" s="5">
        <f>+SUM(X89:BT89)-K89</f>
        <v>0</v>
      </c>
      <c r="M89" s="78">
        <f>+SUM(N89:BX89)</f>
        <v>825.37875000000008</v>
      </c>
      <c r="N89" s="8">
        <v>0</v>
      </c>
      <c r="O89" s="8">
        <v>0</v>
      </c>
      <c r="P89" s="8">
        <v>0</v>
      </c>
      <c r="Q89" s="8">
        <v>0</v>
      </c>
      <c r="R89" s="8">
        <v>0</v>
      </c>
      <c r="S89" s="8">
        <v>0</v>
      </c>
      <c r="T89" s="8">
        <v>0</v>
      </c>
      <c r="X89" s="10"/>
      <c r="AC89" s="8">
        <v>52.717874999999992</v>
      </c>
      <c r="AD89" s="8">
        <v>52.717874999999992</v>
      </c>
      <c r="AE89" s="8">
        <v>62.935687499999993</v>
      </c>
      <c r="AF89" s="8">
        <v>76.910137500000005</v>
      </c>
      <c r="AG89" s="8">
        <v>69.448574999999991</v>
      </c>
      <c r="AH89" s="8">
        <v>47.083574999999989</v>
      </c>
      <c r="AI89" s="8">
        <v>39.568199999999997</v>
      </c>
      <c r="AJ89" s="8">
        <v>34.646324999999997</v>
      </c>
      <c r="AK89" s="8">
        <v>20.186249999999998</v>
      </c>
      <c r="AL89" s="8">
        <v>14.476874999999994</v>
      </c>
      <c r="AM89" s="8">
        <v>11.917499999999997</v>
      </c>
      <c r="AN89" s="8">
        <v>11.917499999999997</v>
      </c>
      <c r="AO89" s="8">
        <v>20.501249999999995</v>
      </c>
      <c r="AP89" s="8">
        <v>20.501249999999995</v>
      </c>
      <c r="AQ89" s="8">
        <v>28.039987499999992</v>
      </c>
      <c r="AR89" s="8">
        <v>37.941224999999996</v>
      </c>
      <c r="AS89" s="8">
        <v>37.941224999999996</v>
      </c>
      <c r="AT89" s="8">
        <v>37.941224999999996</v>
      </c>
      <c r="AU89" s="8">
        <v>37.941224999999996</v>
      </c>
      <c r="AV89" s="8">
        <v>28.039987499999992</v>
      </c>
      <c r="AW89" s="8">
        <v>20.501249999999995</v>
      </c>
      <c r="AX89" s="8">
        <v>20.501249999999995</v>
      </c>
      <c r="AY89" s="8">
        <v>20.501249999999995</v>
      </c>
      <c r="AZ89" s="8">
        <v>20.501249999999995</v>
      </c>
      <c r="BA89" s="8">
        <v>0</v>
      </c>
      <c r="BB89" s="8">
        <v>0</v>
      </c>
      <c r="BC89" s="8">
        <v>0</v>
      </c>
      <c r="BD89" s="8">
        <v>0</v>
      </c>
      <c r="BE89" s="8">
        <v>0</v>
      </c>
      <c r="BF89" s="8">
        <v>0</v>
      </c>
      <c r="BG89" s="8">
        <v>0</v>
      </c>
      <c r="BH89" s="8">
        <v>0</v>
      </c>
      <c r="BI89" s="8">
        <v>0</v>
      </c>
      <c r="BJ89" s="8">
        <v>0</v>
      </c>
      <c r="BK89" s="8">
        <v>0</v>
      </c>
      <c r="BL89" s="8">
        <v>0</v>
      </c>
      <c r="BM89" s="8">
        <v>0</v>
      </c>
      <c r="BN89" s="8">
        <v>0</v>
      </c>
      <c r="BO89" s="8">
        <v>0</v>
      </c>
      <c r="BP89" s="8">
        <v>0</v>
      </c>
      <c r="BQ89" s="8">
        <v>0</v>
      </c>
      <c r="BR89" s="8">
        <v>0</v>
      </c>
      <c r="BS89" s="8">
        <v>0</v>
      </c>
      <c r="BT89" s="8">
        <v>0</v>
      </c>
      <c r="BU89" s="8">
        <v>0</v>
      </c>
      <c r="BV89" s="8">
        <v>0</v>
      </c>
      <c r="BW89" s="8">
        <v>0</v>
      </c>
      <c r="BX89" s="8">
        <v>0</v>
      </c>
      <c r="BY89" s="8" t="str">
        <f>+_xlfn.XLOOKUP(Table1[[#This Row],[L4 Code]],KIRMATAŞ!B:B,KIRMATAŞ!B:B,"")</f>
        <v>D-01.ALT-03.KPR-022</v>
      </c>
      <c r="BZ89" s="8" t="str">
        <f>+_xlfn.XLOOKUP(Table1[[#This Row],[L4 Code]],'SU TEMİNİ'!C:C,'SU TEMİNİ'!C:C,"")</f>
        <v/>
      </c>
      <c r="CA89" s="8" t="str">
        <f>+_xlfn.XLOOKUP(Table1[[#This Row],[L4 Code]],TAŞ!C:C,TAŞ!C:C,"")</f>
        <v/>
      </c>
      <c r="CB89" s="8" t="s">
        <v>5383</v>
      </c>
    </row>
    <row r="90" spans="1:80">
      <c r="A90" s="3" t="s">
        <v>5444</v>
      </c>
      <c r="B90" s="96"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 t="shared" ref="K90:K101" si="32">+M90-SUM(N90:X90)</f>
        <v>107.90229982848001</v>
      </c>
      <c r="L90" s="5">
        <f t="shared" ref="L90:L101" si="33">-SUM(Y90:BT90)+K90</f>
        <v>0</v>
      </c>
      <c r="M90" s="78">
        <v>300</v>
      </c>
      <c r="R90" s="8">
        <v>17.301569999999998</v>
      </c>
      <c r="S90" s="8">
        <v>34.706000000000003</v>
      </c>
      <c r="T90" s="8">
        <v>23.292000000000002</v>
      </c>
      <c r="U90" s="8">
        <v>27.728130171520007</v>
      </c>
      <c r="V90" s="8">
        <v>50.584999999999994</v>
      </c>
      <c r="W90" s="8">
        <v>38.484999999999985</v>
      </c>
      <c r="X90" s="10">
        <v>0</v>
      </c>
      <c r="Y90" s="8">
        <f>((+$K90))*0.0234647417611078</f>
        <v>2.53189960090491</v>
      </c>
      <c r="Z90" s="8">
        <f>((+$K90))*0.0160172440537002</f>
        <v>1.7282974703082976</v>
      </c>
      <c r="AA90" s="8">
        <f>((+$K90))*0.0249581733757012</f>
        <v>2.6930443067560978</v>
      </c>
      <c r="AB90" s="8">
        <f>((+$K90))*0.0175106756682936</f>
        <v>1.8894421761594857</v>
      </c>
      <c r="AC90" s="8">
        <f>((+$K90))*0.0223842517859311</f>
        <v>2.4153122476417268</v>
      </c>
      <c r="AD90" s="8">
        <f>((+$K90))*0.0482373479881093</f>
        <v>5.2049207855436972</v>
      </c>
      <c r="AE90" s="8">
        <f>((+$K90))*0.0426069217591158</f>
        <v>4.5973848464207014</v>
      </c>
      <c r="AF90" s="8">
        <f>((+$K90))*0.0365727018682525</f>
        <v>3.9462786425257921</v>
      </c>
      <c r="AG90" s="8">
        <f>((+$K90))*0.0411134901445225</f>
        <v>4.4362401405695246</v>
      </c>
      <c r="AH90" s="8">
        <f>((+$K90))*0.0411134901445225</f>
        <v>4.4362401405695246</v>
      </c>
      <c r="AI90" s="8">
        <f>((+$K90))*0.0350792702536591</f>
        <v>3.7851339366746046</v>
      </c>
      <c r="AJ90" s="8">
        <f>((+$K90))*0.0350792702536591</f>
        <v>3.7851339366746046</v>
      </c>
      <c r="AK90" s="8">
        <f>((+$K90))*0.0331031561062724</f>
        <v>3.5719066754479836</v>
      </c>
      <c r="AL90" s="8">
        <f>((+$K90))*0.0331031561062724</f>
        <v>3.5719066754479836</v>
      </c>
      <c r="AM90" s="8">
        <f>((+$K90))*0.0312741749833369</f>
        <v>3.3745554059403671</v>
      </c>
      <c r="AN90" s="8">
        <f>((+$K90))*0.0238266772759292</f>
        <v>2.5709532753437441</v>
      </c>
      <c r="AO90" s="8">
        <f>((+$K90))*0.0247989267776964</f>
        <v>2.6758612325915183</v>
      </c>
      <c r="AP90" s="8">
        <f>((+$K90))*0.0457281420833749</f>
        <v>4.9341716976796528</v>
      </c>
      <c r="AQ90" s="8">
        <f>((+$K90))*0.0517623619742382</f>
        <v>5.5852779015745622</v>
      </c>
      <c r="AR90" s="8">
        <f>((+$K90))*0.0517623619742382</f>
        <v>5.5852779015745622</v>
      </c>
      <c r="AS90" s="8">
        <f>((+$K90))*0.0517623619742382</f>
        <v>5.5852779015745622</v>
      </c>
      <c r="AT90" s="8">
        <f>(((+$K90))*0.0457281420833749)+1.07719126641338</f>
        <v>6.0113629640930331</v>
      </c>
      <c r="AU90" s="8">
        <f>((+$K90))*0.0396939221925116</f>
        <v>4.2830654937847434</v>
      </c>
      <c r="AV90" s="8">
        <f>((+$K90))*0.0396939221925116</f>
        <v>4.2830654937847434</v>
      </c>
      <c r="AW90" s="8">
        <f>((+$K90))*0.0297899908296304</f>
        <v>3.2144085223864494</v>
      </c>
      <c r="AX90" s="8">
        <f>((+$K90))*0.0370310546986664</f>
        <v>3.9957359670603458</v>
      </c>
      <c r="AY90" s="8">
        <f>((+$K90))*0.0370310546986664</f>
        <v>3.9957359670603458</v>
      </c>
      <c r="AZ90" s="8">
        <f>((+$K90))*0.0297899908296304</f>
        <v>3.2144085223864494</v>
      </c>
      <c r="BY90" s="8" t="str">
        <f>+_xlfn.XLOOKUP(Table1[[#This Row],[L4 Code]],KIRMATAŞ!B:B,KIRMATAŞ!B:B,"")</f>
        <v/>
      </c>
      <c r="BZ90" s="8" t="str">
        <f>+_xlfn.XLOOKUP(Table1[[#This Row],[L4 Code]],'SU TEMİNİ'!C:C,'SU TEMİNİ'!C:C,"")</f>
        <v/>
      </c>
      <c r="CA90" s="8" t="str">
        <f>+_xlfn.XLOOKUP(Table1[[#This Row],[L4 Code]],TAŞ!C:C,TAŞ!C:C,"")</f>
        <v/>
      </c>
      <c r="CB90" s="8" t="s">
        <v>5384</v>
      </c>
    </row>
    <row r="91" spans="1:80">
      <c r="A91" s="3" t="s">
        <v>5444</v>
      </c>
      <c r="B91" s="96"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 t="shared" si="32"/>
        <v>23.460000000000008</v>
      </c>
      <c r="L91" s="5">
        <f t="shared" si="33"/>
        <v>0</v>
      </c>
      <c r="M91" s="78">
        <v>150</v>
      </c>
      <c r="R91" s="8">
        <v>92.72</v>
      </c>
      <c r="S91" s="8">
        <v>82.38</v>
      </c>
      <c r="T91" s="8">
        <v>-67.17</v>
      </c>
      <c r="U91" s="8">
        <v>0</v>
      </c>
      <c r="V91" s="8">
        <v>18.61</v>
      </c>
      <c r="W91" s="8">
        <v>0</v>
      </c>
      <c r="X91" s="10">
        <v>0</v>
      </c>
      <c r="Y91" s="8">
        <f>(+$K91)*0.0234647417611078</f>
        <v>0.55048284171558914</v>
      </c>
      <c r="Z91" s="8">
        <f>(+$K91)*0.0160172440537002</f>
        <v>0.37576454549980681</v>
      </c>
      <c r="AA91" s="8">
        <f>(+$K91)*0.0249581733757012</f>
        <v>0.58551874739395038</v>
      </c>
      <c r="AB91" s="8">
        <f>(+$K91)*0.0175106756682936</f>
        <v>0.41080045117816799</v>
      </c>
      <c r="AC91" s="8">
        <f>(+$K91)*0.0223842517859311</f>
        <v>0.52513454689794381</v>
      </c>
      <c r="AD91" s="8">
        <f>(+$K91)*0.0482373479881093</f>
        <v>1.1316481838010446</v>
      </c>
      <c r="AE91" s="8">
        <f>(+$K91)*0.0426069217591158</f>
        <v>0.99955838446885692</v>
      </c>
      <c r="AF91" s="8">
        <f>((+$K91)*0.0365727018682525)--0.234201746860148</f>
        <v>1.0921973326893519</v>
      </c>
      <c r="AG91" s="8">
        <f>(+$K91)*0.0411134901445225</f>
        <v>0.96452247879049824</v>
      </c>
      <c r="AH91" s="8">
        <f>(+$K91)*0.0411134901445225</f>
        <v>0.96452247879049824</v>
      </c>
      <c r="AI91" s="8">
        <f>(+$K91)*0.0350792702536591</f>
        <v>0.82295968015084286</v>
      </c>
      <c r="AJ91" s="8">
        <f>(+$K91)*0.0350792702536591</f>
        <v>0.82295968015084286</v>
      </c>
      <c r="AK91" s="8">
        <f>(+$K91)*0.0331031561062724</f>
        <v>0.77660004225315082</v>
      </c>
      <c r="AL91" s="8">
        <f>(+$K91)*0.0331031561062724</f>
        <v>0.77660004225315082</v>
      </c>
      <c r="AM91" s="8">
        <f>(+$K91)*0.0312741749833369</f>
        <v>0.73369214510908387</v>
      </c>
      <c r="AN91" s="8">
        <f>(+$K91)*0.0238266772759292</f>
        <v>0.55897384889329926</v>
      </c>
      <c r="AO91" s="8">
        <f>(+$K91)*0.0247989267776964</f>
        <v>0.58178282220475774</v>
      </c>
      <c r="AP91" s="8">
        <f>(+$K91)*0.0457281420833749</f>
        <v>1.0727822132759754</v>
      </c>
      <c r="AQ91" s="8">
        <f>(+$K91)*0.0517623619742382</f>
        <v>1.2143450119156285</v>
      </c>
      <c r="AR91" s="8">
        <f>(+$K91)*0.0517623619742382</f>
        <v>1.2143450119156285</v>
      </c>
      <c r="AS91" s="8">
        <f>(+$K91)*0.0517623619742382</f>
        <v>1.2143450119156285</v>
      </c>
      <c r="AT91" s="8">
        <f>(+$K91)*0.0457281420833749</f>
        <v>1.0727822132759754</v>
      </c>
      <c r="AU91" s="8">
        <f>(+$K91)*0.0396939221925116</f>
        <v>0.93121941463632252</v>
      </c>
      <c r="AV91" s="8">
        <f>(+$K91)*0.0396939221925116</f>
        <v>0.93121941463632252</v>
      </c>
      <c r="AW91" s="8">
        <f>(+$K91)*0.0297899908296304</f>
        <v>0.69887318486312944</v>
      </c>
      <c r="AX91" s="8">
        <f>(+$K91)*0.0370310546986664</f>
        <v>0.86874854323071415</v>
      </c>
      <c r="AY91" s="8">
        <f>(+$K91)*0.0370310546986664</f>
        <v>0.86874854323071415</v>
      </c>
      <c r="AZ91" s="8">
        <f>(+$K91)*0.0297899908296304</f>
        <v>0.69887318486312944</v>
      </c>
      <c r="BY91" s="8" t="str">
        <f>+_xlfn.XLOOKUP(Table1[[#This Row],[L4 Code]],KIRMATAŞ!B:B,KIRMATAŞ!B:B,"")</f>
        <v/>
      </c>
      <c r="BZ91" s="8" t="str">
        <f>+_xlfn.XLOOKUP(Table1[[#This Row],[L4 Code]],'SU TEMİNİ'!C:C,'SU TEMİNİ'!C:C,"")</f>
        <v/>
      </c>
      <c r="CA91" s="8" t="str">
        <f>+_xlfn.XLOOKUP(Table1[[#This Row],[L4 Code]],TAŞ!C:C,TAŞ!C:C,"")</f>
        <v/>
      </c>
      <c r="CB91" s="8" t="s">
        <v>5385</v>
      </c>
    </row>
    <row r="92" spans="1:80">
      <c r="A92" s="3" t="s">
        <v>5444</v>
      </c>
      <c r="B92" s="96"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 t="shared" si="32"/>
        <v>37.584000000000003</v>
      </c>
      <c r="L92" s="5">
        <f t="shared" si="33"/>
        <v>0</v>
      </c>
      <c r="M92" s="78">
        <v>152</v>
      </c>
      <c r="R92" s="8">
        <v>11.0851884</v>
      </c>
      <c r="S92" s="8">
        <v>31.313139</v>
      </c>
      <c r="T92" s="8">
        <v>36.705420311999987</v>
      </c>
      <c r="U92" s="8">
        <v>4.2052522880000112</v>
      </c>
      <c r="V92" s="8">
        <v>31.106999999999999</v>
      </c>
      <c r="W92" s="8">
        <v>0</v>
      </c>
      <c r="X92" s="10">
        <v>0</v>
      </c>
      <c r="Y92" s="8">
        <f>(+$K92)*0.0234647417611078</f>
        <v>0.88189885434947557</v>
      </c>
      <c r="Z92" s="8">
        <f>(+$K92)*0.0160172440537002</f>
        <v>0.60199210051426844</v>
      </c>
      <c r="AA92" s="8">
        <f>(+$K92)*0.0249581733757012</f>
        <v>0.938027988152354</v>
      </c>
      <c r="AB92" s="8">
        <f>(+$K92)*0.0175106756682936</f>
        <v>0.65812123431714675</v>
      </c>
      <c r="AC92" s="8">
        <f>((+$K92)*0.0223842517859311)--0.0178667609588601</f>
        <v>0.85915648008129453</v>
      </c>
      <c r="AD92" s="8">
        <f>((+$K92)*0.0482373479881093)--0.0178667609588601</f>
        <v>1.8308192477439602</v>
      </c>
      <c r="AE92" s="8">
        <f>((+$K92)*0.0426069217591158)--0.0178667609588601</f>
        <v>1.6192053083534683</v>
      </c>
      <c r="AF92" s="8">
        <f>((+$K92)*0.0365727018682525)--0.0178667609588601</f>
        <v>1.392415187975262</v>
      </c>
      <c r="AG92" s="8">
        <f>((+$K92)*0.0411134901445225)--0.0178667609588601</f>
        <v>1.5630761745505939</v>
      </c>
      <c r="AH92" s="8">
        <f>((+$K92)*0.0411134901445225)--0.0178667609588601</f>
        <v>1.5630761745505939</v>
      </c>
      <c r="AI92" s="8">
        <f>((+$K92)*0.0350792702536591)--0.0178667609588601</f>
        <v>1.336286054172384</v>
      </c>
      <c r="AJ92" s="8">
        <f>((+$K92)*0.0350792702536591)--0.0178667609588601</f>
        <v>1.336286054172384</v>
      </c>
      <c r="AK92" s="8">
        <f>((+$K92)*0.0331031561062724)--0.0178667609588601</f>
        <v>1.2620157800570022</v>
      </c>
      <c r="AL92" s="8">
        <f>((+$K92)*0.0331031561062724)--0.0178667609588601</f>
        <v>1.2620157800570022</v>
      </c>
      <c r="AM92" s="8">
        <f>((+$K92)*0.0312741749833369)--0.0178667609588601</f>
        <v>1.1932753535325942</v>
      </c>
      <c r="AN92" s="8">
        <f>((+$K92)*0.0238266772759292)--0.0178667609588601</f>
        <v>0.91336859969738327</v>
      </c>
      <c r="AO92" s="8">
        <f>((+$K92)*0.0247989267776964)--0.0178667609588601</f>
        <v>0.94990962497180165</v>
      </c>
      <c r="AP92" s="8">
        <f>((+$K92)*0.0457281420833749)--0.0178667609588601</f>
        <v>1.7365132530204224</v>
      </c>
      <c r="AQ92" s="8">
        <f>((+$K92)*0.0517623619742382)--0.0178667609588601</f>
        <v>1.9633033733986287</v>
      </c>
      <c r="AR92" s="8">
        <f>((+$K92)*0.0517623619742382)--0.0178667609588601</f>
        <v>1.9633033733986287</v>
      </c>
      <c r="AS92" s="8">
        <f>((+$K92)*0.0517623619742382)--0.0178667609588601</f>
        <v>1.9633033733986287</v>
      </c>
      <c r="AT92" s="8">
        <f>((+$K92)*0.0457281420833749)--0.0178667609588601</f>
        <v>1.7365132530204224</v>
      </c>
      <c r="AU92" s="8">
        <f>((+$K92)*0.0396939221925116)--0.0178667609588601</f>
        <v>1.5097231326422162</v>
      </c>
      <c r="AV92" s="8">
        <f>((+$K92)*0.0396939221925116)--0.0178667609588601</f>
        <v>1.5097231326422162</v>
      </c>
      <c r="AW92" s="8">
        <f>((+$K92)*0.0297899908296304)--0.0178667609588601</f>
        <v>1.1374937762996893</v>
      </c>
      <c r="AX92" s="8">
        <f>(+$K92)*0.0370310546986664</f>
        <v>1.3917751597946781</v>
      </c>
      <c r="AY92" s="8">
        <f>(+$K92)*0.0370310546986664</f>
        <v>1.3917751597946781</v>
      </c>
      <c r="AZ92" s="8">
        <f>(+$K92)*0.0297899908296304</f>
        <v>1.1196270153408292</v>
      </c>
      <c r="BY92" s="8" t="str">
        <f>+_xlfn.XLOOKUP(Table1[[#This Row],[L4 Code]],KIRMATAŞ!B:B,KIRMATAŞ!B:B,"")</f>
        <v/>
      </c>
      <c r="BZ92" s="8" t="str">
        <f>+_xlfn.XLOOKUP(Table1[[#This Row],[L4 Code]],'SU TEMİNİ'!C:C,'SU TEMİNİ'!C:C,"")</f>
        <v/>
      </c>
      <c r="CA92" s="8" t="str">
        <f>+_xlfn.XLOOKUP(Table1[[#This Row],[L4 Code]],TAŞ!C:C,TAŞ!C:C,"")</f>
        <v/>
      </c>
      <c r="CB92" s="8" t="s">
        <v>5386</v>
      </c>
    </row>
    <row r="93" spans="1:80">
      <c r="A93" s="3" t="s">
        <v>5444</v>
      </c>
      <c r="B93" s="96"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 t="shared" si="32"/>
        <v>2273.8049999999998</v>
      </c>
      <c r="L93" s="5">
        <f t="shared" si="33"/>
        <v>0</v>
      </c>
      <c r="M93" s="78">
        <v>3000</v>
      </c>
      <c r="P93" s="8">
        <v>86.96</v>
      </c>
      <c r="Q93" s="8">
        <v>117.205</v>
      </c>
      <c r="R93" s="8">
        <v>34.550000000000011</v>
      </c>
      <c r="S93" s="8">
        <v>0</v>
      </c>
      <c r="T93" s="8">
        <v>207.56036706559999</v>
      </c>
      <c r="U93" s="8">
        <v>128.30674893440005</v>
      </c>
      <c r="V93" s="8">
        <v>45.989883999999961</v>
      </c>
      <c r="W93" s="8">
        <v>38.960000000000036</v>
      </c>
      <c r="X93" s="10">
        <v>66.663000000000011</v>
      </c>
      <c r="Y93" s="8">
        <v>53.354247140115717</v>
      </c>
      <c r="Z93" s="8">
        <v>36.420089615523779</v>
      </c>
      <c r="AA93" s="8">
        <v>56.750019412536261</v>
      </c>
      <c r="AB93" s="8">
        <v>39.81586188794433</v>
      </c>
      <c r="AC93" s="8">
        <v>50.89742363210906</v>
      </c>
      <c r="AD93" s="8">
        <v>109.68232304210287</v>
      </c>
      <c r="AE93" s="8">
        <v>96.879831730486288</v>
      </c>
      <c r="AF93" s="8">
        <v>83.159192371541863</v>
      </c>
      <c r="AG93" s="8">
        <v>93.484059458065971</v>
      </c>
      <c r="AH93" s="8">
        <v>93.484059458065971</v>
      </c>
      <c r="AI93" s="8">
        <v>79.763420099121333</v>
      </c>
      <c r="AJ93" s="8">
        <v>79.763420099121333</v>
      </c>
      <c r="AK93" s="8">
        <v>97.969572126801694</v>
      </c>
      <c r="AL93" s="8">
        <v>75.27012187022271</v>
      </c>
      <c r="AM93" s="8">
        <v>71.111375447986347</v>
      </c>
      <c r="AN93" s="8">
        <v>54.177217923394196</v>
      </c>
      <c r="AO93" s="8">
        <v>56.387923701759959</v>
      </c>
      <c r="AP93" s="8">
        <v>103.97687810988825</v>
      </c>
      <c r="AQ93" s="8">
        <v>117.69751746883267</v>
      </c>
      <c r="AR93" s="8">
        <v>117.69751746883267</v>
      </c>
      <c r="AS93" s="8">
        <v>117.69751746883267</v>
      </c>
      <c r="AT93" s="8">
        <v>103.97687810988825</v>
      </c>
      <c r="AU93" s="8">
        <v>90.256238750943837</v>
      </c>
      <c r="AV93" s="8">
        <v>90.256238750943837</v>
      </c>
      <c r="AW93" s="8">
        <v>67.736630098367755</v>
      </c>
      <c r="AX93" s="8">
        <v>84.201397329101155</v>
      </c>
      <c r="AY93" s="8">
        <v>84.201397329101155</v>
      </c>
      <c r="AZ93" s="8">
        <v>67.736630098367755</v>
      </c>
      <c r="BY93" s="8" t="str">
        <f>+_xlfn.XLOOKUP(Table1[[#This Row],[L4 Code]],KIRMATAŞ!B:B,KIRMATAŞ!B:B,"")</f>
        <v/>
      </c>
      <c r="BZ93" s="8" t="str">
        <f>+_xlfn.XLOOKUP(Table1[[#This Row],[L4 Code]],'SU TEMİNİ'!C:C,'SU TEMİNİ'!C:C,"")</f>
        <v/>
      </c>
      <c r="CA93" s="8" t="str">
        <f>+_xlfn.XLOOKUP(Table1[[#This Row],[L4 Code]],TAŞ!C:C,TAŞ!C:C,"")</f>
        <v/>
      </c>
      <c r="CB93" s="8" t="s">
        <v>5387</v>
      </c>
    </row>
    <row r="94" spans="1:80">
      <c r="A94" s="3" t="s">
        <v>5444</v>
      </c>
      <c r="B94" s="96"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 t="shared" si="32"/>
        <v>12719.5</v>
      </c>
      <c r="L94" s="5">
        <f t="shared" si="33"/>
        <v>0</v>
      </c>
      <c r="M94" s="78">
        <v>14957.5</v>
      </c>
      <c r="R94" s="8">
        <v>612</v>
      </c>
      <c r="S94" s="8">
        <v>1230</v>
      </c>
      <c r="T94" s="8">
        <v>0</v>
      </c>
      <c r="U94" s="8">
        <v>0</v>
      </c>
      <c r="V94" s="8">
        <v>396</v>
      </c>
      <c r="W94" s="8">
        <v>0</v>
      </c>
      <c r="X94" s="10">
        <v>0</v>
      </c>
      <c r="Y94" s="8">
        <f>((+$K94))*0.0234647417611078</f>
        <v>298.45978283041063</v>
      </c>
      <c r="Z94" s="8">
        <f>((+$K94))*0.0160172440537002</f>
        <v>203.73133574103969</v>
      </c>
      <c r="AA94" s="8">
        <f>((+$K94))*0.0249581733757012</f>
        <v>317.45548625223142</v>
      </c>
      <c r="AB94" s="8">
        <f>((+$K94))*0.0175106756682936</f>
        <v>222.72703916286045</v>
      </c>
      <c r="AC94" s="8">
        <f>((+$K94))*0.0223842517859311</f>
        <v>284.7164905911506</v>
      </c>
      <c r="AD94" s="8">
        <f>((+$K94))*0.0482373479881093</f>
        <v>613.5549477347563</v>
      </c>
      <c r="AE94" s="8">
        <f>((+$K94))*0.0426069217591158</f>
        <v>541.93874131507334</v>
      </c>
      <c r="AF94" s="8">
        <f>((+$K94))*0.0365727018682525</f>
        <v>465.18648141323763</v>
      </c>
      <c r="AG94" s="8">
        <f>((+$K94))*0.0411134901445225</f>
        <v>522.94303789325397</v>
      </c>
      <c r="AH94" s="8">
        <f>((+$K94))*0.0411134901445225</f>
        <v>522.94303789325397</v>
      </c>
      <c r="AI94" s="8">
        <f>((+$K94))*0.0350792702536591</f>
        <v>446.19077799141695</v>
      </c>
      <c r="AJ94" s="8">
        <f>((+$K94))*0.0350792702536591</f>
        <v>446.19077799141695</v>
      </c>
      <c r="AK94" s="8">
        <f>((+$K94))*0.0331031561062724</f>
        <v>421.05559409373183</v>
      </c>
      <c r="AL94" s="8">
        <f>((+$K94))*0.0331031561062724</f>
        <v>421.05559409373183</v>
      </c>
      <c r="AM94" s="8">
        <f>((+$K94))*0.0312741749833369</f>
        <v>397.79186870055372</v>
      </c>
      <c r="AN94" s="8">
        <f>((+$K94))*0.0238266772759292</f>
        <v>303.06342161118147</v>
      </c>
      <c r="AO94" s="8">
        <f>((+$K94))*0.0247989267776964</f>
        <v>315.42994914890937</v>
      </c>
      <c r="AP94" s="8">
        <f>((+$K94))*0.0457281420833749</f>
        <v>581.63910322948698</v>
      </c>
      <c r="AQ94" s="8">
        <f>((+$K94))*0.0517623619742382</f>
        <v>658.39136313132269</v>
      </c>
      <c r="AR94" s="8">
        <f>((+$K94))*0.0517623619742382</f>
        <v>658.39136313132269</v>
      </c>
      <c r="AS94" s="8">
        <f>((+$K94))*0.0517623619742382</f>
        <v>658.39136313132269</v>
      </c>
      <c r="AT94" s="8">
        <f>(((+$K94))*0.0457281420833749)+126.979075839201</f>
        <v>708.61817906868794</v>
      </c>
      <c r="AU94" s="8">
        <f>(((+$K94))*0.0396939221925116)+471.016500239687</f>
        <v>975.90334356733831</v>
      </c>
      <c r="AV94" s="8">
        <f>(((+$K94))*0.0396939221925116)+471.016500239687</f>
        <v>975.90334356733831</v>
      </c>
      <c r="AW94" s="8">
        <f>(((+$K94))*0.0297899908296304)+378.913788357484</f>
        <v>757.8275767149679</v>
      </c>
      <c r="BY94" s="8" t="str">
        <f>+_xlfn.XLOOKUP(Table1[[#This Row],[L4 Code]],KIRMATAŞ!B:B,KIRMATAŞ!B:B,"")</f>
        <v/>
      </c>
      <c r="BZ94" s="8" t="str">
        <f>+_xlfn.XLOOKUP(Table1[[#This Row],[L4 Code]],'SU TEMİNİ'!C:C,'SU TEMİNİ'!C:C,"")</f>
        <v/>
      </c>
      <c r="CA94" s="8" t="str">
        <f>+_xlfn.XLOOKUP(Table1[[#This Row],[L4 Code]],TAŞ!C:C,TAŞ!C:C,"")</f>
        <v/>
      </c>
      <c r="CB94" s="8" t="s">
        <v>5388</v>
      </c>
    </row>
    <row r="95" spans="1:80">
      <c r="A95" s="3" t="s">
        <v>5444</v>
      </c>
      <c r="B95" s="96"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 t="shared" si="32"/>
        <v>881.5</v>
      </c>
      <c r="L95" s="5">
        <f t="shared" si="33"/>
        <v>0</v>
      </c>
      <c r="M95" s="78">
        <f>+J95</f>
        <v>9334.5</v>
      </c>
      <c r="R95" s="8">
        <v>6267</v>
      </c>
      <c r="S95" s="8">
        <v>1581</v>
      </c>
      <c r="T95" s="8">
        <v>0</v>
      </c>
      <c r="U95" s="8">
        <v>0</v>
      </c>
      <c r="V95" s="8">
        <v>605</v>
      </c>
      <c r="W95" s="8">
        <v>0</v>
      </c>
      <c r="X95" s="10">
        <v>0</v>
      </c>
      <c r="Y95" s="8">
        <f>(+$K95)*0.0234647417611078</f>
        <v>20.684169862416525</v>
      </c>
      <c r="Z95" s="8">
        <f>(+$K95)*0.0160172440537002</f>
        <v>14.119200633336726</v>
      </c>
      <c r="AA95" s="8">
        <f>(+$K95)*0.0249581733757012</f>
        <v>22.000629830680609</v>
      </c>
      <c r="AB95" s="8">
        <f>(+$K95)*0.0175106756682936</f>
        <v>15.435660601600809</v>
      </c>
      <c r="AC95" s="8">
        <f>(+$K95)*0.0223842517859311</f>
        <v>19.731717949298265</v>
      </c>
      <c r="AD95" s="8">
        <f>(+$K95)*0.0482373479881093</f>
        <v>42.521222251518353</v>
      </c>
      <c r="AE95" s="8">
        <f>(+$K95)*0.0426069217591158</f>
        <v>37.558001530660576</v>
      </c>
      <c r="AF95" s="8">
        <f>((+$K95)*0.0365727018682525)--8.80003579954064</f>
        <v>41.038872496405212</v>
      </c>
      <c r="AG95" s="8">
        <f>(+$K95)*0.0411134901445225</f>
        <v>36.241541562396584</v>
      </c>
      <c r="AH95" s="8">
        <f>(+$K95)*0.0411134901445225</f>
        <v>36.241541562396584</v>
      </c>
      <c r="AI95" s="8">
        <f>(+$K95)*0.0350792702536591</f>
        <v>30.922376728600501</v>
      </c>
      <c r="AJ95" s="8">
        <f>(+$K95)*0.0350792702536591</f>
        <v>30.922376728600501</v>
      </c>
      <c r="AK95" s="8">
        <f>(+$K95)*0.0331031561062724</f>
        <v>29.180432107679124</v>
      </c>
      <c r="AL95" s="8">
        <f>(+$K95)*0.0331031561062724</f>
        <v>29.180432107679124</v>
      </c>
      <c r="AM95" s="8">
        <f>(+$K95)*0.0312741749833369</f>
        <v>27.568185247811478</v>
      </c>
      <c r="AN95" s="8">
        <f>(+$K95)*0.0238266772759292</f>
        <v>21.003216018731589</v>
      </c>
      <c r="AO95" s="8">
        <f>(+$K95)*0.0247989267776964</f>
        <v>21.860253954539377</v>
      </c>
      <c r="AP95" s="8">
        <f>(+$K95)*0.0457281420833749</f>
        <v>40.309357246494969</v>
      </c>
      <c r="AQ95" s="8">
        <f>(+$K95)*0.0517623619742382</f>
        <v>45.628522080290971</v>
      </c>
      <c r="AR95" s="8">
        <f>(+$K95)*0.0517623619742382</f>
        <v>45.628522080290971</v>
      </c>
      <c r="AS95" s="8">
        <f>(+$K95)*0.0517623619742382</f>
        <v>45.628522080290971</v>
      </c>
      <c r="AT95" s="8">
        <f>(+$K95)*0.0457281420833749</f>
        <v>40.309357246494969</v>
      </c>
      <c r="AU95" s="8">
        <f>((+$K95)*0.0396939221925116)+32.6428747168744</f>
        <v>67.633067129573391</v>
      </c>
      <c r="AV95" s="8">
        <f>((+$K95)*0.0396939221925116)+32.6428747168744</f>
        <v>67.633067129573391</v>
      </c>
      <c r="AW95" s="8">
        <f>((+$K95)*0.0297899908296304)+26.2598769163192</f>
        <v>52.519753832638401</v>
      </c>
      <c r="BY95" s="8" t="str">
        <f>+_xlfn.XLOOKUP(Table1[[#This Row],[L4 Code]],KIRMATAŞ!B:B,KIRMATAŞ!B:B,"")</f>
        <v/>
      </c>
      <c r="BZ95" s="8" t="str">
        <f>+_xlfn.XLOOKUP(Table1[[#This Row],[L4 Code]],'SU TEMİNİ'!C:C,'SU TEMİNİ'!C:C,"")</f>
        <v/>
      </c>
      <c r="CA95" s="8" t="str">
        <f>+_xlfn.XLOOKUP(Table1[[#This Row],[L4 Code]],TAŞ!C:C,TAŞ!C:C,"")</f>
        <v/>
      </c>
      <c r="CB95" s="8" t="s">
        <v>5389</v>
      </c>
    </row>
    <row r="96" spans="1:80">
      <c r="A96" s="3" t="s">
        <v>5444</v>
      </c>
      <c r="B96" s="96"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 t="shared" si="32"/>
        <v>2206</v>
      </c>
      <c r="L96" s="5">
        <f t="shared" si="33"/>
        <v>0</v>
      </c>
      <c r="M96" s="78">
        <v>3744</v>
      </c>
      <c r="R96" s="8">
        <v>308</v>
      </c>
      <c r="S96" s="8">
        <v>772</v>
      </c>
      <c r="T96" s="8">
        <v>0</v>
      </c>
      <c r="U96" s="8">
        <v>0</v>
      </c>
      <c r="V96" s="8">
        <v>1176</v>
      </c>
      <c r="W96" s="8">
        <v>0</v>
      </c>
      <c r="X96" s="10">
        <v>-718</v>
      </c>
      <c r="Y96" s="8">
        <f>(+$K96)*0.0234647417611078</f>
        <v>51.763220325003807</v>
      </c>
      <c r="Z96" s="8">
        <f>(+$K96)*0.0160172440537002</f>
        <v>35.334040382462639</v>
      </c>
      <c r="AA96" s="8">
        <f>(+$K96)*0.0249581733757012</f>
        <v>55.057730466796848</v>
      </c>
      <c r="AB96" s="8">
        <f>(+$K96)*0.0175106756682936</f>
        <v>38.628550524255687</v>
      </c>
      <c r="AC96" s="8">
        <f>((+$K96)*0.0223842517859311)--1.04869291920087</f>
        <v>50.428352358964872</v>
      </c>
      <c r="AD96" s="8">
        <f>((+$K96)*0.0482373479881093)--1.04869291920087</f>
        <v>107.46028258097</v>
      </c>
      <c r="AE96" s="8">
        <f>((+$K96)*0.0426069217591158)--1.04869291920087</f>
        <v>95.039562319810329</v>
      </c>
      <c r="AF96" s="8">
        <f>((+$K96)*0.0365727018682525)--1.04869291920087</f>
        <v>81.728073240565877</v>
      </c>
      <c r="AG96" s="8">
        <f>((+$K96)*0.0411134901445225)--1.04869291920087</f>
        <v>91.745052178017517</v>
      </c>
      <c r="AH96" s="8">
        <f>((+$K96)*0.0411134901445225)--1.04869291920087</f>
        <v>91.745052178017517</v>
      </c>
      <c r="AI96" s="8">
        <f>((+$K96)*0.0350792702536591)--1.04869291920087</f>
        <v>78.433563098772851</v>
      </c>
      <c r="AJ96" s="8">
        <f>((+$K96)*0.0350792702536591)--1.04869291920087</f>
        <v>78.433563098772851</v>
      </c>
      <c r="AK96" s="8">
        <f>((+$K96)*0.0331031561062724)--1.04869291920087</f>
        <v>74.07425528963779</v>
      </c>
      <c r="AL96" s="8">
        <f>((+$K96)*0.0331031561062724)--1.04869291920087</f>
        <v>74.07425528963779</v>
      </c>
      <c r="AM96" s="8">
        <f>((+$K96)*0.0312741749833369)--1.04869291920087</f>
        <v>70.039522932442082</v>
      </c>
      <c r="AN96" s="8">
        <f>((+$K96)*0.0238266772759292)--1.04869291920087</f>
        <v>53.610342989900687</v>
      </c>
      <c r="AO96" s="8">
        <f>((+$K96)*0.0247989267776964)--1.04869291920087</f>
        <v>55.755125390799122</v>
      </c>
      <c r="AP96" s="8">
        <f>((+$K96)*0.0457281420833749)--1.04869291920087</f>
        <v>101.9249743551259</v>
      </c>
      <c r="AQ96" s="8">
        <f>((+$K96)*0.0517623619742382)--1.04869291920087</f>
        <v>115.23646343437034</v>
      </c>
      <c r="AR96" s="8">
        <f>((+$K96)*0.0517623619742382)--1.04869291920087</f>
        <v>115.23646343437034</v>
      </c>
      <c r="AS96" s="8">
        <f>((+$K96)*0.0517623619742382)--1.04869291920087</f>
        <v>115.23646343437034</v>
      </c>
      <c r="AT96" s="8">
        <f>((+$K96)*0.0457281420833749)--1.04869291920087</f>
        <v>101.9249743551259</v>
      </c>
      <c r="AU96" s="8">
        <f>(((+$K96)*0.0396939221925116)--1.04869291920087)+81.6905066652581</f>
        <v>170.30399194113957</v>
      </c>
      <c r="AV96" s="8">
        <f>(((+$K96)*0.0396939221925116)--1.04869291920087)+81.6905066652581</f>
        <v>170.30399194113957</v>
      </c>
      <c r="AW96" s="8">
        <f>(((+$K96)*0.0297899908296304)--1.04869291920087)+65.7167197701647</f>
        <v>132.48213245953025</v>
      </c>
      <c r="BY96" s="8" t="str">
        <f>+_xlfn.XLOOKUP(Table1[[#This Row],[L4 Code]],KIRMATAŞ!B:B,KIRMATAŞ!B:B,"")</f>
        <v/>
      </c>
      <c r="BZ96" s="8" t="str">
        <f>+_xlfn.XLOOKUP(Table1[[#This Row],[L4 Code]],'SU TEMİNİ'!C:C,'SU TEMİNİ'!C:C,"")</f>
        <v/>
      </c>
      <c r="CA96" s="8" t="str">
        <f>+_xlfn.XLOOKUP(Table1[[#This Row],[L4 Code]],TAŞ!C:C,TAŞ!C:C,"")</f>
        <v/>
      </c>
      <c r="CB96" s="8" t="s">
        <v>5390</v>
      </c>
    </row>
    <row r="97" spans="1:80">
      <c r="A97" s="3" t="s">
        <v>5444</v>
      </c>
      <c r="B97" s="96"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 t="shared" si="32"/>
        <v>33112</v>
      </c>
      <c r="L97" s="5">
        <f t="shared" si="33"/>
        <v>0</v>
      </c>
      <c r="M97" s="78">
        <v>57824</v>
      </c>
      <c r="P97" s="8">
        <v>9522</v>
      </c>
      <c r="Q97" s="8">
        <v>11805</v>
      </c>
      <c r="R97" s="8">
        <v>2556</v>
      </c>
      <c r="S97" s="8">
        <v>0</v>
      </c>
      <c r="T97" s="8">
        <v>0</v>
      </c>
      <c r="U97" s="8">
        <v>1</v>
      </c>
      <c r="V97" s="8">
        <v>0</v>
      </c>
      <c r="W97" s="8">
        <v>76</v>
      </c>
      <c r="X97" s="10">
        <v>752</v>
      </c>
      <c r="Y97" s="8">
        <v>776.96452919380147</v>
      </c>
      <c r="Z97" s="8">
        <v>530.36298510612107</v>
      </c>
      <c r="AA97" s="8">
        <v>826.41503681621816</v>
      </c>
      <c r="AB97" s="8">
        <v>579.81349272853777</v>
      </c>
      <c r="AC97" s="8">
        <v>741.18734513575055</v>
      </c>
      <c r="AD97" s="8">
        <v>1597.2350665822753</v>
      </c>
      <c r="AE97" s="8">
        <v>1410.8003932878423</v>
      </c>
      <c r="AF97" s="8">
        <v>1210.9953042615766</v>
      </c>
      <c r="AG97" s="8">
        <v>1361.3498856654292</v>
      </c>
      <c r="AH97" s="8">
        <v>1361.3498856654292</v>
      </c>
      <c r="AI97" s="8">
        <v>1161.5447966391603</v>
      </c>
      <c r="AJ97" s="8">
        <v>1161.5447966391603</v>
      </c>
      <c r="AK97" s="8">
        <v>1426.6696010707367</v>
      </c>
      <c r="AL97" s="8">
        <v>1096.1117049908919</v>
      </c>
      <c r="AM97" s="8">
        <v>1035.5504820482515</v>
      </c>
      <c r="AN97" s="8">
        <v>788.94893796056772</v>
      </c>
      <c r="AO97" s="8">
        <v>821.14206346308322</v>
      </c>
      <c r="AP97" s="8">
        <v>1514.1502406647096</v>
      </c>
      <c r="AQ97" s="8">
        <v>1713.9553296909751</v>
      </c>
      <c r="AR97" s="8">
        <v>1713.9553296909751</v>
      </c>
      <c r="AS97" s="8">
        <v>1713.9553296909751</v>
      </c>
      <c r="AT97" s="8">
        <v>1514.1502406647096</v>
      </c>
      <c r="AU97" s="8">
        <v>2540.517434820686</v>
      </c>
      <c r="AV97" s="8">
        <v>2540.517434820686</v>
      </c>
      <c r="AW97" s="8">
        <v>1972.8123527014436</v>
      </c>
      <c r="BY97" s="8" t="str">
        <f>+_xlfn.XLOOKUP(Table1[[#This Row],[L4 Code]],KIRMATAŞ!B:B,KIRMATAŞ!B:B,"")</f>
        <v/>
      </c>
      <c r="BZ97" s="8" t="str">
        <f>+_xlfn.XLOOKUP(Table1[[#This Row],[L4 Code]],'SU TEMİNİ'!C:C,'SU TEMİNİ'!C:C,"")</f>
        <v/>
      </c>
      <c r="CA97" s="8" t="str">
        <f>+_xlfn.XLOOKUP(Table1[[#This Row],[L4 Code]],TAŞ!C:C,TAŞ!C:C,"")</f>
        <v/>
      </c>
      <c r="CB97" s="8" t="s">
        <v>5391</v>
      </c>
    </row>
    <row r="98" spans="1:80">
      <c r="A98" s="3" t="s">
        <v>5444</v>
      </c>
      <c r="B98" s="96"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 t="shared" si="32"/>
        <v>2781.5</v>
      </c>
      <c r="L98" s="5">
        <f t="shared" si="33"/>
        <v>0</v>
      </c>
      <c r="M98" s="78">
        <v>3739.5</v>
      </c>
      <c r="R98" s="8">
        <v>114</v>
      </c>
      <c r="S98" s="8">
        <v>426</v>
      </c>
      <c r="T98" s="8">
        <v>420</v>
      </c>
      <c r="U98" s="8">
        <v>-2</v>
      </c>
      <c r="V98" s="8">
        <v>0</v>
      </c>
      <c r="W98" s="8">
        <v>0</v>
      </c>
      <c r="X98" s="10">
        <v>0</v>
      </c>
      <c r="Y98" s="8">
        <f>((+$K98))*0.0234647417611078</f>
        <v>65.267179208521341</v>
      </c>
      <c r="Z98" s="8">
        <f>((+$K98))*0.0160172440537002</f>
        <v>44.55196433536711</v>
      </c>
      <c r="AA98" s="8">
        <f>((+$K98))*0.0249581733757012</f>
        <v>69.421159244512893</v>
      </c>
      <c r="AB98" s="8">
        <f>((+$K98))*0.0175106756682936</f>
        <v>48.705944371358648</v>
      </c>
      <c r="AC98" s="8">
        <f>((+$K98))*0.0223842517859311</f>
        <v>62.261796342567351</v>
      </c>
      <c r="AD98" s="8">
        <f>((+$K98))*0.0482373479881093</f>
        <v>134.17218342892602</v>
      </c>
      <c r="AE98" s="8">
        <f>((+$K98))*0.0426069217591158</f>
        <v>118.51115287298059</v>
      </c>
      <c r="AF98" s="8">
        <f>((+$K98))*0.0365727018682525</f>
        <v>101.72697024654433</v>
      </c>
      <c r="AG98" s="8">
        <f>((+$K98))*0.0411134901445225</f>
        <v>114.35717283698933</v>
      </c>
      <c r="AH98" s="8">
        <f>((+$K98))*0.0411134901445225</f>
        <v>114.35717283698933</v>
      </c>
      <c r="AI98" s="8">
        <f>((+$K98))*0.0350792702536591</f>
        <v>97.572990210552803</v>
      </c>
      <c r="AJ98" s="8">
        <f>((+$K98))*0.0350792702536591</f>
        <v>97.572990210552803</v>
      </c>
      <c r="AK98" s="8">
        <f>((+$K98))*0.0331031561062724</f>
        <v>92.076428709596684</v>
      </c>
      <c r="AL98" s="8">
        <f>((+$K98))*0.0331031561062724</f>
        <v>92.076428709596684</v>
      </c>
      <c r="AM98" s="8">
        <f>((+$K98))*0.0312741749833369</f>
        <v>86.989117716151583</v>
      </c>
      <c r="AN98" s="8">
        <f>((+$K98))*0.0238266772759292</f>
        <v>66.273902842997074</v>
      </c>
      <c r="AO98" s="8">
        <f>((+$K98))*0.0247989267776964</f>
        <v>68.978214832162536</v>
      </c>
      <c r="AP98" s="8">
        <f>((+$K98))*0.0457281420833749</f>
        <v>127.19282720490727</v>
      </c>
      <c r="AQ98" s="8">
        <f>((+$K98))*0.0517623619742382</f>
        <v>143.97700983134354</v>
      </c>
      <c r="AR98" s="8">
        <f>((+$K98))*0.0517623619742382</f>
        <v>143.97700983134354</v>
      </c>
      <c r="AS98" s="8">
        <f>((+$K98))*0.0517623619742382</f>
        <v>143.97700983134354</v>
      </c>
      <c r="AT98" s="8">
        <f>(((+$K98))*0.0457281420833749)+27.7677817089307</f>
        <v>154.96060891383797</v>
      </c>
      <c r="AU98" s="8">
        <f>(((+$K98))*0.0396939221925116)+103.001878644341</f>
        <v>213.41052322281203</v>
      </c>
      <c r="AV98" s="8">
        <f>(((+$K98))*0.0396939221925116)+103.001878644341</f>
        <v>213.41052322281203</v>
      </c>
      <c r="AW98" s="8">
        <f>(((+$K98))*0.0297899908296304)+82.860859492617</f>
        <v>165.72171898523396</v>
      </c>
      <c r="BY98" s="8" t="str">
        <f>+_xlfn.XLOOKUP(Table1[[#This Row],[L4 Code]],KIRMATAŞ!B:B,KIRMATAŞ!B:B,"")</f>
        <v/>
      </c>
      <c r="BZ98" s="8" t="str">
        <f>+_xlfn.XLOOKUP(Table1[[#This Row],[L4 Code]],'SU TEMİNİ'!C:C,'SU TEMİNİ'!C:C,"")</f>
        <v/>
      </c>
      <c r="CA98" s="8" t="str">
        <f>+_xlfn.XLOOKUP(Table1[[#This Row],[L4 Code]],TAŞ!C:C,TAŞ!C:C,"")</f>
        <v/>
      </c>
      <c r="CB98" s="8" t="s">
        <v>5392</v>
      </c>
    </row>
    <row r="99" spans="1:80">
      <c r="A99" s="3" t="s">
        <v>5444</v>
      </c>
      <c r="B99" s="96"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 t="shared" si="32"/>
        <v>238.5</v>
      </c>
      <c r="L99" s="5">
        <f t="shared" si="33"/>
        <v>0</v>
      </c>
      <c r="M99" s="78">
        <f>+J99</f>
        <v>2333.5</v>
      </c>
      <c r="R99" s="8">
        <v>1215</v>
      </c>
      <c r="S99" s="8">
        <v>612</v>
      </c>
      <c r="T99" s="8">
        <v>84</v>
      </c>
      <c r="U99" s="8">
        <v>0</v>
      </c>
      <c r="V99" s="8">
        <v>184</v>
      </c>
      <c r="W99" s="8">
        <v>0</v>
      </c>
      <c r="X99" s="10">
        <v>0</v>
      </c>
      <c r="Y99" s="8">
        <f>(+$K99)*0.0234647417611078</f>
        <v>5.5963409100242103</v>
      </c>
      <c r="Z99" s="8">
        <f>(+$K99)*0.0160172440537002</f>
        <v>3.8201127068074978</v>
      </c>
      <c r="AA99" s="8">
        <f>(+$K99)*0.0249581733757012</f>
        <v>5.9525243501047358</v>
      </c>
      <c r="AB99" s="8">
        <f>(+$K99)*0.0175106756682936</f>
        <v>4.1762961468880242</v>
      </c>
      <c r="AC99" s="8">
        <f>(+$K99)*0.0223842517859311</f>
        <v>5.3386440509445672</v>
      </c>
      <c r="AD99" s="8">
        <f>(+$K99)*0.0482373479881093</f>
        <v>11.504607495164068</v>
      </c>
      <c r="AE99" s="8">
        <f>(+$K99)*0.0426069217591158</f>
        <v>10.161750839549118</v>
      </c>
      <c r="AF99" s="8">
        <f>((+$K99)*0.0365727018682525)--2.38095126283656</f>
        <v>11.103540658414779</v>
      </c>
      <c r="AG99" s="8">
        <f>(+$K99)*0.0411134901445225</f>
        <v>9.8055673994686163</v>
      </c>
      <c r="AH99" s="8">
        <f>(+$K99)*0.0411134901445225</f>
        <v>9.8055673994686163</v>
      </c>
      <c r="AI99" s="8">
        <f>(+$K99)*0.0350792702536591</f>
        <v>8.3664059554976955</v>
      </c>
      <c r="AJ99" s="8">
        <f>(+$K99)*0.0350792702536591</f>
        <v>8.3664059554976955</v>
      </c>
      <c r="AK99" s="8">
        <f>(+$K99)*0.0331031561062724</f>
        <v>7.8951027313459683</v>
      </c>
      <c r="AL99" s="8">
        <f>(+$K99)*0.0331031561062724</f>
        <v>7.8951027313459683</v>
      </c>
      <c r="AM99" s="8">
        <f>(+$K99)*0.0312741749833369</f>
        <v>7.458890733525851</v>
      </c>
      <c r="AN99" s="8">
        <f>(+$K99)*0.0238266772759292</f>
        <v>5.6826625303091145</v>
      </c>
      <c r="AO99" s="8">
        <f>(+$K99)*0.0247989267776964</f>
        <v>5.9145440364805912</v>
      </c>
      <c r="AP99" s="8">
        <f>(+$K99)*0.0457281420833749</f>
        <v>10.906161886884913</v>
      </c>
      <c r="AQ99" s="8">
        <f>(+$K99)*0.0517623619742382</f>
        <v>12.345323330855811</v>
      </c>
      <c r="AR99" s="8">
        <f>(+$K99)*0.0517623619742382</f>
        <v>12.345323330855811</v>
      </c>
      <c r="AS99" s="8">
        <f>(+$K99)*0.0517623619742382</f>
        <v>12.345323330855811</v>
      </c>
      <c r="AT99" s="8">
        <f>(+$K99)*0.0457281420833749</f>
        <v>10.906161886884913</v>
      </c>
      <c r="AU99" s="8">
        <f>((+$K99)*0.0396939221925116)+8.83190654563194</f>
        <v>18.298906988545959</v>
      </c>
      <c r="AV99" s="8">
        <f>((+$K99)*0.0396939221925116)+8.83190654563194</f>
        <v>18.298906988545959</v>
      </c>
      <c r="AW99" s="8">
        <f>((+$K99)*0.0297899908296304)+7.10491281286685</f>
        <v>14.2098256257337</v>
      </c>
      <c r="BY99" s="8" t="str">
        <f>+_xlfn.XLOOKUP(Table1[[#This Row],[L4 Code]],KIRMATAŞ!B:B,KIRMATAŞ!B:B,"")</f>
        <v/>
      </c>
      <c r="BZ99" s="8" t="str">
        <f>+_xlfn.XLOOKUP(Table1[[#This Row],[L4 Code]],'SU TEMİNİ'!C:C,'SU TEMİNİ'!C:C,"")</f>
        <v/>
      </c>
      <c r="CA99" s="8" t="str">
        <f>+_xlfn.XLOOKUP(Table1[[#This Row],[L4 Code]],TAŞ!C:C,TAŞ!C:C,"")</f>
        <v/>
      </c>
      <c r="CB99" s="8" t="s">
        <v>5393</v>
      </c>
    </row>
    <row r="100" spans="1:80">
      <c r="A100" s="3" t="s">
        <v>5444</v>
      </c>
      <c r="B100" s="96"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 t="shared" si="32"/>
        <v>568</v>
      </c>
      <c r="L100" s="5">
        <f t="shared" si="33"/>
        <v>0</v>
      </c>
      <c r="M100" s="78">
        <v>3744</v>
      </c>
      <c r="R100" s="8">
        <v>148</v>
      </c>
      <c r="S100" s="8">
        <v>360</v>
      </c>
      <c r="T100" s="8">
        <v>472</v>
      </c>
      <c r="U100" s="8">
        <v>0</v>
      </c>
      <c r="V100" s="8">
        <v>0</v>
      </c>
      <c r="W100" s="8">
        <v>0</v>
      </c>
      <c r="X100" s="10">
        <v>2196</v>
      </c>
      <c r="Y100" s="8">
        <f>(+$K100)*0.0234647417611078</f>
        <v>13.32797332030923</v>
      </c>
      <c r="Z100" s="8">
        <f>(+$K100)*0.0160172440537002</f>
        <v>9.0977946225017146</v>
      </c>
      <c r="AA100" s="8">
        <f>(+$K100)*0.0249581733757012</f>
        <v>14.176242477398281</v>
      </c>
      <c r="AB100" s="8">
        <f>(+$K100)*0.0175106756682936</f>
        <v>9.9460637795907658</v>
      </c>
      <c r="AC100" s="8">
        <f>((+$K100)*0.0223842517859311)--0.27001703449959</f>
        <v>12.984272048908455</v>
      </c>
      <c r="AD100" s="8">
        <f>((+$K100)*0.0482373479881093)--0.27001703449959</f>
        <v>27.668830691745676</v>
      </c>
      <c r="AE100" s="8">
        <f>((+$K100)*0.0426069217591158)--0.27001703449959</f>
        <v>24.470748593677364</v>
      </c>
      <c r="AF100" s="8">
        <f>((+$K100)*0.0365727018682525)--0.27001703449959</f>
        <v>21.043311695667008</v>
      </c>
      <c r="AG100" s="8">
        <f>((+$K100)*0.0411134901445225)--0.27001703449959</f>
        <v>23.622479436588371</v>
      </c>
      <c r="AH100" s="8">
        <f>((+$K100)*0.0411134901445225)--0.27001703449959</f>
        <v>23.622479436588371</v>
      </c>
      <c r="AI100" s="8">
        <f>((+$K100)*0.0350792702536591)--0.27001703449959</f>
        <v>20.195042538577958</v>
      </c>
      <c r="AJ100" s="8">
        <f>((+$K100)*0.0350792702536591)--0.27001703449959</f>
        <v>20.195042538577958</v>
      </c>
      <c r="AK100" s="8">
        <f>((+$K100)*0.0331031561062724)--0.27001703449959</f>
        <v>19.072609702862316</v>
      </c>
      <c r="AL100" s="8">
        <f>((+$K100)*0.0331031561062724)--0.27001703449959</f>
        <v>19.072609702862316</v>
      </c>
      <c r="AM100" s="8">
        <f>((+$K100)*0.0312741749833369)--0.27001703449959</f>
        <v>18.03374842503495</v>
      </c>
      <c r="AN100" s="8">
        <f>((+$K100)*0.0238266772759292)--0.27001703449959</f>
        <v>13.803569727227377</v>
      </c>
      <c r="AO100" s="8">
        <f>((+$K100)*0.0247989267776964)--0.27001703449959</f>
        <v>14.355807444231145</v>
      </c>
      <c r="AP100" s="8">
        <f>((+$K100)*0.0457281420833749)--0.27001703449959</f>
        <v>26.24360173785653</v>
      </c>
      <c r="AQ100" s="8">
        <f>((+$K100)*0.0517623619742382)--0.27001703449959</f>
        <v>29.671038635866886</v>
      </c>
      <c r="AR100" s="8">
        <f>((+$K100)*0.0517623619742382)--0.27001703449959</f>
        <v>29.671038635866886</v>
      </c>
      <c r="AS100" s="8">
        <f>((+$K100)*0.0517623619742382)--0.27001703449959</f>
        <v>29.671038635866886</v>
      </c>
      <c r="AT100" s="8">
        <f>((+$K100)*0.0457281420833749)--0.27001703449959</f>
        <v>26.24360173785653</v>
      </c>
      <c r="AU100" s="8">
        <f>(((+$K100)*0.0396939221925116)--0.27001703449959)+21.0336390688425</f>
        <v>43.849803908688685</v>
      </c>
      <c r="AV100" s="8">
        <f>(((+$K100)*0.0396939221925116)--0.27001703449959)+21.0336390688425</f>
        <v>43.849803908688685</v>
      </c>
      <c r="AW100" s="8">
        <f>(((+$K100)*0.0297899908296304)--0.27001703449959)+16.9207147912301</f>
        <v>34.111446616959753</v>
      </c>
      <c r="BY100" s="8" t="str">
        <f>+_xlfn.XLOOKUP(Table1[[#This Row],[L4 Code]],KIRMATAŞ!B:B,KIRMATAŞ!B:B,"")</f>
        <v/>
      </c>
      <c r="BZ100" s="8" t="str">
        <f>+_xlfn.XLOOKUP(Table1[[#This Row],[L4 Code]],'SU TEMİNİ'!C:C,'SU TEMİNİ'!C:C,"")</f>
        <v/>
      </c>
      <c r="CA100" s="8" t="str">
        <f>+_xlfn.XLOOKUP(Table1[[#This Row],[L4 Code]],TAŞ!C:C,TAŞ!C:C,"")</f>
        <v/>
      </c>
      <c r="CB100" s="8" t="s">
        <v>5394</v>
      </c>
    </row>
    <row r="101" spans="1:80">
      <c r="A101" s="3" t="s">
        <v>5444</v>
      </c>
      <c r="B101" s="96"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 t="shared" si="32"/>
        <v>8796</v>
      </c>
      <c r="L101" s="5">
        <f t="shared" si="33"/>
        <v>0</v>
      </c>
      <c r="M101" s="78">
        <v>14456</v>
      </c>
      <c r="P101" s="8">
        <v>2646</v>
      </c>
      <c r="Q101" s="8">
        <v>2550</v>
      </c>
      <c r="R101" s="8">
        <v>138</v>
      </c>
      <c r="S101" s="8">
        <v>0</v>
      </c>
      <c r="T101" s="8">
        <v>-170</v>
      </c>
      <c r="U101" s="8">
        <v>0</v>
      </c>
      <c r="V101" s="8">
        <v>0</v>
      </c>
      <c r="W101" s="8">
        <v>24</v>
      </c>
      <c r="X101" s="10">
        <v>472</v>
      </c>
      <c r="Y101" s="8">
        <v>206.39586853070421</v>
      </c>
      <c r="Z101" s="8">
        <v>140.88767869634697</v>
      </c>
      <c r="AA101" s="8">
        <v>219.53209301266776</v>
      </c>
      <c r="AB101" s="8">
        <v>154.02390317831052</v>
      </c>
      <c r="AC101" s="8">
        <v>196.89187870904993</v>
      </c>
      <c r="AD101" s="8">
        <v>424.29571290340942</v>
      </c>
      <c r="AE101" s="8">
        <v>374.77048379318256</v>
      </c>
      <c r="AF101" s="8">
        <v>321.69348563314895</v>
      </c>
      <c r="AG101" s="8">
        <v>361.63425931121992</v>
      </c>
      <c r="AH101" s="8">
        <v>361.63425931121992</v>
      </c>
      <c r="AI101" s="8">
        <v>308.55726115118546</v>
      </c>
      <c r="AJ101" s="8">
        <v>308.55726115118546</v>
      </c>
      <c r="AK101" s="8">
        <v>378.98604164708337</v>
      </c>
      <c r="AL101" s="8">
        <v>291.17536111077203</v>
      </c>
      <c r="AM101" s="8">
        <v>275.08764315343137</v>
      </c>
      <c r="AN101" s="8">
        <v>209.57945331907325</v>
      </c>
      <c r="AO101" s="8">
        <v>218.13135993661751</v>
      </c>
      <c r="AP101" s="8">
        <v>402.2247377653656</v>
      </c>
      <c r="AQ101" s="8">
        <v>455.30173592539916</v>
      </c>
      <c r="AR101" s="8">
        <v>455.30173592539916</v>
      </c>
      <c r="AS101" s="8">
        <v>455.30173592539916</v>
      </c>
      <c r="AT101" s="8">
        <v>402.2247377653656</v>
      </c>
      <c r="AU101" s="8">
        <v>674.87289673480177</v>
      </c>
      <c r="AV101" s="8">
        <v>674.87289673480177</v>
      </c>
      <c r="AW101" s="8">
        <v>524.06551867485803</v>
      </c>
      <c r="BY101" s="8" t="str">
        <f>+_xlfn.XLOOKUP(Table1[[#This Row],[L4 Code]],KIRMATAŞ!B:B,KIRMATAŞ!B:B,"")</f>
        <v/>
      </c>
      <c r="BZ101" s="8" t="str">
        <f>+_xlfn.XLOOKUP(Table1[[#This Row],[L4 Code]],'SU TEMİNİ'!C:C,'SU TEMİNİ'!C:C,"")</f>
        <v/>
      </c>
      <c r="CA101" s="8" t="str">
        <f>+_xlfn.XLOOKUP(Table1[[#This Row],[L4 Code]],TAŞ!C:C,TAŞ!C:C,"")</f>
        <v/>
      </c>
      <c r="CB101" s="8" t="s">
        <v>5395</v>
      </c>
    </row>
    <row r="102" spans="1:80">
      <c r="A102" s="3" t="s">
        <v>5444</v>
      </c>
      <c r="B102" s="96" t="s">
        <v>16</v>
      </c>
      <c r="C102" t="str">
        <f>+_xlfn.XLOOKUP(B102,'L4'!B:B,'L4'!C:C)</f>
        <v>TÜNEL KAZISI YAPILMASI</v>
      </c>
      <c r="D102" t="s">
        <v>4967</v>
      </c>
      <c r="E102" t="str">
        <f>+_xlfn.XLOOKUP(D102,'M2'!H:H,'M2'!I:I)</f>
        <v>PROJE GENELİ</v>
      </c>
      <c r="F102" s="77" t="s">
        <v>4973</v>
      </c>
      <c r="G102" t="s">
        <v>4983</v>
      </c>
      <c r="H102" s="3" t="s">
        <v>4984</v>
      </c>
      <c r="I102" s="3" t="s">
        <v>307</v>
      </c>
      <c r="J102" s="78">
        <v>1500264.0682000006</v>
      </c>
      <c r="K102" s="78">
        <f>+M102-SUM(N102:W102)</f>
        <v>1565619.5161999997</v>
      </c>
      <c r="L102" s="5">
        <f>+SUM(X102:BT102)-K102</f>
        <v>0</v>
      </c>
      <c r="M102" s="78">
        <f>+SUM(N102:BX102)</f>
        <v>1587374.8571999997</v>
      </c>
      <c r="N102" s="8">
        <v>0</v>
      </c>
      <c r="O102" s="8">
        <v>0</v>
      </c>
      <c r="P102" s="8">
        <v>4394.0691485833531</v>
      </c>
      <c r="Q102" s="8">
        <v>10785.229851416645</v>
      </c>
      <c r="R102" s="8">
        <v>0</v>
      </c>
      <c r="S102" s="8">
        <v>0</v>
      </c>
      <c r="T102" s="8">
        <v>0</v>
      </c>
      <c r="U102" s="8">
        <v>70.829698333334818</v>
      </c>
      <c r="V102" s="8">
        <v>6505.2123016666774</v>
      </c>
      <c r="W102" s="8">
        <v>0</v>
      </c>
      <c r="X102" s="10"/>
      <c r="Y102" s="8">
        <v>17582.00643313121</v>
      </c>
      <c r="Z102" s="8">
        <v>19470.853030237711</v>
      </c>
      <c r="AA102" s="8">
        <v>23112.982991995515</v>
      </c>
      <c r="AB102" s="8">
        <v>42175.424313990865</v>
      </c>
      <c r="AC102" s="8">
        <v>29977.076541192579</v>
      </c>
      <c r="AD102" s="8">
        <v>30277.239186274528</v>
      </c>
      <c r="AE102" s="8">
        <v>30105.900495621121</v>
      </c>
      <c r="AF102" s="8">
        <v>29934.700775050365</v>
      </c>
      <c r="AG102" s="8">
        <v>39944.424355745854</v>
      </c>
      <c r="AH102" s="8">
        <v>47601.458396252143</v>
      </c>
      <c r="AI102" s="8">
        <v>54025.662949266174</v>
      </c>
      <c r="AJ102" s="8">
        <v>59868.967224739012</v>
      </c>
      <c r="AK102" s="8">
        <v>54410.689873358977</v>
      </c>
      <c r="AL102" s="8">
        <v>57077.356308675764</v>
      </c>
      <c r="AM102" s="8">
        <v>62813.011403886638</v>
      </c>
      <c r="AN102" s="8">
        <v>62813.011403886638</v>
      </c>
      <c r="AO102" s="8">
        <v>61282.056726178598</v>
      </c>
      <c r="AP102" s="8">
        <v>61445.543791943281</v>
      </c>
      <c r="AQ102" s="8">
        <v>59963.413503597207</v>
      </c>
      <c r="AR102" s="8">
        <v>58878.77818797854</v>
      </c>
      <c r="AS102" s="8">
        <v>74479.535793469462</v>
      </c>
      <c r="AT102" s="8">
        <v>67937.24515735227</v>
      </c>
      <c r="AU102" s="8">
        <v>73638.130579297824</v>
      </c>
      <c r="AV102" s="8">
        <v>73638.130579297824</v>
      </c>
      <c r="AW102" s="8">
        <v>73440.250708894164</v>
      </c>
      <c r="AX102" s="8">
        <v>70706.386471285892</v>
      </c>
      <c r="AY102" s="8">
        <v>69876.711875027395</v>
      </c>
      <c r="AZ102" s="8">
        <v>51676.369859538463</v>
      </c>
      <c r="BA102" s="8">
        <v>37438.491356853789</v>
      </c>
      <c r="BB102" s="8">
        <v>26870.741379284351</v>
      </c>
      <c r="BC102" s="8">
        <v>15355.259478113601</v>
      </c>
      <c r="BD102" s="8">
        <v>15355.259478113601</v>
      </c>
      <c r="BE102" s="8">
        <v>12446.445590468345</v>
      </c>
      <c r="BF102" s="8">
        <v>0</v>
      </c>
      <c r="BG102" s="8">
        <v>0</v>
      </c>
      <c r="BH102" s="8">
        <v>0</v>
      </c>
      <c r="BI102" s="8">
        <v>0</v>
      </c>
      <c r="BJ102" s="8">
        <v>0</v>
      </c>
      <c r="BK102" s="8">
        <v>0</v>
      </c>
      <c r="BL102" s="8">
        <v>0</v>
      </c>
      <c r="BM102" s="8">
        <v>0</v>
      </c>
      <c r="BN102" s="8">
        <v>0</v>
      </c>
      <c r="BO102" s="8">
        <v>0</v>
      </c>
      <c r="BP102" s="8">
        <v>0</v>
      </c>
      <c r="BQ102" s="8">
        <v>0</v>
      </c>
      <c r="BR102" s="8">
        <v>0</v>
      </c>
      <c r="BS102" s="8">
        <v>0</v>
      </c>
      <c r="BT102" s="8">
        <v>0</v>
      </c>
      <c r="BU102" s="8">
        <v>0</v>
      </c>
      <c r="BV102" s="8">
        <v>0</v>
      </c>
      <c r="BW102" s="8">
        <v>0</v>
      </c>
      <c r="BX102" s="8">
        <v>0</v>
      </c>
      <c r="BY102" s="8" t="str">
        <f>+_xlfn.XLOOKUP(Table1[[#This Row],[L4 Code]],KIRMATAŞ!B:B,KIRMATAŞ!B:B,"")</f>
        <v/>
      </c>
      <c r="BZ102" s="8" t="str">
        <f>+_xlfn.XLOOKUP(Table1[[#This Row],[L4 Code]],'SU TEMİNİ'!C:C,'SU TEMİNİ'!C:C,"")</f>
        <v/>
      </c>
      <c r="CA102" s="8" t="str">
        <f>+_xlfn.XLOOKUP(Table1[[#This Row],[L4 Code]],TAŞ!C:C,TAŞ!C:C,"")</f>
        <v/>
      </c>
      <c r="CB102" s="8" t="s">
        <v>5396</v>
      </c>
    </row>
    <row r="103" spans="1:80">
      <c r="A103" s="3" t="s">
        <v>5444</v>
      </c>
      <c r="B103" s="96"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 t="shared" ref="K103:K117" si="34">+M103-SUM(N103:X103)</f>
        <v>191399.50499999998</v>
      </c>
      <c r="L103" s="5">
        <f t="shared" ref="L103:L117" si="35">-SUM(Y103:BT103)+K103</f>
        <v>0</v>
      </c>
      <c r="M103" s="78">
        <v>224446.36</v>
      </c>
      <c r="R103" s="8">
        <v>0</v>
      </c>
      <c r="S103" s="8">
        <v>0</v>
      </c>
      <c r="T103" s="8">
        <v>1353.0989999999999</v>
      </c>
      <c r="U103" s="8">
        <v>5832.6714000000029</v>
      </c>
      <c r="V103" s="8">
        <v>5603.6745999999948</v>
      </c>
      <c r="W103" s="8">
        <v>8092.3069999999989</v>
      </c>
      <c r="X103" s="10">
        <v>12165.103000000021</v>
      </c>
      <c r="Y103" s="8">
        <f>(+$K103)*0.0777041942604857</f>
        <v>14872.544317880804</v>
      </c>
      <c r="Z103" s="8">
        <f>(+$K103)*0.071523178807947</f>
        <v>13689.501019867543</v>
      </c>
      <c r="AA103" s="8">
        <f>(+$K103)*0.0388520971302428</f>
        <v>7436.2721589403909</v>
      </c>
      <c r="AB103" s="8">
        <f>(+$K103)*0.0388520971302428</f>
        <v>7436.2721589403909</v>
      </c>
      <c r="AC103" s="8">
        <f>(+$K103)*0.0388520971302428</f>
        <v>7436.2721589403909</v>
      </c>
      <c r="AD103" s="8">
        <f>(+$K103)*0.0388520971302428</f>
        <v>7436.2721589403909</v>
      </c>
      <c r="AE103" s="8">
        <f>(+$K103)*0.0388520971302428</f>
        <v>7436.2721589403909</v>
      </c>
      <c r="AF103" s="8">
        <f>(+$K103)*0.0291390728476821</f>
        <v>5577.2041192052939</v>
      </c>
      <c r="AG103" s="8">
        <f>(+$K103)*0.0388520971302428</f>
        <v>7436.2721589403909</v>
      </c>
      <c r="AH103" s="8">
        <f>(+$K103)*0.0291390728476821</f>
        <v>5577.2041192052939</v>
      </c>
      <c r="AI103" s="8">
        <f t="shared" ref="AI103:AP103" si="36">(+$K103)*0.0388520971302428</f>
        <v>7436.2721589403909</v>
      </c>
      <c r="AJ103" s="8">
        <f t="shared" si="36"/>
        <v>7436.2721589403909</v>
      </c>
      <c r="AK103" s="8">
        <f t="shared" si="36"/>
        <v>7436.2721589403909</v>
      </c>
      <c r="AL103" s="8">
        <f t="shared" si="36"/>
        <v>7436.2721589403909</v>
      </c>
      <c r="AM103" s="8">
        <f t="shared" si="36"/>
        <v>7436.2721589403909</v>
      </c>
      <c r="AN103" s="8">
        <f t="shared" si="36"/>
        <v>7436.2721589403909</v>
      </c>
      <c r="AO103" s="8">
        <f t="shared" si="36"/>
        <v>7436.2721589403909</v>
      </c>
      <c r="AP103" s="8">
        <f t="shared" si="36"/>
        <v>7436.2721589403909</v>
      </c>
      <c r="AQ103" s="8">
        <f>(+$K103)*0.0291390728476821</f>
        <v>5577.2041192052939</v>
      </c>
      <c r="AR103" s="8">
        <f>(+$K103)*0.0344370860927152</f>
        <v>6591.2412317880726</v>
      </c>
      <c r="AS103" s="8">
        <f>(+$K103)*0.0211920529801325</f>
        <v>4056.1484503311344</v>
      </c>
      <c r="AT103" s="8">
        <f>((+$K103)*0.0158940397350993)+9464.34638410606</f>
        <v>12506.457721854396</v>
      </c>
      <c r="AU103" s="8">
        <f>(+$K103)*0.0211920529801325</f>
        <v>4056.1484503311344</v>
      </c>
      <c r="AV103" s="8">
        <f>(+$K103)*0.0211920529801325</f>
        <v>4056.1484503311344</v>
      </c>
      <c r="AW103" s="8">
        <f>(+$K103)*0.0211920529801325</f>
        <v>4056.1484503311344</v>
      </c>
      <c r="AX103" s="8">
        <f>(+$K103)*0.0211920529801325</f>
        <v>4056.1484503311344</v>
      </c>
      <c r="AY103" s="8">
        <f>(+$K103)*0.0136865342163355</f>
        <v>2619.5958741721774</v>
      </c>
      <c r="AZ103" s="8">
        <v>0</v>
      </c>
      <c r="BY103" s="8" t="str">
        <f>+_xlfn.XLOOKUP(Table1[[#This Row],[L4 Code]],KIRMATAŞ!B:B,KIRMATAŞ!B:B,"")</f>
        <v/>
      </c>
      <c r="BZ103" s="8" t="str">
        <f>+_xlfn.XLOOKUP(Table1[[#This Row],[L4 Code]],'SU TEMİNİ'!C:C,'SU TEMİNİ'!C:C,"")</f>
        <v/>
      </c>
      <c r="CA103" s="8" t="str">
        <f>+_xlfn.XLOOKUP(Table1[[#This Row],[L4 Code]],TAŞ!C:C,TAŞ!C:C,"")</f>
        <v/>
      </c>
      <c r="CB103" s="8" t="s">
        <v>5397</v>
      </c>
    </row>
    <row r="104" spans="1:80">
      <c r="A104" s="3" t="s">
        <v>5444</v>
      </c>
      <c r="B104" s="96"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 t="shared" si="34"/>
        <v>119829.416</v>
      </c>
      <c r="L104" s="5">
        <f t="shared" si="35"/>
        <v>0</v>
      </c>
      <c r="M104" s="78">
        <f>+J104</f>
        <v>173730.5</v>
      </c>
      <c r="R104" s="8">
        <v>1124.54</v>
      </c>
      <c r="S104" s="8">
        <v>6547.55</v>
      </c>
      <c r="T104" s="8">
        <v>5140.7640000000001</v>
      </c>
      <c r="U104" s="8">
        <v>10127.77</v>
      </c>
      <c r="V104" s="8">
        <v>12070.26</v>
      </c>
      <c r="W104" s="8">
        <v>9680.1299999999992</v>
      </c>
      <c r="X104" s="10">
        <v>9210.07</v>
      </c>
      <c r="Y104" s="8">
        <f>((+$K104)*0.1841046277666)--2486.4001056338</f>
        <v>24547.550133802863</v>
      </c>
      <c r="Z104" s="8">
        <f>((+$K104)*0.116700201207243)--2486.4001056338</f>
        <v>16470.517063380226</v>
      </c>
      <c r="AA104" s="8">
        <f>((+$K104)*0.116700201207243)--2486.4001056338</f>
        <v>16470.517063380226</v>
      </c>
      <c r="AB104" s="8">
        <f>((+$K104)*0.127766599597586)--2486.4001056338</f>
        <v>17796.597119718364</v>
      </c>
      <c r="AC104" s="8">
        <f>((+$K104)*0.0985915492957746)--2486.4001056338</f>
        <v>14300.567880281682</v>
      </c>
      <c r="AD104" s="8">
        <f>((+$K104)*0.0814889336016097)--2486.4001056338</f>
        <v>12251.171429577467</v>
      </c>
      <c r="AE104" s="8">
        <f>((+$K104)*0.0814889336016097)--2486.4001056338</f>
        <v>12251.171429577467</v>
      </c>
      <c r="AF104" s="8">
        <f>((+$K104)*0.0271629778672032)--2486.4001056338</f>
        <v>5741.323880281685</v>
      </c>
      <c r="BY104" s="8" t="str">
        <f>+_xlfn.XLOOKUP(Table1[[#This Row],[L4 Code]],KIRMATAŞ!B:B,KIRMATAŞ!B:B,"")</f>
        <v/>
      </c>
      <c r="BZ104" s="8" t="str">
        <f>+_xlfn.XLOOKUP(Table1[[#This Row],[L4 Code]],'SU TEMİNİ'!C:C,'SU TEMİNİ'!C:C,"")</f>
        <v/>
      </c>
      <c r="CA104" s="8" t="str">
        <f>+_xlfn.XLOOKUP(Table1[[#This Row],[L4 Code]],TAŞ!C:C,TAŞ!C:C,"")</f>
        <v/>
      </c>
      <c r="CB104" s="8" t="s">
        <v>5398</v>
      </c>
    </row>
    <row r="105" spans="1:80">
      <c r="A105" s="3" t="s">
        <v>5444</v>
      </c>
      <c r="B105" s="96"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 t="shared" si="34"/>
        <v>333.35138249999983</v>
      </c>
      <c r="L105" s="5">
        <f t="shared" si="35"/>
        <v>0</v>
      </c>
      <c r="M105" s="78">
        <v>731.51</v>
      </c>
      <c r="R105" s="8">
        <v>0</v>
      </c>
      <c r="S105" s="8">
        <v>0</v>
      </c>
      <c r="T105" s="8">
        <v>12.093</v>
      </c>
      <c r="U105" s="8">
        <v>86.115600499999942</v>
      </c>
      <c r="V105" s="8">
        <v>66.574017000000012</v>
      </c>
      <c r="W105" s="8">
        <v>108.56200000000001</v>
      </c>
      <c r="X105" s="10">
        <v>124.81400000000019</v>
      </c>
      <c r="Y105" s="8">
        <f>(+$K105)*0.0777041942604857</f>
        <v>25.902800582781463</v>
      </c>
      <c r="Z105" s="8">
        <f>(+$K105)*0.071523178807947</f>
        <v>23.842350536423819</v>
      </c>
      <c r="AA105" s="8">
        <f>(+$K105)*0.0388520971302428</f>
        <v>12.951400291390712</v>
      </c>
      <c r="AB105" s="8">
        <f>(+$K105)*0.0388520971302428</f>
        <v>12.951400291390712</v>
      </c>
      <c r="AC105" s="8">
        <f>(+$K105)*0.0388520971302428</f>
        <v>12.951400291390712</v>
      </c>
      <c r="AD105" s="8">
        <f>(+$K105)*0.0388520971302428</f>
        <v>12.951400291390712</v>
      </c>
      <c r="AE105" s="8">
        <f>(+$K105)*0.0388520971302428</f>
        <v>12.951400291390712</v>
      </c>
      <c r="AF105" s="8">
        <f>(+$K105)*0.0291390728476821</f>
        <v>9.7135502185430358</v>
      </c>
      <c r="AG105" s="8">
        <f>(+$K105)*0.0388520971302428</f>
        <v>12.951400291390712</v>
      </c>
      <c r="AH105" s="8">
        <f>(+$K105)*0.0291390728476821</f>
        <v>9.7135502185430358</v>
      </c>
      <c r="AI105" s="8">
        <f t="shared" ref="AI105:AP105" si="37">(+$K105)*0.0388520971302428</f>
        <v>12.951400291390712</v>
      </c>
      <c r="AJ105" s="8">
        <f t="shared" si="37"/>
        <v>12.951400291390712</v>
      </c>
      <c r="AK105" s="8">
        <f t="shared" si="37"/>
        <v>12.951400291390712</v>
      </c>
      <c r="AL105" s="8">
        <f t="shared" si="37"/>
        <v>12.951400291390712</v>
      </c>
      <c r="AM105" s="8">
        <f t="shared" si="37"/>
        <v>12.951400291390712</v>
      </c>
      <c r="AN105" s="8">
        <f t="shared" si="37"/>
        <v>12.951400291390712</v>
      </c>
      <c r="AO105" s="8">
        <f t="shared" si="37"/>
        <v>12.951400291390712</v>
      </c>
      <c r="AP105" s="8">
        <f t="shared" si="37"/>
        <v>12.951400291390712</v>
      </c>
      <c r="AQ105" s="8">
        <f>(+$K105)*0.0291390728476821</f>
        <v>9.7135502185430358</v>
      </c>
      <c r="AR105" s="8">
        <f>(+$K105)*0.0344370860927152</f>
        <v>11.479650258278131</v>
      </c>
      <c r="AS105" s="8">
        <f>(+$K105)*0.0211920529801325</f>
        <v>7.0644001589404102</v>
      </c>
      <c r="AT105" s="8">
        <f>((+$K105)*0.0158940397350993)+16.4836003708609</f>
        <v>21.781900490066182</v>
      </c>
      <c r="AU105" s="8">
        <f>(+$K105)*0.0211920529801325</f>
        <v>7.0644001589404102</v>
      </c>
      <c r="AV105" s="8">
        <f>(+$K105)*0.0211920529801325</f>
        <v>7.0644001589404102</v>
      </c>
      <c r="AW105" s="8">
        <f>(+$K105)*0.0211920529801325</f>
        <v>7.0644001589404102</v>
      </c>
      <c r="AX105" s="8">
        <f>(+$K105)*0.0211920529801325</f>
        <v>7.0644001589404102</v>
      </c>
      <c r="AY105" s="8">
        <f>(+$K105)*0.0136865342163355</f>
        <v>4.5624251026489908</v>
      </c>
      <c r="AZ105" s="8">
        <v>0</v>
      </c>
      <c r="BY105" s="8" t="str">
        <f>+_xlfn.XLOOKUP(Table1[[#This Row],[L4 Code]],KIRMATAŞ!B:B,KIRMATAŞ!B:B,"")</f>
        <v/>
      </c>
      <c r="BZ105" s="8" t="str">
        <f>+_xlfn.XLOOKUP(Table1[[#This Row],[L4 Code]],'SU TEMİNİ'!C:C,'SU TEMİNİ'!C:C,"")</f>
        <v/>
      </c>
      <c r="CA105" s="8" t="str">
        <f>+_xlfn.XLOOKUP(Table1[[#This Row],[L4 Code]],TAŞ!C:C,TAŞ!C:C,"")</f>
        <v/>
      </c>
      <c r="CB105" s="8" t="s">
        <v>5399</v>
      </c>
    </row>
    <row r="106" spans="1:80">
      <c r="A106" s="3" t="s">
        <v>5444</v>
      </c>
      <c r="B106" s="96"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 t="shared" si="34"/>
        <v>628.53399999999988</v>
      </c>
      <c r="L106" s="5">
        <f t="shared" si="35"/>
        <v>0</v>
      </c>
      <c r="M106" s="78">
        <f>+J106</f>
        <v>1039.58</v>
      </c>
      <c r="R106" s="8">
        <v>9.6999999999999993</v>
      </c>
      <c r="S106" s="8">
        <v>56.86</v>
      </c>
      <c r="T106" s="8">
        <v>33.866</v>
      </c>
      <c r="U106" s="8">
        <v>87.11</v>
      </c>
      <c r="V106" s="8">
        <v>104.61</v>
      </c>
      <c r="W106" s="8">
        <v>70.8</v>
      </c>
      <c r="X106" s="10">
        <v>48.1</v>
      </c>
      <c r="Y106" s="8">
        <f>((+$K106)*0.1841046277666)--13.0417643360161</f>
        <v>128.75778244466824</v>
      </c>
      <c r="Z106" s="8">
        <f>((+$K106)*0.116700201207243)--13.0417643360161</f>
        <v>86.391808601609355</v>
      </c>
      <c r="AA106" s="8">
        <f>((+$K106)*0.116700201207243)--13.0417643360161</f>
        <v>86.391808601609355</v>
      </c>
      <c r="AB106" s="8">
        <f>((+$K106)*0.127766599597586)--13.0417643360161</f>
        <v>93.347416247485199</v>
      </c>
      <c r="AC106" s="8">
        <f>((+$K106)*0.0985915492957746)--13.0417643360161</f>
        <v>75.009905181086481</v>
      </c>
      <c r="AD106" s="8">
        <f>((+$K106)*0.0814889336016097)--13.0417643360161</f>
        <v>64.260329728370237</v>
      </c>
      <c r="AE106" s="8">
        <f>((+$K106)*0.0814889336016097)--13.0417643360161</f>
        <v>64.260329728370237</v>
      </c>
      <c r="AF106" s="8">
        <f>((+$K106)*0.0271629778672032)--13.0417643360161</f>
        <v>30.114619466800793</v>
      </c>
      <c r="BY106" s="8" t="str">
        <f>+_xlfn.XLOOKUP(Table1[[#This Row],[L4 Code]],KIRMATAŞ!B:B,KIRMATAŞ!B:B,"")</f>
        <v/>
      </c>
      <c r="BZ106" s="8" t="str">
        <f>+_xlfn.XLOOKUP(Table1[[#This Row],[L4 Code]],'SU TEMİNİ'!C:C,'SU TEMİNİ'!C:C,"")</f>
        <v/>
      </c>
      <c r="CA106" s="8" t="str">
        <f>+_xlfn.XLOOKUP(Table1[[#This Row],[L4 Code]],TAŞ!C:C,TAŞ!C:C,"")</f>
        <v/>
      </c>
      <c r="CB106" s="8" t="s">
        <v>5400</v>
      </c>
    </row>
    <row r="107" spans="1:80">
      <c r="A107" s="3" t="s">
        <v>5444</v>
      </c>
      <c r="B107" s="96"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 t="shared" si="34"/>
        <v>664.404</v>
      </c>
      <c r="L107" s="5">
        <f t="shared" si="35"/>
        <v>0</v>
      </c>
      <c r="M107" s="78">
        <v>872.91200000000003</v>
      </c>
      <c r="P107" s="8">
        <v>0</v>
      </c>
      <c r="Q107" s="8">
        <v>0</v>
      </c>
      <c r="R107" s="8">
        <v>0</v>
      </c>
      <c r="S107" s="8">
        <v>0</v>
      </c>
      <c r="T107" s="8">
        <v>0</v>
      </c>
      <c r="U107" s="8">
        <v>25.864328999999991</v>
      </c>
      <c r="V107" s="8">
        <v>29.069671000000007</v>
      </c>
      <c r="W107" s="8">
        <v>63.734999999999999</v>
      </c>
      <c r="X107" s="10">
        <v>89.839000000000013</v>
      </c>
      <c r="Y107" s="8">
        <v>30.328420382165611</v>
      </c>
      <c r="Z107" s="8">
        <v>30.328420382165611</v>
      </c>
      <c r="AA107" s="8">
        <v>30.328420382165611</v>
      </c>
      <c r="AB107" s="8">
        <v>30.328420382165611</v>
      </c>
      <c r="AC107" s="8">
        <v>57.835592356687897</v>
      </c>
      <c r="AD107" s="8">
        <v>57.835592356687897</v>
      </c>
      <c r="AE107" s="8">
        <v>71.941834394904419</v>
      </c>
      <c r="AF107" s="8">
        <v>71.941834394904419</v>
      </c>
      <c r="AG107" s="8">
        <v>38.086853503184706</v>
      </c>
      <c r="AH107" s="8">
        <v>52.193095541401298</v>
      </c>
      <c r="AI107" s="8">
        <v>52.193095541401298</v>
      </c>
      <c r="AJ107" s="8">
        <v>50.782471337579636</v>
      </c>
      <c r="AK107" s="8">
        <v>81.110891719745268</v>
      </c>
      <c r="AL107" s="8">
        <v>9.1690573248407592</v>
      </c>
      <c r="BY107" s="8" t="str">
        <f>+_xlfn.XLOOKUP(Table1[[#This Row],[L4 Code]],KIRMATAŞ!B:B,KIRMATAŞ!B:B,"")</f>
        <v/>
      </c>
      <c r="BZ107" s="8" t="str">
        <f>+_xlfn.XLOOKUP(Table1[[#This Row],[L4 Code]],'SU TEMİNİ'!C:C,'SU TEMİNİ'!C:C,"")</f>
        <v/>
      </c>
      <c r="CA107" s="8" t="str">
        <f>+_xlfn.XLOOKUP(Table1[[#This Row],[L4 Code]],TAŞ!C:C,TAŞ!C:C,"")</f>
        <v/>
      </c>
      <c r="CB107" s="8" t="s">
        <v>5401</v>
      </c>
    </row>
    <row r="108" spans="1:80">
      <c r="A108" s="3" t="s">
        <v>5444</v>
      </c>
      <c r="B108" s="96"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 t="shared" si="34"/>
        <v>3437</v>
      </c>
      <c r="L108" s="5">
        <f t="shared" si="35"/>
        <v>0</v>
      </c>
      <c r="M108" s="78">
        <v>50000</v>
      </c>
      <c r="R108" s="8">
        <v>0</v>
      </c>
      <c r="S108" s="8">
        <v>0</v>
      </c>
      <c r="T108" s="8">
        <v>3366</v>
      </c>
      <c r="U108" s="8">
        <v>10332</v>
      </c>
      <c r="V108" s="8">
        <v>9411</v>
      </c>
      <c r="W108" s="8">
        <v>14580</v>
      </c>
      <c r="X108" s="10">
        <v>8874</v>
      </c>
      <c r="Y108" s="8">
        <f>(+$K108)*0.0777041942604857</f>
        <v>267.0693156732894</v>
      </c>
      <c r="Z108" s="8">
        <f>(+$K108)*0.071523178807947</f>
        <v>245.82516556291381</v>
      </c>
      <c r="AA108" s="8">
        <f>(+$K108)*0.0388520971302428</f>
        <v>133.5346578366445</v>
      </c>
      <c r="AB108" s="8">
        <f>(+$K108)*0.0388520971302428</f>
        <v>133.5346578366445</v>
      </c>
      <c r="AC108" s="8">
        <f>(+$K108)*0.0388520971302428</f>
        <v>133.5346578366445</v>
      </c>
      <c r="AD108" s="8">
        <f>(+$K108)*0.0388520971302428</f>
        <v>133.5346578366445</v>
      </c>
      <c r="AE108" s="8">
        <f>(+$K108)*0.0388520971302428</f>
        <v>133.5346578366445</v>
      </c>
      <c r="AF108" s="8">
        <f>(+$K108)*0.0291390728476821</f>
        <v>100.15099337748337</v>
      </c>
      <c r="AG108" s="8">
        <f>(+$K108)*0.0388520971302428</f>
        <v>133.5346578366445</v>
      </c>
      <c r="AH108" s="8">
        <f>(+$K108)*0.0291390728476821</f>
        <v>100.15099337748337</v>
      </c>
      <c r="AI108" s="8">
        <f t="shared" ref="AI108:AP108" si="38">(+$K108)*0.0388520971302428</f>
        <v>133.5346578366445</v>
      </c>
      <c r="AJ108" s="8">
        <f t="shared" si="38"/>
        <v>133.5346578366445</v>
      </c>
      <c r="AK108" s="8">
        <f t="shared" si="38"/>
        <v>133.5346578366445</v>
      </c>
      <c r="AL108" s="8">
        <f t="shared" si="38"/>
        <v>133.5346578366445</v>
      </c>
      <c r="AM108" s="8">
        <f t="shared" si="38"/>
        <v>133.5346578366445</v>
      </c>
      <c r="AN108" s="8">
        <f t="shared" si="38"/>
        <v>133.5346578366445</v>
      </c>
      <c r="AO108" s="8">
        <f t="shared" si="38"/>
        <v>133.5346578366445</v>
      </c>
      <c r="AP108" s="8">
        <f t="shared" si="38"/>
        <v>133.5346578366445</v>
      </c>
      <c r="AQ108" s="8">
        <f>(+$K108)*0.0291390728476821</f>
        <v>100.15099337748337</v>
      </c>
      <c r="AR108" s="8">
        <f>(+$K108)*0.0344370860927152</f>
        <v>118.36026490066214</v>
      </c>
      <c r="AS108" s="8">
        <f>(+$K108)*0.0211920529801325</f>
        <v>72.837086092715396</v>
      </c>
      <c r="AT108" s="8">
        <f>((+$K108)*0.0158940397350993)+169.953200883004</f>
        <v>224.5810154525403</v>
      </c>
      <c r="AU108" s="8">
        <f>(+$K108)*0.0211920529801325</f>
        <v>72.837086092715396</v>
      </c>
      <c r="AV108" s="8">
        <f>(+$K108)*0.0211920529801325</f>
        <v>72.837086092715396</v>
      </c>
      <c r="AW108" s="8">
        <f>(+$K108)*0.0211920529801325</f>
        <v>72.837086092715396</v>
      </c>
      <c r="AX108" s="8">
        <f>(+$K108)*0.0211920529801325</f>
        <v>72.837086092715396</v>
      </c>
      <c r="AY108" s="8">
        <f>(+$K108)*0.0136865342163355</f>
        <v>47.040618101545114</v>
      </c>
      <c r="AZ108" s="8">
        <v>0</v>
      </c>
      <c r="BY108" s="8" t="str">
        <f>+_xlfn.XLOOKUP(Table1[[#This Row],[L4 Code]],KIRMATAŞ!B:B,KIRMATAŞ!B:B,"")</f>
        <v/>
      </c>
      <c r="BZ108" s="8" t="str">
        <f>+_xlfn.XLOOKUP(Table1[[#This Row],[L4 Code]],'SU TEMİNİ'!C:C,'SU TEMİNİ'!C:C,"")</f>
        <v/>
      </c>
      <c r="CA108" s="8" t="str">
        <f>+_xlfn.XLOOKUP(Table1[[#This Row],[L4 Code]],TAŞ!C:C,TAŞ!C:C,"")</f>
        <v/>
      </c>
      <c r="CB108" s="8" t="s">
        <v>5402</v>
      </c>
    </row>
    <row r="109" spans="1:80">
      <c r="A109" s="3" t="s">
        <v>5444</v>
      </c>
      <c r="B109" s="96"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 t="shared" si="34"/>
        <v>4725</v>
      </c>
      <c r="L109" s="5">
        <f t="shared" si="35"/>
        <v>0</v>
      </c>
      <c r="M109" s="78">
        <v>15000</v>
      </c>
      <c r="S109" s="8">
        <v>1878</v>
      </c>
      <c r="T109" s="8">
        <v>360</v>
      </c>
      <c r="U109" s="8">
        <v>1200</v>
      </c>
      <c r="V109" s="8">
        <v>3534</v>
      </c>
      <c r="W109" s="8">
        <v>3303</v>
      </c>
      <c r="X109" s="10">
        <v>0</v>
      </c>
      <c r="Y109" s="8">
        <f>((+$K109)*0.1841046277666)--98.0413732394366</f>
        <v>967.93573943662159</v>
      </c>
      <c r="Z109" s="8">
        <f>((+$K109)*0.116700201207243)--98.0413732394366</f>
        <v>649.44982394365979</v>
      </c>
      <c r="AA109" s="8">
        <f>((+$K109)*0.116700201207243)--98.0413732394366</f>
        <v>649.44982394365979</v>
      </c>
      <c r="AB109" s="8">
        <f>((+$K109)*0.127766599597586)--98.0413732394366</f>
        <v>701.73855633803032</v>
      </c>
      <c r="AC109" s="8">
        <f>((+$K109)*0.0985915492957746)--98.0413732394366</f>
        <v>563.88644366197161</v>
      </c>
      <c r="AD109" s="8">
        <f>((+$K109)*0.0814889336016097)--98.0413732394366</f>
        <v>483.07658450704247</v>
      </c>
      <c r="AE109" s="8">
        <f>((+$K109)*0.0814889336016097)--98.0413732394366</f>
        <v>483.07658450704247</v>
      </c>
      <c r="AF109" s="8">
        <f>((+$K109)*0.0271629778672032)--98.0413732394366</f>
        <v>226.38644366197173</v>
      </c>
      <c r="BY109" s="8" t="str">
        <f>+_xlfn.XLOOKUP(Table1[[#This Row],[L4 Code]],KIRMATAŞ!B:B,KIRMATAŞ!B:B,"")</f>
        <v/>
      </c>
      <c r="BZ109" s="8" t="str">
        <f>+_xlfn.XLOOKUP(Table1[[#This Row],[L4 Code]],'SU TEMİNİ'!C:C,'SU TEMİNİ'!C:C,"")</f>
        <v/>
      </c>
      <c r="CA109" s="8" t="str">
        <f>+_xlfn.XLOOKUP(Table1[[#This Row],[L4 Code]],TAŞ!C:C,TAŞ!C:C,"")</f>
        <v/>
      </c>
      <c r="CB109" s="8" t="s">
        <v>5403</v>
      </c>
    </row>
    <row r="110" spans="1:80">
      <c r="A110" s="3" t="s">
        <v>5444</v>
      </c>
      <c r="B110" s="96"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 t="shared" si="34"/>
        <v>35948</v>
      </c>
      <c r="L110" s="5">
        <f t="shared" si="35"/>
        <v>0</v>
      </c>
      <c r="M110" s="78">
        <v>61976</v>
      </c>
      <c r="P110" s="8">
        <v>0</v>
      </c>
      <c r="Q110" s="8">
        <v>0</v>
      </c>
      <c r="R110" s="8">
        <v>0</v>
      </c>
      <c r="S110" s="8">
        <v>0</v>
      </c>
      <c r="T110" s="8">
        <v>0</v>
      </c>
      <c r="U110" s="8">
        <v>3330</v>
      </c>
      <c r="V110" s="8">
        <v>2880</v>
      </c>
      <c r="W110" s="8">
        <v>11205</v>
      </c>
      <c r="X110" s="10">
        <v>8613</v>
      </c>
      <c r="Y110" s="8">
        <v>1640.9384288747349</v>
      </c>
      <c r="Z110" s="8">
        <v>1640.9384288747349</v>
      </c>
      <c r="AA110" s="8">
        <v>1640.9384288747349</v>
      </c>
      <c r="AB110" s="8">
        <v>1640.9384288747349</v>
      </c>
      <c r="AC110" s="8">
        <v>3129.2314225053078</v>
      </c>
      <c r="AD110" s="8">
        <v>3129.2314225053078</v>
      </c>
      <c r="AE110" s="8">
        <v>3892.4585987261121</v>
      </c>
      <c r="AF110" s="8">
        <v>3892.4585987261121</v>
      </c>
      <c r="AG110" s="8">
        <v>2060.7133757961778</v>
      </c>
      <c r="AH110" s="8">
        <v>2823.9405520169867</v>
      </c>
      <c r="AI110" s="8">
        <v>2823.9405520169867</v>
      </c>
      <c r="AJ110" s="8">
        <v>2747.6178343949055</v>
      </c>
      <c r="AK110" s="8">
        <v>4388.5562632696438</v>
      </c>
      <c r="AL110" s="8">
        <v>496.09766454352416</v>
      </c>
      <c r="BY110" s="8" t="str">
        <f>+_xlfn.XLOOKUP(Table1[[#This Row],[L4 Code]],KIRMATAŞ!B:B,KIRMATAŞ!B:B,"")</f>
        <v/>
      </c>
      <c r="BZ110" s="8" t="str">
        <f>+_xlfn.XLOOKUP(Table1[[#This Row],[L4 Code]],'SU TEMİNİ'!C:C,'SU TEMİNİ'!C:C,"")</f>
        <v/>
      </c>
      <c r="CA110" s="8" t="str">
        <f>+_xlfn.XLOOKUP(Table1[[#This Row],[L4 Code]],TAŞ!C:C,TAŞ!C:C,"")</f>
        <v/>
      </c>
      <c r="CB110" s="8" t="s">
        <v>5404</v>
      </c>
    </row>
    <row r="111" spans="1:80">
      <c r="A111" s="3" t="s">
        <v>5444</v>
      </c>
      <c r="B111" s="96"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 t="shared" si="34"/>
        <v>92457.11</v>
      </c>
      <c r="L111" s="5">
        <f t="shared" si="35"/>
        <v>0</v>
      </c>
      <c r="M111" s="78">
        <v>97989.11</v>
      </c>
      <c r="R111" s="8">
        <v>0</v>
      </c>
      <c r="S111" s="8">
        <v>0</v>
      </c>
      <c r="T111" s="8">
        <v>0</v>
      </c>
      <c r="U111" s="8">
        <v>0</v>
      </c>
      <c r="V111" s="8">
        <v>0</v>
      </c>
      <c r="W111" s="8">
        <v>0</v>
      </c>
      <c r="X111" s="10">
        <v>5532</v>
      </c>
      <c r="Y111" s="8">
        <f>(+$K111)*0.0777041942604857</f>
        <v>7184.3052362030958</v>
      </c>
      <c r="Z111" s="8">
        <f>(+$K111)*0.071523178807947</f>
        <v>6612.8264105960243</v>
      </c>
      <c r="AA111" s="8">
        <f>(+$K111)*0.0388520971302428</f>
        <v>3592.1526181015429</v>
      </c>
      <c r="AB111" s="8">
        <f>(+$K111)*0.0388520971302428</f>
        <v>3592.1526181015429</v>
      </c>
      <c r="AC111" s="8">
        <f>(+$K111)*0.0388520971302428</f>
        <v>3592.1526181015429</v>
      </c>
      <c r="AD111" s="8">
        <f>(+$K111)*0.0388520971302428</f>
        <v>3592.1526181015429</v>
      </c>
      <c r="AE111" s="8">
        <f>(+$K111)*0.0388520971302428</f>
        <v>3592.1526181015429</v>
      </c>
      <c r="AF111" s="8">
        <f>(+$K111)*0.0291390728476821</f>
        <v>2694.114463576157</v>
      </c>
      <c r="AG111" s="8">
        <f>(+$K111)*0.0388520971302428</f>
        <v>3592.1526181015429</v>
      </c>
      <c r="AH111" s="8">
        <f>(+$K111)*0.0291390728476821</f>
        <v>2694.114463576157</v>
      </c>
      <c r="AI111" s="8">
        <f t="shared" ref="AI111:AP111" si="39">(+$K111)*0.0388520971302428</f>
        <v>3592.1526181015429</v>
      </c>
      <c r="AJ111" s="8">
        <f t="shared" si="39"/>
        <v>3592.1526181015429</v>
      </c>
      <c r="AK111" s="8">
        <f t="shared" si="39"/>
        <v>3592.1526181015429</v>
      </c>
      <c r="AL111" s="8">
        <f t="shared" si="39"/>
        <v>3592.1526181015429</v>
      </c>
      <c r="AM111" s="8">
        <f t="shared" si="39"/>
        <v>3592.1526181015429</v>
      </c>
      <c r="AN111" s="8">
        <f t="shared" si="39"/>
        <v>3592.1526181015429</v>
      </c>
      <c r="AO111" s="8">
        <f t="shared" si="39"/>
        <v>3592.1526181015429</v>
      </c>
      <c r="AP111" s="8">
        <f t="shared" si="39"/>
        <v>3592.1526181015429</v>
      </c>
      <c r="AQ111" s="8">
        <f>(+$K111)*0.0291390728476821</f>
        <v>2694.114463576157</v>
      </c>
      <c r="AR111" s="8">
        <f>(+$K111)*0.0344370860927152</f>
        <v>3183.9534569536395</v>
      </c>
      <c r="AS111" s="8">
        <f>(+$K111)*0.0211920529801325</f>
        <v>1959.3559735099382</v>
      </c>
      <c r="AT111" s="8">
        <f>((+$K111)*0.0158940397350993)+4571.83060485651</f>
        <v>6041.3475849889564</v>
      </c>
      <c r="AU111" s="8">
        <f>(+$K111)*0.0211920529801325</f>
        <v>1959.3559735099382</v>
      </c>
      <c r="AV111" s="8">
        <f>(+$K111)*0.0211920529801325</f>
        <v>1959.3559735099382</v>
      </c>
      <c r="AW111" s="8">
        <f>(+$K111)*0.0211920529801325</f>
        <v>1959.3559735099382</v>
      </c>
      <c r="AX111" s="8">
        <f>(+$K111)*0.0211920529801325</f>
        <v>1959.3559735099382</v>
      </c>
      <c r="AY111" s="8">
        <f>(+$K111)*0.0136865342163355</f>
        <v>1265.4173995584952</v>
      </c>
      <c r="AZ111" s="8">
        <v>0</v>
      </c>
      <c r="BY111" s="8" t="str">
        <f>+_xlfn.XLOOKUP(Table1[[#This Row],[L4 Code]],KIRMATAŞ!B:B,KIRMATAŞ!B:B,"")</f>
        <v/>
      </c>
      <c r="BZ111" s="8" t="str">
        <f>+_xlfn.XLOOKUP(Table1[[#This Row],[L4 Code]],'SU TEMİNİ'!C:C,'SU TEMİNİ'!C:C,"")</f>
        <v/>
      </c>
      <c r="CA111" s="8" t="str">
        <f>+_xlfn.XLOOKUP(Table1[[#This Row],[L4 Code]],TAŞ!C:C,TAŞ!C:C,"")</f>
        <v/>
      </c>
      <c r="CB111" s="8" t="s">
        <v>5405</v>
      </c>
    </row>
    <row r="112" spans="1:80">
      <c r="A112" s="3" t="s">
        <v>5444</v>
      </c>
      <c r="B112" s="96"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 t="shared" si="34"/>
        <v>43379.45</v>
      </c>
      <c r="L112" s="5">
        <f t="shared" si="35"/>
        <v>0</v>
      </c>
      <c r="M112" s="78">
        <f>(+J112)-14824.24</f>
        <v>75711.45</v>
      </c>
      <c r="R112" s="8">
        <v>1852</v>
      </c>
      <c r="S112" s="8">
        <v>5608</v>
      </c>
      <c r="T112" s="8">
        <v>4276</v>
      </c>
      <c r="U112" s="8">
        <v>3316</v>
      </c>
      <c r="V112" s="8">
        <v>3260</v>
      </c>
      <c r="W112" s="8">
        <v>5576</v>
      </c>
      <c r="X112" s="10">
        <v>8444</v>
      </c>
      <c r="Y112" s="8">
        <v>8923.2659720825177</v>
      </c>
      <c r="Z112" s="8">
        <v>5000.0796239939382</v>
      </c>
      <c r="AA112" s="8">
        <v>5000.0796239939382</v>
      </c>
      <c r="AB112" s="8">
        <v>5644.1848453219591</v>
      </c>
      <c r="AC112" s="8">
        <v>4121.8492618209639</v>
      </c>
      <c r="AD112" s="8">
        <v>5950.6539197686152</v>
      </c>
      <c r="AE112" s="8">
        <v>5950.6539197686152</v>
      </c>
      <c r="AF112" s="8">
        <v>2788.6828332494961</v>
      </c>
      <c r="BY112" s="8" t="str">
        <f>+_xlfn.XLOOKUP(Table1[[#This Row],[L4 Code]],KIRMATAŞ!B:B,KIRMATAŞ!B:B,"")</f>
        <v/>
      </c>
      <c r="BZ112" s="8" t="str">
        <f>+_xlfn.XLOOKUP(Table1[[#This Row],[L4 Code]],'SU TEMİNİ'!C:C,'SU TEMİNİ'!C:C,"")</f>
        <v/>
      </c>
      <c r="CA112" s="8" t="str">
        <f>+_xlfn.XLOOKUP(Table1[[#This Row],[L4 Code]],TAŞ!C:C,TAŞ!C:C,"")</f>
        <v/>
      </c>
      <c r="CB112" s="8" t="s">
        <v>5406</v>
      </c>
    </row>
    <row r="113" spans="1:80">
      <c r="A113" s="3" t="s">
        <v>5444</v>
      </c>
      <c r="B113" s="96"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 t="shared" si="34"/>
        <v>39219.199999999997</v>
      </c>
      <c r="L113" s="5">
        <f t="shared" si="35"/>
        <v>0</v>
      </c>
      <c r="M113" s="78">
        <v>39219.199999999997</v>
      </c>
      <c r="P113" s="8">
        <v>0</v>
      </c>
      <c r="Q113" s="8">
        <v>0</v>
      </c>
      <c r="R113" s="8">
        <v>0</v>
      </c>
      <c r="S113" s="8">
        <v>0</v>
      </c>
      <c r="T113" s="8">
        <v>0</v>
      </c>
      <c r="U113" s="8">
        <v>0</v>
      </c>
      <c r="V113" s="8">
        <v>0</v>
      </c>
      <c r="W113" s="8">
        <v>0</v>
      </c>
      <c r="X113" s="10">
        <v>0</v>
      </c>
      <c r="Y113" s="8">
        <v>1790.2607218683654</v>
      </c>
      <c r="Z113" s="8">
        <v>1790.2607218683654</v>
      </c>
      <c r="AA113" s="8">
        <v>1790.2607218683654</v>
      </c>
      <c r="AB113" s="8">
        <v>1790.2607218683654</v>
      </c>
      <c r="AC113" s="8">
        <v>3413.9855626326957</v>
      </c>
      <c r="AD113" s="8">
        <v>3413.9855626326957</v>
      </c>
      <c r="AE113" s="8">
        <v>4246.6649681528634</v>
      </c>
      <c r="AF113" s="8">
        <v>4246.6649681528634</v>
      </c>
      <c r="AG113" s="8">
        <v>2248.234394904458</v>
      </c>
      <c r="AH113" s="8">
        <v>3080.9138004246297</v>
      </c>
      <c r="AI113" s="8">
        <v>3080.9138004246297</v>
      </c>
      <c r="AJ113" s="8">
        <v>2997.6458598726122</v>
      </c>
      <c r="AK113" s="8">
        <v>4787.9065817409819</v>
      </c>
      <c r="AL113" s="8">
        <v>541.24161358811011</v>
      </c>
      <c r="BY113" s="8" t="str">
        <f>+_xlfn.XLOOKUP(Table1[[#This Row],[L4 Code]],KIRMATAŞ!B:B,KIRMATAŞ!B:B,"")</f>
        <v/>
      </c>
      <c r="BZ113" s="8" t="str">
        <f>+_xlfn.XLOOKUP(Table1[[#This Row],[L4 Code]],'SU TEMİNİ'!C:C,'SU TEMİNİ'!C:C,"")</f>
        <v/>
      </c>
      <c r="CA113" s="8" t="str">
        <f>+_xlfn.XLOOKUP(Table1[[#This Row],[L4 Code]],TAŞ!C:C,TAŞ!C:C,"")</f>
        <v/>
      </c>
      <c r="CB113" s="8" t="s">
        <v>5407</v>
      </c>
    </row>
    <row r="114" spans="1:80">
      <c r="A114" s="3" t="s">
        <v>5444</v>
      </c>
      <c r="B114" s="96"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 t="shared" si="34"/>
        <v>1750.5044559999999</v>
      </c>
      <c r="L114" s="5">
        <f t="shared" si="35"/>
        <v>0</v>
      </c>
      <c r="M114" s="78">
        <v>1991.36</v>
      </c>
      <c r="R114" s="8">
        <v>0</v>
      </c>
      <c r="S114" s="8">
        <v>0</v>
      </c>
      <c r="T114" s="8">
        <v>8.7449999999999992</v>
      </c>
      <c r="U114" s="8">
        <v>51.804544899999982</v>
      </c>
      <c r="V114" s="8">
        <v>166.05698710000007</v>
      </c>
      <c r="W114" s="8">
        <v>-59.632317</v>
      </c>
      <c r="X114" s="10">
        <v>73.881328999999937</v>
      </c>
      <c r="Y114" s="8">
        <f>(+$K114)*0.0777041942604857</f>
        <v>136.02153830286986</v>
      </c>
      <c r="Z114" s="8">
        <f>(+$K114)*0.071523178807947</f>
        <v>125.20164321059598</v>
      </c>
      <c r="AA114" s="8">
        <f>(+$K114)*0.0388520971302428</f>
        <v>68.010769151434829</v>
      </c>
      <c r="AB114" s="8">
        <f>(+$K114)*0.0388520971302428</f>
        <v>68.010769151434829</v>
      </c>
      <c r="AC114" s="8">
        <f>(+$K114)*0.0388520971302428</f>
        <v>68.010769151434829</v>
      </c>
      <c r="AD114" s="8">
        <f>(+$K114)*0.0388520971302428</f>
        <v>68.010769151434829</v>
      </c>
      <c r="AE114" s="8">
        <f>(+$K114)*0.0388520971302428</f>
        <v>68.010769151434829</v>
      </c>
      <c r="AF114" s="8">
        <f>(+$K114)*0.0291390728476821</f>
        <v>51.008076863576122</v>
      </c>
      <c r="AG114" s="8">
        <f>(+$K114)*0.0388520971302428</f>
        <v>68.010769151434829</v>
      </c>
      <c r="AH114" s="8">
        <f>(+$K114)*0.0291390728476821</f>
        <v>51.008076863576122</v>
      </c>
      <c r="AI114" s="8">
        <f t="shared" ref="AI114:AP114" si="40">(+$K114)*0.0388520971302428</f>
        <v>68.010769151434829</v>
      </c>
      <c r="AJ114" s="8">
        <f t="shared" si="40"/>
        <v>68.010769151434829</v>
      </c>
      <c r="AK114" s="8">
        <f t="shared" si="40"/>
        <v>68.010769151434829</v>
      </c>
      <c r="AL114" s="8">
        <f t="shared" si="40"/>
        <v>68.010769151434829</v>
      </c>
      <c r="AM114" s="8">
        <f t="shared" si="40"/>
        <v>68.010769151434829</v>
      </c>
      <c r="AN114" s="8">
        <f t="shared" si="40"/>
        <v>68.010769151434829</v>
      </c>
      <c r="AO114" s="8">
        <f t="shared" si="40"/>
        <v>68.010769151434829</v>
      </c>
      <c r="AP114" s="8">
        <f t="shared" si="40"/>
        <v>68.010769151434829</v>
      </c>
      <c r="AQ114" s="8">
        <f>(+$K114)*0.0291390728476821</f>
        <v>51.008076863576122</v>
      </c>
      <c r="AR114" s="8">
        <f>(+$K114)*0.0344370860927152</f>
        <v>60.282272656953587</v>
      </c>
      <c r="AS114" s="8">
        <f>(+$K114)*0.0211920529801325</f>
        <v>37.096783173510019</v>
      </c>
      <c r="AT114" s="8">
        <f>((+$K114)*0.0158940397350993)+86.5591607381905</f>
        <v>114.38174811832289</v>
      </c>
      <c r="AU114" s="8">
        <f>(+$K114)*0.0211920529801325</f>
        <v>37.096783173510019</v>
      </c>
      <c r="AV114" s="8">
        <f>(+$K114)*0.0211920529801325</f>
        <v>37.096783173510019</v>
      </c>
      <c r="AW114" s="8">
        <f>(+$K114)*0.0211920529801325</f>
        <v>37.096783173510019</v>
      </c>
      <c r="AX114" s="8">
        <f>(+$K114)*0.0211920529801325</f>
        <v>37.096783173510019</v>
      </c>
      <c r="AY114" s="8">
        <f>(+$K114)*0.0136865342163355</f>
        <v>23.958339132891759</v>
      </c>
      <c r="AZ114" s="8">
        <v>0</v>
      </c>
      <c r="BY114" s="8" t="str">
        <f>+_xlfn.XLOOKUP(Table1[[#This Row],[L4 Code]],KIRMATAŞ!B:B,KIRMATAŞ!B:B,"")</f>
        <v/>
      </c>
      <c r="BZ114" s="8" t="str">
        <f>+_xlfn.XLOOKUP(Table1[[#This Row],[L4 Code]],'SU TEMİNİ'!C:C,'SU TEMİNİ'!C:C,"")</f>
        <v/>
      </c>
      <c r="CA114" s="8" t="str">
        <f>+_xlfn.XLOOKUP(Table1[[#This Row],[L4 Code]],TAŞ!C:C,TAŞ!C:C,"")</f>
        <v/>
      </c>
      <c r="CB114" s="8" t="s">
        <v>5408</v>
      </c>
    </row>
    <row r="115" spans="1:80">
      <c r="A115" s="3" t="s">
        <v>5444</v>
      </c>
      <c r="B115" s="96"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 t="shared" si="34"/>
        <v>1123.452</v>
      </c>
      <c r="L115" s="5">
        <f t="shared" si="35"/>
        <v>0</v>
      </c>
      <c r="M115" s="78">
        <f>+J115</f>
        <v>1383.27</v>
      </c>
      <c r="S115" s="8">
        <v>41.09</v>
      </c>
      <c r="T115" s="8">
        <v>19.128</v>
      </c>
      <c r="U115" s="8">
        <v>64.319999999999993</v>
      </c>
      <c r="V115" s="8">
        <v>71.31</v>
      </c>
      <c r="W115" s="8">
        <v>45.31</v>
      </c>
      <c r="X115" s="10">
        <v>18.66</v>
      </c>
      <c r="Y115" s="8">
        <f>((+$K115)*0.1841046277666)--23.3110638832998</f>
        <v>230.1437761569421</v>
      </c>
      <c r="Z115" s="8">
        <f>((+$K115)*0.116700201207243)--23.3110638832998</f>
        <v>154.41813832997937</v>
      </c>
      <c r="AA115" s="8">
        <f>((+$K115)*0.116700201207243)--23.3110638832998</f>
        <v>154.41813832997937</v>
      </c>
      <c r="AB115" s="8">
        <f>((+$K115)*0.127766599597586)--23.3110638832998</f>
        <v>166.85070573440697</v>
      </c>
      <c r="AC115" s="8">
        <f>((+$K115)*0.0985915492957746)--23.3110638832998</f>
        <v>134.07393712273637</v>
      </c>
      <c r="AD115" s="8">
        <f>((+$K115)*0.0814889336016097)--23.3110638832998</f>
        <v>114.85996931589543</v>
      </c>
      <c r="AE115" s="8">
        <f>((+$K115)*0.0814889336016097)--23.3110638832998</f>
        <v>114.85996931589543</v>
      </c>
      <c r="AF115" s="8">
        <f>((+$K115)*0.0271629778672032)--23.3110638832998</f>
        <v>53.827365694164968</v>
      </c>
      <c r="BY115" s="8" t="str">
        <f>+_xlfn.XLOOKUP(Table1[[#This Row],[L4 Code]],KIRMATAŞ!B:B,KIRMATAŞ!B:B,"")</f>
        <v/>
      </c>
      <c r="BZ115" s="8" t="str">
        <f>+_xlfn.XLOOKUP(Table1[[#This Row],[L4 Code]],'SU TEMİNİ'!C:C,'SU TEMİNİ'!C:C,"")</f>
        <v/>
      </c>
      <c r="CA115" s="8" t="str">
        <f>+_xlfn.XLOOKUP(Table1[[#This Row],[L4 Code]],TAŞ!C:C,TAŞ!C:C,"")</f>
        <v/>
      </c>
      <c r="CB115" s="8" t="s">
        <v>5409</v>
      </c>
    </row>
    <row r="116" spans="1:80">
      <c r="A116" s="3" t="s">
        <v>5444</v>
      </c>
      <c r="B116" s="96"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 t="shared" si="34"/>
        <v>977.32400000000007</v>
      </c>
      <c r="L116" s="5">
        <f t="shared" si="35"/>
        <v>0</v>
      </c>
      <c r="M116" s="78">
        <v>1076.374</v>
      </c>
      <c r="P116" s="8">
        <v>0</v>
      </c>
      <c r="Q116" s="8">
        <v>0</v>
      </c>
      <c r="R116" s="8">
        <v>0</v>
      </c>
      <c r="S116" s="8">
        <v>0</v>
      </c>
      <c r="T116" s="8">
        <v>0</v>
      </c>
      <c r="U116" s="8">
        <v>9.2039115666666635</v>
      </c>
      <c r="V116" s="8">
        <v>12.943472433333342</v>
      </c>
      <c r="W116" s="8">
        <v>26.397615999999996</v>
      </c>
      <c r="X116" s="10">
        <v>50.504999999999995</v>
      </c>
      <c r="Y116" s="8">
        <v>44.612454352441624</v>
      </c>
      <c r="Z116" s="8">
        <v>44.612454352441624</v>
      </c>
      <c r="AA116" s="8">
        <v>44.612454352441624</v>
      </c>
      <c r="AB116" s="8">
        <v>44.612454352441624</v>
      </c>
      <c r="AC116" s="8">
        <v>85.074912951167732</v>
      </c>
      <c r="AD116" s="8">
        <v>85.074912951167732</v>
      </c>
      <c r="AE116" s="8">
        <v>105.82489171974517</v>
      </c>
      <c r="AF116" s="8">
        <v>105.82489171974517</v>
      </c>
      <c r="AG116" s="8">
        <v>56.024942675159224</v>
      </c>
      <c r="AH116" s="8">
        <v>76.774921443736773</v>
      </c>
      <c r="AI116" s="8">
        <v>76.774921443736773</v>
      </c>
      <c r="AJ116" s="8">
        <v>74.699923566879008</v>
      </c>
      <c r="AK116" s="8">
        <v>119.31237791932078</v>
      </c>
      <c r="AL116" s="8">
        <v>13.487486199575367</v>
      </c>
      <c r="BY116" s="8" t="str">
        <f>+_xlfn.XLOOKUP(Table1[[#This Row],[L4 Code]],KIRMATAŞ!B:B,KIRMATAŞ!B:B,"")</f>
        <v/>
      </c>
      <c r="BZ116" s="8" t="str">
        <f>+_xlfn.XLOOKUP(Table1[[#This Row],[L4 Code]],'SU TEMİNİ'!C:C,'SU TEMİNİ'!C:C,"")</f>
        <v/>
      </c>
      <c r="CA116" s="8" t="str">
        <f>+_xlfn.XLOOKUP(Table1[[#This Row],[L4 Code]],TAŞ!C:C,TAŞ!C:C,"")</f>
        <v/>
      </c>
      <c r="CB116" s="8" t="s">
        <v>5410</v>
      </c>
    </row>
    <row r="117" spans="1:80">
      <c r="A117" s="3" t="s">
        <v>5444</v>
      </c>
      <c r="B117" s="96"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 t="shared" si="34"/>
        <v>119574.35500000001</v>
      </c>
      <c r="L117" s="5">
        <f t="shared" si="35"/>
        <v>0</v>
      </c>
      <c r="M117" s="78">
        <v>130675.145</v>
      </c>
      <c r="P117" s="8">
        <v>0</v>
      </c>
      <c r="Q117" s="8">
        <v>0</v>
      </c>
      <c r="R117" s="8">
        <v>0</v>
      </c>
      <c r="S117" s="8">
        <v>0</v>
      </c>
      <c r="T117" s="8">
        <v>0</v>
      </c>
      <c r="U117" s="8">
        <v>1400.3529016666666</v>
      </c>
      <c r="V117" s="8">
        <v>834.56409833333328</v>
      </c>
      <c r="W117" s="8">
        <v>3012.3340000000003</v>
      </c>
      <c r="X117" s="10">
        <v>5853.5390000000007</v>
      </c>
      <c r="Y117" s="8">
        <v>5458.2773513800439</v>
      </c>
      <c r="Z117" s="8">
        <v>5458.2773513800439</v>
      </c>
      <c r="AA117" s="8">
        <v>5458.2773513800439</v>
      </c>
      <c r="AB117" s="8">
        <v>5458.2773513800439</v>
      </c>
      <c r="AC117" s="8">
        <v>10408.80797239915</v>
      </c>
      <c r="AD117" s="8">
        <v>10408.80797239915</v>
      </c>
      <c r="AE117" s="8">
        <v>12947.541624203815</v>
      </c>
      <c r="AF117" s="8">
        <v>12947.541624203815</v>
      </c>
      <c r="AG117" s="8">
        <v>6854.5808598726107</v>
      </c>
      <c r="AH117" s="8">
        <v>9393.3145116772885</v>
      </c>
      <c r="AI117" s="8">
        <v>9393.3145116772885</v>
      </c>
      <c r="AJ117" s="8">
        <v>9139.4411464968198</v>
      </c>
      <c r="AK117" s="8">
        <v>14597.718497876855</v>
      </c>
      <c r="AL117" s="8">
        <v>1650.1768736730355</v>
      </c>
      <c r="BY117" s="8" t="str">
        <f>+_xlfn.XLOOKUP(Table1[[#This Row],[L4 Code]],KIRMATAŞ!B:B,KIRMATAŞ!B:B,"")</f>
        <v/>
      </c>
      <c r="BZ117" s="8" t="str">
        <f>+_xlfn.XLOOKUP(Table1[[#This Row],[L4 Code]],'SU TEMİNİ'!C:C,'SU TEMİNİ'!C:C,"")</f>
        <v/>
      </c>
      <c r="CA117" s="8" t="str">
        <f>+_xlfn.XLOOKUP(Table1[[#This Row],[L4 Code]],TAŞ!C:C,TAŞ!C:C,"")</f>
        <v/>
      </c>
      <c r="CB117" s="8" t="s">
        <v>5411</v>
      </c>
    </row>
    <row r="118" spans="1:80">
      <c r="A118" s="3" t="s">
        <v>5444</v>
      </c>
      <c r="B118" s="96" t="s">
        <v>21</v>
      </c>
      <c r="C118" t="str">
        <f>+_xlfn.XLOOKUP(B118,'L4'!B:B,'L4'!C:C)</f>
        <v>TÜNELDE PÜSKÜRTME BETONU YAPILMASI</v>
      </c>
      <c r="D118" t="s">
        <v>4967</v>
      </c>
      <c r="E118" t="str">
        <f>+_xlfn.XLOOKUP(D118,'M2'!H:H,'M2'!I:I)</f>
        <v>PROJE GENELİ</v>
      </c>
      <c r="F118" s="77" t="s">
        <v>4973</v>
      </c>
      <c r="G118" t="s">
        <v>4983</v>
      </c>
      <c r="H118" s="3" t="s">
        <v>4984</v>
      </c>
      <c r="I118" s="3" t="s">
        <v>327</v>
      </c>
      <c r="J118" s="78">
        <v>265406.38600000006</v>
      </c>
      <c r="K118" s="78">
        <f>+M118-SUM(N118:W118)</f>
        <v>307320.41988093453</v>
      </c>
      <c r="L118" s="5">
        <f>+SUM(X118:BT118)-K118</f>
        <v>0</v>
      </c>
      <c r="M118" s="78">
        <f>+SUM(N118:BX118)</f>
        <v>310339.35215000017</v>
      </c>
      <c r="N118" s="8">
        <v>0</v>
      </c>
      <c r="O118" s="8">
        <v>0</v>
      </c>
      <c r="P118" s="8">
        <v>483.00342020770944</v>
      </c>
      <c r="Q118" s="8">
        <v>1185.5304797922906</v>
      </c>
      <c r="R118" s="8">
        <v>76.717769065638834</v>
      </c>
      <c r="S118" s="8">
        <v>0</v>
      </c>
      <c r="T118" s="8">
        <v>0</v>
      </c>
      <c r="U118" s="8">
        <v>452.93244999274975</v>
      </c>
      <c r="V118" s="8">
        <v>820.74815000724857</v>
      </c>
      <c r="W118" s="8">
        <v>0</v>
      </c>
      <c r="X118" s="10">
        <v>1782.8544197116555</v>
      </c>
      <c r="Y118" s="8">
        <v>3185.7075630290119</v>
      </c>
      <c r="Z118" s="8">
        <v>3813.3360201030455</v>
      </c>
      <c r="AA118" s="8">
        <v>4690.5450778416398</v>
      </c>
      <c r="AB118" s="8">
        <v>8352.1636185912121</v>
      </c>
      <c r="AC118" s="8">
        <v>7403.1933968691665</v>
      </c>
      <c r="AD118" s="8">
        <v>7655.8003893463665</v>
      </c>
      <c r="AE118" s="8">
        <v>7587.5794984154345</v>
      </c>
      <c r="AF118" s="8">
        <v>7422.1288948134215</v>
      </c>
      <c r="AG118" s="8">
        <v>8992.0999903226584</v>
      </c>
      <c r="AH118" s="8">
        <v>10284.611285646082</v>
      </c>
      <c r="AI118" s="8">
        <v>11538.595994380892</v>
      </c>
      <c r="AJ118" s="8">
        <v>12547.257323084821</v>
      </c>
      <c r="AK118" s="8">
        <v>12161.020961089067</v>
      </c>
      <c r="AL118" s="8">
        <v>10754.891931859167</v>
      </c>
      <c r="AM118" s="8">
        <v>11188.481507023896</v>
      </c>
      <c r="AN118" s="8">
        <v>11188.481507023896</v>
      </c>
      <c r="AO118" s="8">
        <v>10904.104233829519</v>
      </c>
      <c r="AP118" s="8">
        <v>11197.315939746015</v>
      </c>
      <c r="AQ118" s="8">
        <v>11365.207479675821</v>
      </c>
      <c r="AR118" s="8">
        <v>11130.338117182217</v>
      </c>
      <c r="AS118" s="8">
        <v>12937.261171929307</v>
      </c>
      <c r="AT118" s="8">
        <v>12980.290422353819</v>
      </c>
      <c r="AU118" s="8">
        <v>12772.001027797161</v>
      </c>
      <c r="AV118" s="8">
        <v>12772.001027797161</v>
      </c>
      <c r="AW118" s="8">
        <v>12600.897126976637</v>
      </c>
      <c r="AX118" s="8">
        <v>12987.35398376366</v>
      </c>
      <c r="AY118" s="8">
        <v>12882.414745739146</v>
      </c>
      <c r="AZ118" s="8">
        <v>9591.3426809345256</v>
      </c>
      <c r="BA118" s="8">
        <v>6946.6340402267906</v>
      </c>
      <c r="BB118" s="8">
        <v>5292.6566451144672</v>
      </c>
      <c r="BC118" s="8">
        <v>3650.722892595375</v>
      </c>
      <c r="BD118" s="8">
        <v>3650.722892595375</v>
      </c>
      <c r="BE118" s="8">
        <v>3110.4060735260537</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8" t="str">
        <f>+_xlfn.XLOOKUP(Table1[[#This Row],[L4 Code]],KIRMATAŞ!B:B,KIRMATAŞ!B:B,"")</f>
        <v>D-01.ALT-04.TNL-006</v>
      </c>
      <c r="BZ118" s="8" t="str">
        <f>+_xlfn.XLOOKUP(Table1[[#This Row],[L4 Code]],'SU TEMİNİ'!C:C,'SU TEMİNİ'!C:C,"")</f>
        <v/>
      </c>
      <c r="CA118" s="8" t="str">
        <f>+_xlfn.XLOOKUP(Table1[[#This Row],[L4 Code]],TAŞ!C:C,TAŞ!C:C,"")</f>
        <v/>
      </c>
      <c r="CB118" s="8" t="s">
        <v>5412</v>
      </c>
    </row>
    <row r="119" spans="1:80">
      <c r="A119" s="3" t="s">
        <v>5444</v>
      </c>
      <c r="B119" s="96"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 t="shared" ref="K119:K130" si="41">+M119-SUM(N119:X119)</f>
        <v>11674.808599999997</v>
      </c>
      <c r="L119" s="5">
        <f t="shared" ref="L119:L130" si="42">-SUM(Y119:BT119)+K119</f>
        <v>0</v>
      </c>
      <c r="M119" s="78">
        <v>16466.21</v>
      </c>
      <c r="R119" s="8">
        <v>0</v>
      </c>
      <c r="S119" s="8">
        <v>0</v>
      </c>
      <c r="T119" s="8">
        <v>230.51300000000001</v>
      </c>
      <c r="U119" s="8">
        <v>683.12693500724981</v>
      </c>
      <c r="V119" s="8">
        <v>1350.4244649927509</v>
      </c>
      <c r="W119" s="8">
        <v>1018.4710000000005</v>
      </c>
      <c r="X119" s="10">
        <v>1508.8660000000013</v>
      </c>
      <c r="Y119" s="8">
        <f>(+$K119)*0.0777041942604857</f>
        <v>907.18159540838894</v>
      </c>
      <c r="Z119" s="8">
        <f>(+$K119)*0.071523178807947</f>
        <v>835.01942304635702</v>
      </c>
      <c r="AA119" s="8">
        <f>(+$K119)*0.0388520971302428</f>
        <v>453.59079770419379</v>
      </c>
      <c r="AB119" s="8">
        <f>(+$K119)*0.0388520971302428</f>
        <v>453.59079770419379</v>
      </c>
      <c r="AC119" s="8">
        <f>(+$K119)*0.0388520971302428</f>
        <v>453.59079770419379</v>
      </c>
      <c r="AD119" s="8">
        <f>(+$K119)*0.0388520971302428</f>
        <v>453.59079770419379</v>
      </c>
      <c r="AE119" s="8">
        <f>(+$K119)*0.0388520971302428</f>
        <v>453.59079770419379</v>
      </c>
      <c r="AF119" s="8">
        <f>(+$K119)*0.0291390728476821</f>
        <v>340.19309827814538</v>
      </c>
      <c r="AG119" s="8">
        <f>(+$K119)*0.0388520971302428</f>
        <v>453.59079770419379</v>
      </c>
      <c r="AH119" s="8">
        <f>(+$K119)*0.0291390728476821</f>
        <v>340.19309827814538</v>
      </c>
      <c r="AI119" s="8">
        <f t="shared" ref="AI119:AP119" si="43">(+$K119)*0.0388520971302428</f>
        <v>453.59079770419379</v>
      </c>
      <c r="AJ119" s="8">
        <f t="shared" si="43"/>
        <v>453.59079770419379</v>
      </c>
      <c r="AK119" s="8">
        <f t="shared" si="43"/>
        <v>453.59079770419379</v>
      </c>
      <c r="AL119" s="8">
        <f t="shared" si="43"/>
        <v>453.59079770419379</v>
      </c>
      <c r="AM119" s="8">
        <f t="shared" si="43"/>
        <v>453.59079770419379</v>
      </c>
      <c r="AN119" s="8">
        <f t="shared" si="43"/>
        <v>453.59079770419379</v>
      </c>
      <c r="AO119" s="8">
        <f t="shared" si="43"/>
        <v>453.59079770419379</v>
      </c>
      <c r="AP119" s="8">
        <f t="shared" si="43"/>
        <v>453.59079770419379</v>
      </c>
      <c r="AQ119" s="8">
        <f>(+$K119)*0.0291390728476821</f>
        <v>340.19309827814538</v>
      </c>
      <c r="AR119" s="8">
        <f>(+$K119)*0.0344370860927152</f>
        <v>402.04638887417173</v>
      </c>
      <c r="AS119" s="8">
        <f>(+$K119)*0.0211920529801325</f>
        <v>247.41316238410644</v>
      </c>
      <c r="AT119" s="8">
        <f>((+$K119)*0.0158940397350993)+577.297378896257</f>
        <v>762.8572506843359</v>
      </c>
      <c r="AU119" s="8">
        <f>(+$K119)*0.0211920529801325</f>
        <v>247.41316238410644</v>
      </c>
      <c r="AV119" s="8">
        <f>(+$K119)*0.0211920529801325</f>
        <v>247.41316238410644</v>
      </c>
      <c r="AW119" s="8">
        <f>(+$K119)*0.0211920529801325</f>
        <v>247.41316238410644</v>
      </c>
      <c r="AX119" s="8">
        <f>(+$K119)*0.0211920529801325</f>
        <v>247.41316238410644</v>
      </c>
      <c r="AY119" s="8">
        <f>(+$K119)*0.0136865342163355</f>
        <v>159.7876673730679</v>
      </c>
      <c r="AZ119" s="8">
        <v>0</v>
      </c>
      <c r="BY119" s="8" t="str">
        <f>+_xlfn.XLOOKUP(Table1[[#This Row],[L4 Code]],KIRMATAŞ!B:B,KIRMATAŞ!B:B,"")</f>
        <v>D-01.ALT-04.TNL-006</v>
      </c>
      <c r="BZ119" s="8" t="str">
        <f>+_xlfn.XLOOKUP(Table1[[#This Row],[L4 Code]],'SU TEMİNİ'!C:C,'SU TEMİNİ'!C:C,"")</f>
        <v/>
      </c>
      <c r="CA119" s="8" t="str">
        <f>+_xlfn.XLOOKUP(Table1[[#This Row],[L4 Code]],TAŞ!C:C,TAŞ!C:C,"")</f>
        <v/>
      </c>
      <c r="CB119" s="8" t="s">
        <v>5413</v>
      </c>
    </row>
    <row r="120" spans="1:80">
      <c r="A120" s="3" t="s">
        <v>5444</v>
      </c>
      <c r="B120" s="96"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 t="shared" si="41"/>
        <v>121922.46</v>
      </c>
      <c r="L120" s="5">
        <f t="shared" si="42"/>
        <v>0</v>
      </c>
      <c r="M120" s="78">
        <v>125546.46</v>
      </c>
      <c r="R120" s="8">
        <v>0</v>
      </c>
      <c r="S120" s="8">
        <v>0</v>
      </c>
      <c r="T120" s="8">
        <v>0</v>
      </c>
      <c r="U120" s="8">
        <v>0</v>
      </c>
      <c r="V120" s="8">
        <v>0</v>
      </c>
      <c r="W120" s="8">
        <v>0</v>
      </c>
      <c r="X120" s="10">
        <v>3624</v>
      </c>
      <c r="Y120" s="8">
        <v>5835.3619388423349</v>
      </c>
      <c r="Z120" s="8">
        <v>5183.5148758821897</v>
      </c>
      <c r="AA120" s="8">
        <v>4651.1367729562126</v>
      </c>
      <c r="AB120" s="8">
        <v>4789.1365023387452</v>
      </c>
      <c r="AC120" s="8">
        <v>4257.194417515082</v>
      </c>
      <c r="AD120" s="8">
        <v>3897.4794831056379</v>
      </c>
      <c r="AE120" s="8">
        <v>4041.3654568694155</v>
      </c>
      <c r="AF120" s="8">
        <v>3998.6356828425965</v>
      </c>
      <c r="AG120" s="8">
        <v>3844.2852746232716</v>
      </c>
      <c r="AH120" s="8">
        <v>3939.9912480812995</v>
      </c>
      <c r="AI120" s="8">
        <v>4047.0336921995035</v>
      </c>
      <c r="AJ120" s="8">
        <v>4047.0336921995035</v>
      </c>
      <c r="AK120" s="8">
        <v>4047.0336921995035</v>
      </c>
      <c r="AL120" s="8">
        <v>4291.6398475979258</v>
      </c>
      <c r="AM120" s="8">
        <v>4536.2460029963477</v>
      </c>
      <c r="AN120" s="8">
        <v>4536.2460029963477</v>
      </c>
      <c r="AO120" s="8">
        <v>4536.2460029963477</v>
      </c>
      <c r="AP120" s="8">
        <v>4196.3698922422118</v>
      </c>
      <c r="AQ120" s="8">
        <v>3823.1383966610192</v>
      </c>
      <c r="AR120" s="8">
        <v>3814.2000255635721</v>
      </c>
      <c r="AS120" s="8">
        <v>4154.7301634711794</v>
      </c>
      <c r="AT120" s="8">
        <v>3893.9913382871214</v>
      </c>
      <c r="AU120" s="8">
        <v>3980.3229225453888</v>
      </c>
      <c r="AV120" s="8">
        <v>3980.3229225453888</v>
      </c>
      <c r="AW120" s="8">
        <v>4052.2659094272776</v>
      </c>
      <c r="AX120" s="8">
        <v>3374.2577603282643</v>
      </c>
      <c r="AY120" s="8">
        <v>3251.9546826290534</v>
      </c>
      <c r="AZ120" s="8">
        <v>3028.9314232951983</v>
      </c>
      <c r="BA120" s="8">
        <v>3028.9314232951983</v>
      </c>
      <c r="BB120" s="8">
        <v>2863.4625534668539</v>
      </c>
      <c r="BY120" s="8" t="str">
        <f>+_xlfn.XLOOKUP(Table1[[#This Row],[L4 Code]],KIRMATAŞ!B:B,KIRMATAŞ!B:B,"")</f>
        <v/>
      </c>
      <c r="BZ120" s="8" t="str">
        <f>+_xlfn.XLOOKUP(Table1[[#This Row],[L4 Code]],'SU TEMİNİ'!C:C,'SU TEMİNİ'!C:C,"")</f>
        <v/>
      </c>
      <c r="CA120" s="8" t="str">
        <f>+_xlfn.XLOOKUP(Table1[[#This Row],[L4 Code]],TAŞ!C:C,TAŞ!C:C,"")</f>
        <v/>
      </c>
      <c r="CB120" s="8" t="s">
        <v>5414</v>
      </c>
    </row>
    <row r="121" spans="1:80">
      <c r="A121" s="3" t="s">
        <v>5444</v>
      </c>
      <c r="B121" s="96"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 t="shared" si="41"/>
        <v>109426.34</v>
      </c>
      <c r="L121" s="5">
        <f t="shared" si="42"/>
        <v>0</v>
      </c>
      <c r="M121" s="78">
        <f>+J121</f>
        <v>127024.34</v>
      </c>
      <c r="R121" s="8">
        <v>486</v>
      </c>
      <c r="S121" s="8">
        <v>2350</v>
      </c>
      <c r="T121" s="8">
        <v>2280</v>
      </c>
      <c r="U121" s="8">
        <v>1298</v>
      </c>
      <c r="V121" s="8">
        <v>2118</v>
      </c>
      <c r="W121" s="8">
        <v>4314</v>
      </c>
      <c r="X121" s="10">
        <v>4752</v>
      </c>
      <c r="Y121" s="8">
        <v>5237.281953979772</v>
      </c>
      <c r="Z121" s="8">
        <v>4652.2442313199908</v>
      </c>
      <c r="AA121" s="8">
        <v>4174.4308136828058</v>
      </c>
      <c r="AB121" s="8">
        <v>4298.2866258713148</v>
      </c>
      <c r="AC121" s="8">
        <v>3820.8645378145043</v>
      </c>
      <c r="AD121" s="8">
        <v>3498.017634005595</v>
      </c>
      <c r="AE121" s="8">
        <v>3627.156395529159</v>
      </c>
      <c r="AF121" s="8">
        <v>3588.806096652464</v>
      </c>
      <c r="AG121" s="8">
        <v>3450.275425199914</v>
      </c>
      <c r="AH121" s="8">
        <v>3536.1722680921025</v>
      </c>
      <c r="AI121" s="8">
        <v>3632.2436800740261</v>
      </c>
      <c r="AJ121" s="8">
        <v>3632.2436800740261</v>
      </c>
      <c r="AK121" s="8">
        <v>3632.2436800740261</v>
      </c>
      <c r="AL121" s="8">
        <v>3851.7795746640841</v>
      </c>
      <c r="AM121" s="8">
        <v>4071.315469254142</v>
      </c>
      <c r="AN121" s="8">
        <v>4071.315469254142</v>
      </c>
      <c r="AO121" s="8">
        <v>4071.315469254142</v>
      </c>
      <c r="AP121" s="8">
        <v>3766.2740613522701</v>
      </c>
      <c r="AQ121" s="8">
        <v>3431.2959405517536</v>
      </c>
      <c r="AR121" s="8">
        <v>3423.2736841540773</v>
      </c>
      <c r="AS121" s="8">
        <v>3728.9020864265117</v>
      </c>
      <c r="AT121" s="8">
        <v>3494.8869973625992</v>
      </c>
      <c r="AU121" s="8">
        <v>3572.3702542767378</v>
      </c>
      <c r="AV121" s="8">
        <v>3572.3702542767378</v>
      </c>
      <c r="AW121" s="8">
        <v>3636.9396350385196</v>
      </c>
      <c r="AX121" s="8">
        <v>3028.4221375562729</v>
      </c>
      <c r="AY121" s="8">
        <v>2918.6541902612439</v>
      </c>
      <c r="AZ121" s="8">
        <v>2718.4891098997205</v>
      </c>
      <c r="BA121" s="8">
        <v>2718.4891098997205</v>
      </c>
      <c r="BB121" s="8">
        <v>2569.9795341476229</v>
      </c>
      <c r="BY121" s="8" t="str">
        <f>+_xlfn.XLOOKUP(Table1[[#This Row],[L4 Code]],KIRMATAŞ!B:B,KIRMATAŞ!B:B,"")</f>
        <v/>
      </c>
      <c r="BZ121" s="8" t="str">
        <f>+_xlfn.XLOOKUP(Table1[[#This Row],[L4 Code]],'SU TEMİNİ'!C:C,'SU TEMİNİ'!C:C,"")</f>
        <v/>
      </c>
      <c r="CA121" s="8" t="str">
        <f>+_xlfn.XLOOKUP(Table1[[#This Row],[L4 Code]],TAŞ!C:C,TAŞ!C:C,"")</f>
        <v/>
      </c>
      <c r="CB121" s="8" t="s">
        <v>5415</v>
      </c>
    </row>
    <row r="122" spans="1:80">
      <c r="A122" s="3" t="s">
        <v>5444</v>
      </c>
      <c r="B122" s="96"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 t="shared" si="41"/>
        <v>14029.199999999997</v>
      </c>
      <c r="L122" s="5">
        <f t="shared" si="42"/>
        <v>0</v>
      </c>
      <c r="M122" s="78">
        <v>45347.199999999997</v>
      </c>
      <c r="P122" s="8">
        <v>0</v>
      </c>
      <c r="Q122" s="8">
        <v>0</v>
      </c>
      <c r="R122" s="8">
        <v>0</v>
      </c>
      <c r="S122" s="8">
        <v>0</v>
      </c>
      <c r="T122" s="8">
        <v>0</v>
      </c>
      <c r="U122" s="8">
        <v>0</v>
      </c>
      <c r="V122" s="8">
        <v>31318</v>
      </c>
      <c r="W122" s="8">
        <v>0</v>
      </c>
      <c r="X122" s="10">
        <v>0</v>
      </c>
      <c r="Y122" s="8">
        <v>640.39872611464966</v>
      </c>
      <c r="Z122" s="8">
        <v>640.39872611464966</v>
      </c>
      <c r="AA122" s="8">
        <v>640.39872611464966</v>
      </c>
      <c r="AB122" s="8">
        <v>640.39872611464966</v>
      </c>
      <c r="AC122" s="8">
        <v>1221.2254777070061</v>
      </c>
      <c r="AD122" s="8">
        <v>1221.2254777070061</v>
      </c>
      <c r="AE122" s="8">
        <v>1519.0853503184701</v>
      </c>
      <c r="AF122" s="8">
        <v>1519.0853503184701</v>
      </c>
      <c r="AG122" s="8">
        <v>804.22165605095506</v>
      </c>
      <c r="AH122" s="8">
        <v>1102.0815286624206</v>
      </c>
      <c r="AI122" s="8">
        <v>1102.0815286624206</v>
      </c>
      <c r="AJ122" s="8">
        <v>1072.295541401274</v>
      </c>
      <c r="AK122" s="8">
        <v>1712.6942675159244</v>
      </c>
      <c r="AL122" s="8">
        <v>193.60891719745209</v>
      </c>
      <c r="BY122" s="8" t="str">
        <f>+_xlfn.XLOOKUP(Table1[[#This Row],[L4 Code]],KIRMATAŞ!B:B,KIRMATAŞ!B:B,"")</f>
        <v/>
      </c>
      <c r="BZ122" s="8" t="str">
        <f>+_xlfn.XLOOKUP(Table1[[#This Row],[L4 Code]],'SU TEMİNİ'!C:C,'SU TEMİNİ'!C:C,"")</f>
        <v/>
      </c>
      <c r="CA122" s="8" t="str">
        <f>+_xlfn.XLOOKUP(Table1[[#This Row],[L4 Code]],TAŞ!C:C,TAŞ!C:C,"")</f>
        <v/>
      </c>
      <c r="CB122" s="8" t="s">
        <v>5416</v>
      </c>
    </row>
    <row r="123" spans="1:80">
      <c r="A123" s="3" t="s">
        <v>5444</v>
      </c>
      <c r="B123" s="96"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 t="shared" si="41"/>
        <v>6066</v>
      </c>
      <c r="L123" s="5">
        <f t="shared" si="42"/>
        <v>0</v>
      </c>
      <c r="M123" s="78">
        <v>100000</v>
      </c>
      <c r="R123" s="8">
        <v>252</v>
      </c>
      <c r="S123" s="8">
        <v>5652</v>
      </c>
      <c r="T123" s="8">
        <v>7524</v>
      </c>
      <c r="U123" s="8">
        <v>14649</v>
      </c>
      <c r="V123" s="8">
        <v>21549</v>
      </c>
      <c r="W123" s="8">
        <v>24461</v>
      </c>
      <c r="X123" s="10">
        <v>19847</v>
      </c>
      <c r="Y123" s="8">
        <f>(+$K123)*0.0777041942604857</f>
        <v>471.35364238410631</v>
      </c>
      <c r="Z123" s="8">
        <f>(+$K123)*0.071523178807947</f>
        <v>433.85960264900649</v>
      </c>
      <c r="AA123" s="8">
        <f>(+$K123)*0.0388520971302428</f>
        <v>235.67682119205281</v>
      </c>
      <c r="AB123" s="8">
        <f>(+$K123)*0.0388520971302428</f>
        <v>235.67682119205281</v>
      </c>
      <c r="AC123" s="8">
        <f>(+$K123)*0.0388520971302428</f>
        <v>235.67682119205281</v>
      </c>
      <c r="AD123" s="8">
        <f>(+$K123)*0.0388520971302428</f>
        <v>235.67682119205281</v>
      </c>
      <c r="AE123" s="8">
        <f>(+$K123)*0.0388520971302428</f>
        <v>235.67682119205281</v>
      </c>
      <c r="AF123" s="8">
        <f>(+$K123)*0.0291390728476821</f>
        <v>176.75761589403962</v>
      </c>
      <c r="AG123" s="8">
        <f>(+$K123)*0.0388520971302428</f>
        <v>235.67682119205281</v>
      </c>
      <c r="AH123" s="8">
        <f>(+$K123)*0.0291390728476821</f>
        <v>176.75761589403962</v>
      </c>
      <c r="AI123" s="8">
        <f t="shared" ref="AI123:AP123" si="44">(+$K123)*0.0388520971302428</f>
        <v>235.67682119205281</v>
      </c>
      <c r="AJ123" s="8">
        <f t="shared" si="44"/>
        <v>235.67682119205281</v>
      </c>
      <c r="AK123" s="8">
        <f t="shared" si="44"/>
        <v>235.67682119205281</v>
      </c>
      <c r="AL123" s="8">
        <f t="shared" si="44"/>
        <v>235.67682119205281</v>
      </c>
      <c r="AM123" s="8">
        <f t="shared" si="44"/>
        <v>235.67682119205281</v>
      </c>
      <c r="AN123" s="8">
        <f t="shared" si="44"/>
        <v>235.67682119205281</v>
      </c>
      <c r="AO123" s="8">
        <f t="shared" si="44"/>
        <v>235.67682119205281</v>
      </c>
      <c r="AP123" s="8">
        <f t="shared" si="44"/>
        <v>235.67682119205281</v>
      </c>
      <c r="AQ123" s="8">
        <f>(+$K123)*0.0291390728476821</f>
        <v>176.75761589403962</v>
      </c>
      <c r="AR123" s="8">
        <f>(+$K123)*0.0344370860927152</f>
        <v>208.89536423841042</v>
      </c>
      <c r="AS123" s="8">
        <f>(+$K123)*0.0211920529801325</f>
        <v>128.55099337748374</v>
      </c>
      <c r="AT123" s="8">
        <f>((+$K123)*0.0158940397350993)+299.952317880795</f>
        <v>396.36556291390735</v>
      </c>
      <c r="AU123" s="8">
        <f>(+$K123)*0.0211920529801325</f>
        <v>128.55099337748374</v>
      </c>
      <c r="AV123" s="8">
        <f>(+$K123)*0.0211920529801325</f>
        <v>128.55099337748374</v>
      </c>
      <c r="AW123" s="8">
        <f>(+$K123)*0.0211920529801325</f>
        <v>128.55099337748374</v>
      </c>
      <c r="AX123" s="8">
        <f>(+$K123)*0.0211920529801325</f>
        <v>128.55099337748374</v>
      </c>
      <c r="AY123" s="8">
        <f>(+$K123)*0.0136865342163355</f>
        <v>83.022516556291137</v>
      </c>
      <c r="AZ123" s="8">
        <v>0</v>
      </c>
      <c r="BY123" s="8" t="str">
        <f>+_xlfn.XLOOKUP(Table1[[#This Row],[L4 Code]],KIRMATAŞ!B:B,KIRMATAŞ!B:B,"")</f>
        <v/>
      </c>
      <c r="BZ123" s="8" t="str">
        <f>+_xlfn.XLOOKUP(Table1[[#This Row],[L4 Code]],'SU TEMİNİ'!C:C,'SU TEMİNİ'!C:C,"")</f>
        <v/>
      </c>
      <c r="CA123" s="8" t="str">
        <f>+_xlfn.XLOOKUP(Table1[[#This Row],[L4 Code]],TAŞ!C:C,TAŞ!C:C,"")</f>
        <v/>
      </c>
      <c r="CB123" s="8" t="s">
        <v>5417</v>
      </c>
    </row>
    <row r="124" spans="1:80">
      <c r="A124" s="3" t="s">
        <v>5444</v>
      </c>
      <c r="B124" s="96"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 t="shared" si="41"/>
        <v>22249</v>
      </c>
      <c r="L124" s="5">
        <f t="shared" si="42"/>
        <v>0</v>
      </c>
      <c r="M124" s="78">
        <v>75000</v>
      </c>
      <c r="R124" s="8">
        <v>1182</v>
      </c>
      <c r="S124" s="8">
        <v>3500</v>
      </c>
      <c r="T124" s="8">
        <v>5703</v>
      </c>
      <c r="U124" s="8">
        <v>14781</v>
      </c>
      <c r="V124" s="8">
        <v>7458</v>
      </c>
      <c r="W124" s="8">
        <v>12675</v>
      </c>
      <c r="X124" s="10">
        <v>7452</v>
      </c>
      <c r="Y124" s="8">
        <f>((+$K124)*0.1841046277666)--461.6555583501</f>
        <v>4557.7994215291837</v>
      </c>
      <c r="Z124" s="8">
        <f>((+$K124)*0.116700201207243)--461.6555583501</f>
        <v>3058.1183350100496</v>
      </c>
      <c r="AA124" s="8">
        <f>((+$K124)*0.116700201207243)--461.6555583501</f>
        <v>3058.1183350100496</v>
      </c>
      <c r="AB124" s="8">
        <f>((+$K124)*0.127766599597586)--461.6555583501</f>
        <v>3304.3346327967906</v>
      </c>
      <c r="AC124" s="8">
        <f>((+$K124)*0.0985915492957746)--461.6555583501</f>
        <v>2655.2189386317891</v>
      </c>
      <c r="AD124" s="8">
        <f>((+$K124)*0.0814889336016097)--461.6555583501</f>
        <v>2274.7028420523143</v>
      </c>
      <c r="AE124" s="8">
        <f>((+$K124)*0.0814889336016097)--461.6555583501</f>
        <v>2274.7028420523143</v>
      </c>
      <c r="AF124" s="8">
        <f>((+$K124)*0.0271629778672032)--461.6555583501</f>
        <v>1066.004652917504</v>
      </c>
      <c r="BY124" s="8" t="str">
        <f>+_xlfn.XLOOKUP(Table1[[#This Row],[L4 Code]],KIRMATAŞ!B:B,KIRMATAŞ!B:B,"")</f>
        <v/>
      </c>
      <c r="BZ124" s="8" t="str">
        <f>+_xlfn.XLOOKUP(Table1[[#This Row],[L4 Code]],'SU TEMİNİ'!C:C,'SU TEMİNİ'!C:C,"")</f>
        <v/>
      </c>
      <c r="CA124" s="8" t="str">
        <f>+_xlfn.XLOOKUP(Table1[[#This Row],[L4 Code]],TAŞ!C:C,TAŞ!C:C,"")</f>
        <v/>
      </c>
      <c r="CB124" s="8" t="s">
        <v>5418</v>
      </c>
    </row>
    <row r="125" spans="1:80">
      <c r="A125" s="3" t="s">
        <v>5444</v>
      </c>
      <c r="B125" s="96"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 t="shared" si="41"/>
        <v>54699</v>
      </c>
      <c r="L125" s="5">
        <f t="shared" si="42"/>
        <v>0</v>
      </c>
      <c r="M125" s="78">
        <v>95472</v>
      </c>
      <c r="P125" s="8">
        <v>0</v>
      </c>
      <c r="Q125" s="8">
        <v>0</v>
      </c>
      <c r="R125" s="8">
        <v>0</v>
      </c>
      <c r="S125" s="8">
        <v>0</v>
      </c>
      <c r="T125" s="8">
        <v>3336</v>
      </c>
      <c r="U125" s="8">
        <v>2826</v>
      </c>
      <c r="V125" s="8">
        <v>3735</v>
      </c>
      <c r="W125" s="8">
        <v>10878</v>
      </c>
      <c r="X125" s="10">
        <v>19998</v>
      </c>
      <c r="Y125" s="8">
        <v>2496.8757961783444</v>
      </c>
      <c r="Z125" s="8">
        <v>2496.8757961783444</v>
      </c>
      <c r="AA125" s="8">
        <v>2496.8757961783444</v>
      </c>
      <c r="AB125" s="8">
        <v>2496.8757961783444</v>
      </c>
      <c r="AC125" s="8">
        <v>4761.4840764331211</v>
      </c>
      <c r="AD125" s="8">
        <v>4761.4840764331211</v>
      </c>
      <c r="AE125" s="8">
        <v>5922.8216560509518</v>
      </c>
      <c r="AF125" s="8">
        <v>5922.8216560509518</v>
      </c>
      <c r="AG125" s="8">
        <v>3135.6114649681522</v>
      </c>
      <c r="AH125" s="8">
        <v>4296.9490445859892</v>
      </c>
      <c r="AI125" s="8">
        <v>4296.9490445859892</v>
      </c>
      <c r="AJ125" s="8">
        <v>4180.8152866242053</v>
      </c>
      <c r="AK125" s="8">
        <v>6677.6910828025393</v>
      </c>
      <c r="AL125" s="8">
        <v>754.86942675159196</v>
      </c>
      <c r="BY125" s="8" t="str">
        <f>+_xlfn.XLOOKUP(Table1[[#This Row],[L4 Code]],KIRMATAŞ!B:B,KIRMATAŞ!B:B,"")</f>
        <v/>
      </c>
      <c r="BZ125" s="8" t="str">
        <f>+_xlfn.XLOOKUP(Table1[[#This Row],[L4 Code]],'SU TEMİNİ'!C:C,'SU TEMİNİ'!C:C,"")</f>
        <v/>
      </c>
      <c r="CA125" s="8" t="str">
        <f>+_xlfn.XLOOKUP(Table1[[#This Row],[L4 Code]],TAŞ!C:C,TAŞ!C:C,"")</f>
        <v/>
      </c>
      <c r="CB125" s="8" t="s">
        <v>5419</v>
      </c>
    </row>
    <row r="126" spans="1:80">
      <c r="A126" s="3" t="s">
        <v>5444</v>
      </c>
      <c r="B126" s="96"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 t="shared" si="41"/>
        <v>60260.07</v>
      </c>
      <c r="L126" s="5">
        <f t="shared" si="42"/>
        <v>0</v>
      </c>
      <c r="M126" s="78">
        <v>60260.07</v>
      </c>
      <c r="R126" s="8">
        <v>0</v>
      </c>
      <c r="S126" s="8">
        <v>0</v>
      </c>
      <c r="T126" s="8">
        <v>0</v>
      </c>
      <c r="U126" s="8">
        <v>0</v>
      </c>
      <c r="V126" s="8">
        <v>0</v>
      </c>
      <c r="W126" s="8">
        <v>0</v>
      </c>
      <c r="X126" s="10">
        <v>0</v>
      </c>
      <c r="Y126" s="8">
        <f>(+$K126)*0</f>
        <v>0</v>
      </c>
      <c r="Z126" s="8">
        <f>(+$K126)*0</f>
        <v>0</v>
      </c>
      <c r="AA126" s="8">
        <f>(+$K126)*0.0389105058365759</f>
        <v>2344.7498054474722</v>
      </c>
      <c r="AB126" s="8">
        <f>(+$K126)*0.0700389105058366</f>
        <v>4220.549649805449</v>
      </c>
      <c r="AC126" s="8">
        <f>(+$K126)*0.0194552529182879</f>
        <v>1172.3749027237332</v>
      </c>
      <c r="AD126" s="8">
        <f t="shared" ref="AD126:AR126" si="45">(+$K126)*0</f>
        <v>0</v>
      </c>
      <c r="AE126" s="8">
        <f t="shared" si="45"/>
        <v>0</v>
      </c>
      <c r="AF126" s="8">
        <f t="shared" si="45"/>
        <v>0</v>
      </c>
      <c r="AG126" s="8">
        <f t="shared" si="45"/>
        <v>0</v>
      </c>
      <c r="AH126" s="8">
        <f t="shared" si="45"/>
        <v>0</v>
      </c>
      <c r="AI126" s="8">
        <f t="shared" si="45"/>
        <v>0</v>
      </c>
      <c r="AJ126" s="8">
        <f t="shared" si="45"/>
        <v>0</v>
      </c>
      <c r="AK126" s="8">
        <f t="shared" si="45"/>
        <v>0</v>
      </c>
      <c r="AL126" s="8">
        <f t="shared" si="45"/>
        <v>0</v>
      </c>
      <c r="AM126" s="8">
        <f t="shared" si="45"/>
        <v>0</v>
      </c>
      <c r="AN126" s="8">
        <f t="shared" si="45"/>
        <v>0</v>
      </c>
      <c r="AO126" s="8">
        <f t="shared" si="45"/>
        <v>0</v>
      </c>
      <c r="AP126" s="8">
        <f t="shared" si="45"/>
        <v>0</v>
      </c>
      <c r="AQ126" s="8">
        <f t="shared" si="45"/>
        <v>0</v>
      </c>
      <c r="AR126" s="8">
        <f t="shared" si="45"/>
        <v>0</v>
      </c>
      <c r="AS126" s="8">
        <f>(+$K126)*0.0466926070038911</f>
        <v>2813.6997665369681</v>
      </c>
      <c r="AT126" s="8">
        <f>((+$K126)*0.0649805447470817)+-1.09139364212751E-10</f>
        <v>3915.7321750971664</v>
      </c>
      <c r="AU126" s="8">
        <f>(+$K126)*0.140856031128405</f>
        <v>8487.9942957198637</v>
      </c>
      <c r="AV126" s="8">
        <f>(+$K126)*0.140856031128405</f>
        <v>8487.9942957198637</v>
      </c>
      <c r="AW126" s="8">
        <f>(+$K126)*0.140856031128405</f>
        <v>8487.9942957198637</v>
      </c>
      <c r="AX126" s="8">
        <f>(+$K126)*0.140856031128405</f>
        <v>8487.9942957198637</v>
      </c>
      <c r="AY126" s="8">
        <f>(+$K126)*0.140856031128405</f>
        <v>8487.9942957198637</v>
      </c>
      <c r="AZ126" s="8">
        <f>(+$K126)*0.0556420233463035</f>
        <v>3352.9922217898829</v>
      </c>
      <c r="BY126" s="8" t="str">
        <f>+_xlfn.XLOOKUP(Table1[[#This Row],[L4 Code]],KIRMATAŞ!B:B,KIRMATAŞ!B:B,"")</f>
        <v/>
      </c>
      <c r="BZ126" s="8" t="str">
        <f>+_xlfn.XLOOKUP(Table1[[#This Row],[L4 Code]],'SU TEMİNİ'!C:C,'SU TEMİNİ'!C:C,"")</f>
        <v/>
      </c>
      <c r="CA126" s="8" t="str">
        <f>+_xlfn.XLOOKUP(Table1[[#This Row],[L4 Code]],TAŞ!C:C,TAŞ!C:C,"")</f>
        <v/>
      </c>
      <c r="CB126" s="8" t="s">
        <v>5420</v>
      </c>
    </row>
    <row r="127" spans="1:80">
      <c r="A127" s="3" t="s">
        <v>5444</v>
      </c>
      <c r="B127" s="96"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 t="shared" si="41"/>
        <v>38815.588000000003</v>
      </c>
      <c r="L127" s="5">
        <f t="shared" si="42"/>
        <v>0</v>
      </c>
      <c r="M127" s="78">
        <v>38815.588000000003</v>
      </c>
      <c r="T127" s="8">
        <v>0</v>
      </c>
      <c r="U127" s="8">
        <v>0</v>
      </c>
      <c r="V127" s="8">
        <v>0</v>
      </c>
      <c r="W127" s="8">
        <v>0</v>
      </c>
      <c r="X127" s="10">
        <v>0</v>
      </c>
      <c r="Y127" s="8">
        <f>(+$K127)*0</f>
        <v>0</v>
      </c>
      <c r="Z127" s="8">
        <f>(+$K127)*0</f>
        <v>0</v>
      </c>
      <c r="AA127" s="8">
        <f>(+$K127)*0</f>
        <v>0</v>
      </c>
      <c r="AB127" s="8">
        <f>(+$K127)*0</f>
        <v>0</v>
      </c>
      <c r="AC127" s="8">
        <f>(+$K127)*0.146</f>
        <v>5667.0758480000004</v>
      </c>
      <c r="AD127" s="8">
        <f>(+$K127)*0.140666666666667</f>
        <v>5460.0593786666795</v>
      </c>
      <c r="AE127" s="8">
        <f>(+$K127)*0.14</f>
        <v>5434.1823200000008</v>
      </c>
      <c r="AF127" s="8">
        <f>(+$K127)*0.170666666666667</f>
        <v>6624.5270186666803</v>
      </c>
      <c r="AG127" s="8">
        <f>(+$K127)*0.200666666666667</f>
        <v>7788.9946586666802</v>
      </c>
      <c r="AH127" s="8">
        <f>(+$K127)*0.172</f>
        <v>6676.2811359999996</v>
      </c>
      <c r="AI127" s="8">
        <f>(+$K127)*0.03</f>
        <v>1164.4676400000001</v>
      </c>
      <c r="BY127" s="8" t="str">
        <f>+_xlfn.XLOOKUP(Table1[[#This Row],[L4 Code]],KIRMATAŞ!B:B,KIRMATAŞ!B:B,"")</f>
        <v/>
      </c>
      <c r="BZ127" s="8" t="str">
        <f>+_xlfn.XLOOKUP(Table1[[#This Row],[L4 Code]],'SU TEMİNİ'!C:C,'SU TEMİNİ'!C:C,"")</f>
        <v/>
      </c>
      <c r="CA127" s="8" t="str">
        <f>+_xlfn.XLOOKUP(Table1[[#This Row],[L4 Code]],TAŞ!C:C,TAŞ!C:C,"")</f>
        <v/>
      </c>
      <c r="CB127" s="8" t="s">
        <v>5421</v>
      </c>
    </row>
    <row r="128" spans="1:80">
      <c r="A128" s="3" t="s">
        <v>5444</v>
      </c>
      <c r="B128" s="96"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 t="shared" si="41"/>
        <v>29299.342000000001</v>
      </c>
      <c r="L128" s="5">
        <f t="shared" si="42"/>
        <v>0</v>
      </c>
      <c r="M128" s="78">
        <v>29299.342000000001</v>
      </c>
      <c r="P128" s="8">
        <v>0</v>
      </c>
      <c r="Q128" s="8">
        <v>0</v>
      </c>
      <c r="R128" s="8">
        <v>0</v>
      </c>
      <c r="S128" s="8">
        <v>0</v>
      </c>
      <c r="T128" s="8">
        <v>0</v>
      </c>
      <c r="U128" s="8">
        <v>0</v>
      </c>
      <c r="V128" s="8">
        <v>0</v>
      </c>
      <c r="W128" s="8">
        <v>0</v>
      </c>
      <c r="X128" s="10">
        <v>0</v>
      </c>
      <c r="Y128" s="8">
        <v>0</v>
      </c>
      <c r="Z128" s="8">
        <v>0</v>
      </c>
      <c r="AA128" s="8">
        <v>0</v>
      </c>
      <c r="AB128" s="8">
        <v>0</v>
      </c>
      <c r="AC128" s="8">
        <v>0</v>
      </c>
      <c r="AD128" s="8">
        <v>0</v>
      </c>
      <c r="AE128" s="8">
        <v>0</v>
      </c>
      <c r="AF128" s="8">
        <v>0</v>
      </c>
      <c r="AG128" s="8">
        <v>0</v>
      </c>
      <c r="AH128" s="8">
        <v>0</v>
      </c>
      <c r="AI128" s="8">
        <v>0</v>
      </c>
      <c r="AJ128" s="8">
        <v>0</v>
      </c>
      <c r="AK128" s="8">
        <v>0</v>
      </c>
      <c r="AL128" s="8">
        <v>10340.94423529411</v>
      </c>
      <c r="AM128" s="8">
        <v>10340.94423529411</v>
      </c>
      <c r="AN128" s="8">
        <v>8617.4535294117777</v>
      </c>
      <c r="BY128" s="8" t="str">
        <f>+_xlfn.XLOOKUP(Table1[[#This Row],[L4 Code]],KIRMATAŞ!B:B,KIRMATAŞ!B:B,"")</f>
        <v/>
      </c>
      <c r="BZ128" s="8" t="str">
        <f>+_xlfn.XLOOKUP(Table1[[#This Row],[L4 Code]],'SU TEMİNİ'!C:C,'SU TEMİNİ'!C:C,"")</f>
        <v/>
      </c>
      <c r="CA128" s="8" t="str">
        <f>+_xlfn.XLOOKUP(Table1[[#This Row],[L4 Code]],TAŞ!C:C,TAŞ!C:C,"")</f>
        <v/>
      </c>
      <c r="CB128" s="8" t="s">
        <v>5422</v>
      </c>
    </row>
    <row r="129" spans="1:80">
      <c r="A129" s="3" t="s">
        <v>5444</v>
      </c>
      <c r="B129" s="96"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 t="shared" si="41"/>
        <v>9840.9239999999991</v>
      </c>
      <c r="L129" s="5">
        <f t="shared" si="42"/>
        <v>0</v>
      </c>
      <c r="M129" s="78">
        <f>+J129</f>
        <v>16356.44</v>
      </c>
      <c r="R129" s="8">
        <v>102.85</v>
      </c>
      <c r="S129" s="8">
        <v>746.83</v>
      </c>
      <c r="T129" s="8">
        <v>640.82600000000002</v>
      </c>
      <c r="U129" s="8">
        <v>1400.69</v>
      </c>
      <c r="V129" s="8">
        <v>839.01</v>
      </c>
      <c r="W129" s="8">
        <v>2143.7600000000002</v>
      </c>
      <c r="X129" s="10">
        <v>641.54999999999995</v>
      </c>
      <c r="Y129" s="8">
        <f>((+$K129)*0.1841046277666)--204.194222837022</f>
        <v>2015.953872736422</v>
      </c>
      <c r="Z129" s="8">
        <f>((+$K129)*0.116700201207243)--204.194222837022</f>
        <v>1352.6320337022084</v>
      </c>
      <c r="AA129" s="8">
        <f>((+$K129)*0.116700201207243)--204.194222837022</f>
        <v>1352.6320337022084</v>
      </c>
      <c r="AB129" s="8">
        <f>((+$K129)*0.127766599597586)--204.194222837022</f>
        <v>1461.535619215296</v>
      </c>
      <c r="AC129" s="8">
        <f>((+$K129)*0.0985915492957746)--204.194222837022</f>
        <v>1174.4261664989933</v>
      </c>
      <c r="AD129" s="8">
        <f>((+$K129)*0.0814889336016097)--204.194222837022</f>
        <v>1006.1206252515094</v>
      </c>
      <c r="AE129" s="8">
        <f>((+$K129)*0.0814889336016097)--204.194222837022</f>
        <v>1006.1206252515094</v>
      </c>
      <c r="AF129" s="8">
        <f>((+$K129)*0.0271629778672032)--204.194222837022</f>
        <v>471.50302364185075</v>
      </c>
      <c r="BY129" s="8" t="str">
        <f>+_xlfn.XLOOKUP(Table1[[#This Row],[L4 Code]],KIRMATAŞ!B:B,KIRMATAŞ!B:B,"")</f>
        <v>D-01.ALT-04.TNL-006</v>
      </c>
      <c r="BZ129" s="8" t="str">
        <f>+_xlfn.XLOOKUP(Table1[[#This Row],[L4 Code]],'SU TEMİNİ'!C:C,'SU TEMİNİ'!C:C,"")</f>
        <v/>
      </c>
      <c r="CA129" s="8" t="str">
        <f>+_xlfn.XLOOKUP(Table1[[#This Row],[L4 Code]],TAŞ!C:C,TAŞ!C:C,"")</f>
        <v/>
      </c>
      <c r="CB129" s="8" t="s">
        <v>5423</v>
      </c>
    </row>
    <row r="130" spans="1:80">
      <c r="A130" s="3" t="s">
        <v>5444</v>
      </c>
      <c r="B130" s="96"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 t="shared" si="41"/>
        <v>8461.2710000000006</v>
      </c>
      <c r="L130" s="5">
        <f t="shared" si="42"/>
        <v>0</v>
      </c>
      <c r="M130" s="78">
        <v>10359.347</v>
      </c>
      <c r="P130" s="8">
        <v>0</v>
      </c>
      <c r="Q130" s="8">
        <v>0</v>
      </c>
      <c r="R130" s="8">
        <v>0</v>
      </c>
      <c r="S130" s="8">
        <v>0</v>
      </c>
      <c r="T130" s="8">
        <v>0</v>
      </c>
      <c r="U130" s="8">
        <v>131.13061500000006</v>
      </c>
      <c r="V130" s="8">
        <v>312.64838499999985</v>
      </c>
      <c r="W130" s="8">
        <v>540.61000000000013</v>
      </c>
      <c r="X130" s="10">
        <v>913.68700000000001</v>
      </c>
      <c r="Y130" s="8">
        <v>386.23636199575384</v>
      </c>
      <c r="Z130" s="8">
        <v>386.23636199575384</v>
      </c>
      <c r="AA130" s="8">
        <v>386.23636199575384</v>
      </c>
      <c r="AB130" s="8">
        <v>386.23636199575384</v>
      </c>
      <c r="AC130" s="8">
        <v>736.54376008492568</v>
      </c>
      <c r="AD130" s="8">
        <v>736.54376008492568</v>
      </c>
      <c r="AE130" s="8">
        <v>916.18857961783385</v>
      </c>
      <c r="AF130" s="8">
        <v>916.18857961783385</v>
      </c>
      <c r="AG130" s="8">
        <v>485.04101273885345</v>
      </c>
      <c r="AH130" s="8">
        <v>664.68583227176259</v>
      </c>
      <c r="AI130" s="8">
        <v>664.68583227176259</v>
      </c>
      <c r="AJ130" s="8">
        <v>646.72135031847165</v>
      </c>
      <c r="AK130" s="8">
        <v>1032.9577123142258</v>
      </c>
      <c r="AL130" s="8">
        <v>116.76913269639061</v>
      </c>
      <c r="BY130" s="8" t="str">
        <f>+_xlfn.XLOOKUP(Table1[[#This Row],[L4 Code]],KIRMATAŞ!B:B,KIRMATAŞ!B:B,"")</f>
        <v>D-01.ALT-04.TNL-006</v>
      </c>
      <c r="BZ130" s="8" t="str">
        <f>+_xlfn.XLOOKUP(Table1[[#This Row],[L4 Code]],'SU TEMİNİ'!C:C,'SU TEMİNİ'!C:C,"")</f>
        <v/>
      </c>
      <c r="CA130" s="8" t="str">
        <f>+_xlfn.XLOOKUP(Table1[[#This Row],[L4 Code]],TAŞ!C:C,TAŞ!C:C,"")</f>
        <v/>
      </c>
      <c r="CB130" s="8" t="s">
        <v>5424</v>
      </c>
    </row>
    <row r="131" spans="1:80">
      <c r="A131" s="3" t="s">
        <v>5444</v>
      </c>
      <c r="B131" s="96" t="s">
        <v>25</v>
      </c>
      <c r="C131" t="str">
        <f>+_xlfn.XLOOKUP(B131,'L4'!B:B,'L4'!C:C)</f>
        <v>TÜNELLERDE NIHAI BETON KAPLAMASI - C25/30</v>
      </c>
      <c r="D131" t="s">
        <v>4967</v>
      </c>
      <c r="E131" t="str">
        <f>+_xlfn.XLOOKUP(D131,'M2'!H:H,'M2'!I:I)</f>
        <v>PROJE GENELİ</v>
      </c>
      <c r="F131" s="77" t="s">
        <v>4973</v>
      </c>
      <c r="G131" t="s">
        <v>4983</v>
      </c>
      <c r="H131" s="3" t="s">
        <v>4984</v>
      </c>
      <c r="I131" s="3" t="s">
        <v>343</v>
      </c>
      <c r="J131" s="78">
        <v>357253.00199999998</v>
      </c>
      <c r="K131" s="78">
        <f>+M131-SUM(N131:W131)</f>
        <v>364660.83209999988</v>
      </c>
      <c r="L131" s="5">
        <f>+SUM(X131:BT131)-K131</f>
        <v>0</v>
      </c>
      <c r="M131" s="78">
        <f>+SUM(N131:BX131)</f>
        <v>364660.83209999988</v>
      </c>
      <c r="N131" s="8">
        <v>0</v>
      </c>
      <c r="O131" s="8">
        <v>0</v>
      </c>
      <c r="P131" s="8">
        <v>0</v>
      </c>
      <c r="Q131" s="8">
        <v>0</v>
      </c>
      <c r="R131" s="8">
        <v>0</v>
      </c>
      <c r="S131" s="8">
        <v>0</v>
      </c>
      <c r="T131" s="8">
        <v>0</v>
      </c>
      <c r="U131" s="8">
        <v>0</v>
      </c>
      <c r="V131" s="8">
        <v>0</v>
      </c>
      <c r="W131" s="8">
        <v>0</v>
      </c>
      <c r="X131" s="10">
        <v>0</v>
      </c>
      <c r="Y131" s="8">
        <v>0</v>
      </c>
      <c r="Z131" s="8">
        <v>3724.0522885714258</v>
      </c>
      <c r="AA131" s="8">
        <v>3128.6104986881564</v>
      </c>
      <c r="AB131" s="8">
        <v>7247.8852132577167</v>
      </c>
      <c r="AC131" s="8">
        <v>6096.5768955345429</v>
      </c>
      <c r="AE131" s="8">
        <v>891.70150857142607</v>
      </c>
      <c r="AF131" s="8">
        <v>1361.3942859047511</v>
      </c>
      <c r="AJ131" s="8">
        <v>0</v>
      </c>
      <c r="AK131" s="8">
        <v>12226.712288571427</v>
      </c>
      <c r="AL131" s="8">
        <v>2799.4788179831976</v>
      </c>
      <c r="AO131" s="8">
        <v>5612.4081065546225</v>
      </c>
      <c r="AP131" s="8">
        <v>1773.4752297478854</v>
      </c>
      <c r="AQ131" s="8">
        <v>8641.412288571426</v>
      </c>
      <c r="AR131" s="8">
        <v>12498.211288571427</v>
      </c>
      <c r="AS131" s="8">
        <v>1822.4371407115013</v>
      </c>
      <c r="AT131" s="8">
        <v>3754.7998994664404</v>
      </c>
      <c r="AU131" s="8">
        <v>849.22940919398116</v>
      </c>
      <c r="AV131" s="8">
        <v>1083.4034091939802</v>
      </c>
      <c r="AW131" s="8">
        <v>1176.6434091939809</v>
      </c>
      <c r="AX131" s="8">
        <v>13035.19140919398</v>
      </c>
      <c r="AY131" s="8">
        <v>11710.000409193981</v>
      </c>
      <c r="AZ131" s="8">
        <v>12130.163129038352</v>
      </c>
      <c r="BA131" s="8">
        <v>15392.972288571429</v>
      </c>
      <c r="BB131" s="8">
        <v>25083.427288571427</v>
      </c>
      <c r="BC131" s="8">
        <v>27781.000288571428</v>
      </c>
      <c r="BD131" s="8">
        <v>27592.470288571425</v>
      </c>
      <c r="BE131" s="8">
        <v>27875.49228857143</v>
      </c>
      <c r="BF131" s="8">
        <v>27937.652288571429</v>
      </c>
      <c r="BG131" s="8">
        <v>27470.614288571429</v>
      </c>
      <c r="BH131" s="8">
        <v>27141.99228857143</v>
      </c>
      <c r="BI131" s="8">
        <v>22350.164288571428</v>
      </c>
      <c r="BJ131" s="8">
        <v>17937.287288571428</v>
      </c>
      <c r="BK131" s="8">
        <v>6533.9722885714264</v>
      </c>
      <c r="BL131" s="8">
        <v>0</v>
      </c>
      <c r="BM131" s="8">
        <v>0</v>
      </c>
      <c r="BN131" s="8">
        <v>0</v>
      </c>
      <c r="BO131" s="8">
        <v>0</v>
      </c>
      <c r="BP131" s="8">
        <v>0</v>
      </c>
      <c r="BQ131" s="8">
        <v>0</v>
      </c>
      <c r="BR131" s="8">
        <v>0</v>
      </c>
      <c r="BS131" s="8">
        <v>0</v>
      </c>
      <c r="BT131" s="8">
        <v>0</v>
      </c>
      <c r="BU131" s="8">
        <v>0</v>
      </c>
      <c r="BV131" s="8">
        <v>0</v>
      </c>
      <c r="BW131" s="8">
        <v>0</v>
      </c>
      <c r="BX131" s="8">
        <v>0</v>
      </c>
      <c r="BY131" s="8" t="str">
        <f>+_xlfn.XLOOKUP(Table1[[#This Row],[L4 Code]],KIRMATAŞ!B:B,KIRMATAŞ!B:B,"")</f>
        <v>D-01.ALT-04.TNL-011</v>
      </c>
      <c r="BZ131" s="8" t="str">
        <f>+_xlfn.XLOOKUP(Table1[[#This Row],[L4 Code]],'SU TEMİNİ'!C:C,'SU TEMİNİ'!C:C,"")</f>
        <v/>
      </c>
      <c r="CA131" s="8" t="str">
        <f>+_xlfn.XLOOKUP(Table1[[#This Row],[L4 Code]],TAŞ!C:C,TAŞ!C:C,"")</f>
        <v/>
      </c>
      <c r="CB131" s="8" t="s">
        <v>5425</v>
      </c>
    </row>
    <row r="132" spans="1:80">
      <c r="A132" s="3" t="s">
        <v>5444</v>
      </c>
      <c r="B132" s="96"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 t="shared" ref="K132:K140" si="46">+M132-SUM(N132:X132)</f>
        <v>38977.18</v>
      </c>
      <c r="L132" s="5">
        <f t="shared" ref="L132:L140" si="47">-SUM(Y132:BT132)+K132</f>
        <v>0</v>
      </c>
      <c r="M132" s="78">
        <v>38977.18</v>
      </c>
      <c r="R132" s="8">
        <v>0</v>
      </c>
      <c r="S132" s="8">
        <v>0</v>
      </c>
      <c r="T132" s="8">
        <v>0</v>
      </c>
      <c r="U132" s="8">
        <v>0</v>
      </c>
      <c r="V132" s="8">
        <v>0</v>
      </c>
      <c r="W132" s="8">
        <v>0</v>
      </c>
      <c r="X132" s="10">
        <v>0</v>
      </c>
      <c r="Y132" s="8">
        <f>(+$K132)*0</f>
        <v>0</v>
      </c>
      <c r="Z132" s="8">
        <f>(+$K132)*0</f>
        <v>0</v>
      </c>
      <c r="AA132" s="8">
        <f>(+$K132)*0.0389105058365759</f>
        <v>1516.6217898832692</v>
      </c>
      <c r="AB132" s="8">
        <f>(+$K132)*0.0700389105058366</f>
        <v>2729.9192217898844</v>
      </c>
      <c r="AC132" s="8">
        <f>(+$K132)*0.0194552529182879</f>
        <v>758.3108949416328</v>
      </c>
      <c r="AD132" s="8">
        <f t="shared" ref="AD132:AR132" si="48">(+$K132)*0</f>
        <v>0</v>
      </c>
      <c r="AE132" s="8">
        <f t="shared" si="48"/>
        <v>0</v>
      </c>
      <c r="AF132" s="8">
        <f t="shared" si="48"/>
        <v>0</v>
      </c>
      <c r="AG132" s="8">
        <f t="shared" si="48"/>
        <v>0</v>
      </c>
      <c r="AH132" s="8">
        <f t="shared" si="48"/>
        <v>0</v>
      </c>
      <c r="AI132" s="8">
        <f t="shared" si="48"/>
        <v>0</v>
      </c>
      <c r="AJ132" s="8">
        <f t="shared" si="48"/>
        <v>0</v>
      </c>
      <c r="AK132" s="8">
        <f t="shared" si="48"/>
        <v>0</v>
      </c>
      <c r="AL132" s="8">
        <f t="shared" si="48"/>
        <v>0</v>
      </c>
      <c r="AM132" s="8">
        <f t="shared" si="48"/>
        <v>0</v>
      </c>
      <c r="AN132" s="8">
        <f t="shared" si="48"/>
        <v>0</v>
      </c>
      <c r="AO132" s="8">
        <f t="shared" si="48"/>
        <v>0</v>
      </c>
      <c r="AP132" s="8">
        <f t="shared" si="48"/>
        <v>0</v>
      </c>
      <c r="AQ132" s="8">
        <f t="shared" si="48"/>
        <v>0</v>
      </c>
      <c r="AR132" s="8">
        <f t="shared" si="48"/>
        <v>0</v>
      </c>
      <c r="AS132" s="8">
        <f>(+$K132)*0.0466926070038911</f>
        <v>1819.9461478599242</v>
      </c>
      <c r="AT132" s="8">
        <f>((+$K132)*0.0649805447470817)+-7.27595761418343E-11</f>
        <v>2532.7583891049853</v>
      </c>
      <c r="AU132" s="8">
        <f>(+$K132)*0.140856031128405</f>
        <v>5490.1708793774451</v>
      </c>
      <c r="AV132" s="8">
        <f>(+$K132)*0.140856031128405</f>
        <v>5490.1708793774451</v>
      </c>
      <c r="AW132" s="8">
        <f>(+$K132)*0.140856031128405</f>
        <v>5490.1708793774451</v>
      </c>
      <c r="AX132" s="8">
        <f>(+$K132)*0.140856031128405</f>
        <v>5490.1708793774451</v>
      </c>
      <c r="AY132" s="8">
        <f>(+$K132)*0.140856031128405</f>
        <v>5490.1708793774451</v>
      </c>
      <c r="AZ132" s="8">
        <f>(+$K132)*0.0556420233463035</f>
        <v>2168.7691595330739</v>
      </c>
      <c r="BY132" s="8" t="str">
        <f>+_xlfn.XLOOKUP(Table1[[#This Row],[L4 Code]],KIRMATAŞ!B:B,KIRMATAŞ!B:B,"")</f>
        <v>D-01.ALT-04.TNL-011</v>
      </c>
      <c r="BZ132" s="8" t="str">
        <f>+_xlfn.XLOOKUP(Table1[[#This Row],[L4 Code]],'SU TEMİNİ'!C:C,'SU TEMİNİ'!C:C,"")</f>
        <v/>
      </c>
      <c r="CA132" s="8" t="str">
        <f>+_xlfn.XLOOKUP(Table1[[#This Row],[L4 Code]],TAŞ!C:C,TAŞ!C:C,"")</f>
        <v/>
      </c>
      <c r="CB132" s="8" t="s">
        <v>5426</v>
      </c>
    </row>
    <row r="133" spans="1:80">
      <c r="A133" s="3" t="s">
        <v>5444</v>
      </c>
      <c r="B133" s="96"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 t="shared" si="46"/>
        <v>26920.833999999999</v>
      </c>
      <c r="L133" s="5">
        <f t="shared" si="47"/>
        <v>-2.9103830456733704E-11</v>
      </c>
      <c r="M133" s="78">
        <v>26920.833999999999</v>
      </c>
      <c r="T133" s="8">
        <v>0</v>
      </c>
      <c r="U133" s="8">
        <v>0</v>
      </c>
      <c r="V133" s="8">
        <v>0</v>
      </c>
      <c r="W133" s="8">
        <v>0</v>
      </c>
      <c r="X133" s="10">
        <v>0</v>
      </c>
      <c r="Y133" s="8">
        <f>(+$K133)*0</f>
        <v>0</v>
      </c>
      <c r="Z133" s="8">
        <f>(+$K133)*0</f>
        <v>0</v>
      </c>
      <c r="AA133" s="8">
        <f>(+$K133)*0</f>
        <v>0</v>
      </c>
      <c r="AB133" s="8">
        <f>(+$K133)*0</f>
        <v>0</v>
      </c>
      <c r="AC133" s="8">
        <f>(+$K133)*0.146</f>
        <v>3930.4417639999997</v>
      </c>
      <c r="AD133" s="8">
        <f>(+$K133)*0.140666666666667</f>
        <v>3786.8639826666754</v>
      </c>
      <c r="AE133" s="8">
        <f>(+$K133)*0.14</f>
        <v>3768.9167600000001</v>
      </c>
      <c r="AF133" s="8">
        <f>(+$K133)*0.170666666666667</f>
        <v>4594.4890026666753</v>
      </c>
      <c r="AG133" s="8">
        <f>(+$K133)*0.200666666666667</f>
        <v>5402.1140226666748</v>
      </c>
      <c r="AH133" s="8">
        <f>(+$K133)*0.172</f>
        <v>4630.3834479999996</v>
      </c>
      <c r="AI133" s="8">
        <f>(+$K133)*0.03</f>
        <v>807.62501999999995</v>
      </c>
      <c r="BY133" s="8" t="str">
        <f>+_xlfn.XLOOKUP(Table1[[#This Row],[L4 Code]],KIRMATAŞ!B:B,KIRMATAŞ!B:B,"")</f>
        <v>D-01.ALT-04.TNL-011</v>
      </c>
      <c r="BZ133" s="8" t="str">
        <f>+_xlfn.XLOOKUP(Table1[[#This Row],[L4 Code]],'SU TEMİNİ'!C:C,'SU TEMİNİ'!C:C,"")</f>
        <v/>
      </c>
      <c r="CA133" s="8" t="str">
        <f>+_xlfn.XLOOKUP(Table1[[#This Row],[L4 Code]],TAŞ!C:C,TAŞ!C:C,"")</f>
        <v/>
      </c>
      <c r="CB133" s="8" t="s">
        <v>5427</v>
      </c>
    </row>
    <row r="134" spans="1:80">
      <c r="A134" s="3" t="s">
        <v>5444</v>
      </c>
      <c r="B134" s="96"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 t="shared" si="46"/>
        <v>23350.986000000001</v>
      </c>
      <c r="L134" s="5">
        <f t="shared" si="47"/>
        <v>0</v>
      </c>
      <c r="M134" s="78">
        <v>23350.986000000001</v>
      </c>
      <c r="P134" s="8">
        <v>0</v>
      </c>
      <c r="Q134" s="8">
        <v>0</v>
      </c>
      <c r="R134" s="8">
        <v>0</v>
      </c>
      <c r="S134" s="8">
        <v>0</v>
      </c>
      <c r="T134" s="8">
        <v>0</v>
      </c>
      <c r="U134" s="8">
        <v>0</v>
      </c>
      <c r="V134" s="8">
        <v>0</v>
      </c>
      <c r="W134" s="8">
        <v>0</v>
      </c>
      <c r="X134" s="10">
        <v>0</v>
      </c>
      <c r="Y134" s="8">
        <v>0</v>
      </c>
      <c r="Z134" s="8">
        <v>0</v>
      </c>
      <c r="AA134" s="8">
        <v>0</v>
      </c>
      <c r="AB134" s="8">
        <v>0</v>
      </c>
      <c r="AC134" s="8">
        <v>0</v>
      </c>
      <c r="AD134" s="8">
        <v>0</v>
      </c>
      <c r="AE134" s="8">
        <v>0</v>
      </c>
      <c r="AF134" s="8">
        <v>0</v>
      </c>
      <c r="AG134" s="8">
        <v>0</v>
      </c>
      <c r="AH134" s="8">
        <v>0</v>
      </c>
      <c r="AI134" s="8">
        <v>0</v>
      </c>
      <c r="AJ134" s="8">
        <v>0</v>
      </c>
      <c r="AK134" s="8">
        <v>0</v>
      </c>
      <c r="AL134" s="8">
        <v>8241.5244705882287</v>
      </c>
      <c r="AM134" s="8">
        <v>8241.5244705882287</v>
      </c>
      <c r="AN134" s="8">
        <v>6867.9370588235406</v>
      </c>
      <c r="BY134" s="8" t="str">
        <f>+_xlfn.XLOOKUP(Table1[[#This Row],[L4 Code]],KIRMATAŞ!B:B,KIRMATAŞ!B:B,"")</f>
        <v>D-01.ALT-04.TNL-011</v>
      </c>
      <c r="BZ134" s="8" t="str">
        <f>+_xlfn.XLOOKUP(Table1[[#This Row],[L4 Code]],'SU TEMİNİ'!C:C,'SU TEMİNİ'!C:C,"")</f>
        <v/>
      </c>
      <c r="CA134" s="8" t="str">
        <f>+_xlfn.XLOOKUP(Table1[[#This Row],[L4 Code]],TAŞ!C:C,TAŞ!C:C,"")</f>
        <v/>
      </c>
      <c r="CB134" s="8" t="s">
        <v>5428</v>
      </c>
    </row>
    <row r="135" spans="1:80">
      <c r="A135" s="3" t="s">
        <v>5444</v>
      </c>
      <c r="B135" s="96"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 t="shared" si="46"/>
        <v>90</v>
      </c>
      <c r="L135" s="5">
        <f t="shared" si="47"/>
        <v>0</v>
      </c>
      <c r="M135" s="78">
        <v>90</v>
      </c>
      <c r="R135" s="8">
        <v>0</v>
      </c>
      <c r="S135" s="8">
        <v>0</v>
      </c>
      <c r="T135" s="8">
        <v>0</v>
      </c>
      <c r="U135" s="8">
        <v>0</v>
      </c>
      <c r="V135" s="8">
        <v>0</v>
      </c>
      <c r="W135" s="8">
        <v>0</v>
      </c>
      <c r="X135" s="10">
        <v>0</v>
      </c>
      <c r="AK135" s="8">
        <v>90</v>
      </c>
      <c r="BY135" s="8" t="str">
        <f>+_xlfn.XLOOKUP(Table1[[#This Row],[L4 Code]],KIRMATAŞ!B:B,KIRMATAŞ!B:B,"")</f>
        <v/>
      </c>
      <c r="BZ135" s="8" t="str">
        <f>+_xlfn.XLOOKUP(Table1[[#This Row],[L4 Code]],'SU TEMİNİ'!C:C,'SU TEMİNİ'!C:C,"")</f>
        <v/>
      </c>
      <c r="CA135" s="8" t="str">
        <f>+_xlfn.XLOOKUP(Table1[[#This Row],[L4 Code]],TAŞ!C:C,TAŞ!C:C,"")</f>
        <v/>
      </c>
      <c r="CB135" s="8" t="s">
        <v>5429</v>
      </c>
    </row>
    <row r="136" spans="1:80">
      <c r="A136" s="3" t="s">
        <v>5444</v>
      </c>
      <c r="B136" s="96"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 t="shared" si="46"/>
        <v>90</v>
      </c>
      <c r="L136" s="5">
        <f t="shared" si="47"/>
        <v>0</v>
      </c>
      <c r="M136" s="78">
        <v>90</v>
      </c>
      <c r="T136" s="8">
        <v>0</v>
      </c>
      <c r="U136" s="8">
        <v>0</v>
      </c>
      <c r="V136" s="8">
        <v>0</v>
      </c>
      <c r="W136" s="8">
        <v>0</v>
      </c>
      <c r="X136" s="10">
        <v>0</v>
      </c>
      <c r="AJ136" s="8">
        <v>90</v>
      </c>
      <c r="BY136" s="8" t="str">
        <f>+_xlfn.XLOOKUP(Table1[[#This Row],[L4 Code]],KIRMATAŞ!B:B,KIRMATAŞ!B:B,"")</f>
        <v/>
      </c>
      <c r="BZ136" s="8" t="str">
        <f>+_xlfn.XLOOKUP(Table1[[#This Row],[L4 Code]],'SU TEMİNİ'!C:C,'SU TEMİNİ'!C:C,"")</f>
        <v/>
      </c>
      <c r="CA136" s="8" t="str">
        <f>+_xlfn.XLOOKUP(Table1[[#This Row],[L4 Code]],TAŞ!C:C,TAŞ!C:C,"")</f>
        <v/>
      </c>
      <c r="CB136" s="8" t="s">
        <v>5430</v>
      </c>
    </row>
    <row r="137" spans="1:80">
      <c r="A137" s="3" t="s">
        <v>5444</v>
      </c>
      <c r="B137" s="96"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 t="shared" si="46"/>
        <v>0</v>
      </c>
      <c r="L137" s="5">
        <f t="shared" si="47"/>
        <v>0</v>
      </c>
      <c r="M137" s="78">
        <v>0</v>
      </c>
      <c r="P137" s="8">
        <v>0</v>
      </c>
      <c r="Q137" s="8">
        <v>0</v>
      </c>
      <c r="R137" s="8">
        <v>0</v>
      </c>
      <c r="S137" s="8">
        <v>0</v>
      </c>
      <c r="T137" s="8">
        <v>0</v>
      </c>
      <c r="U137" s="8">
        <v>0</v>
      </c>
      <c r="V137" s="8">
        <v>0</v>
      </c>
      <c r="W137" s="8">
        <v>0</v>
      </c>
      <c r="X137" s="10">
        <v>0</v>
      </c>
      <c r="Y137" s="8">
        <v>0</v>
      </c>
      <c r="Z137" s="8">
        <v>0</v>
      </c>
      <c r="AA137" s="8">
        <v>0</v>
      </c>
      <c r="AB137" s="8">
        <v>0</v>
      </c>
      <c r="AC137" s="8">
        <v>0</v>
      </c>
      <c r="AD137" s="8">
        <v>0</v>
      </c>
      <c r="AE137" s="8">
        <v>0</v>
      </c>
      <c r="AF137" s="8">
        <v>0</v>
      </c>
      <c r="AG137" s="8">
        <v>0</v>
      </c>
      <c r="AH137" s="8">
        <v>0</v>
      </c>
      <c r="AI137" s="8">
        <v>0</v>
      </c>
      <c r="AJ137" s="8">
        <v>0</v>
      </c>
      <c r="AK137" s="8">
        <v>0</v>
      </c>
      <c r="AL137" s="8">
        <v>0</v>
      </c>
      <c r="BY137" s="8" t="str">
        <f>+_xlfn.XLOOKUP(Table1[[#This Row],[L4 Code]],KIRMATAŞ!B:B,KIRMATAŞ!B:B,"")</f>
        <v/>
      </c>
      <c r="BZ137" s="8" t="str">
        <f>+_xlfn.XLOOKUP(Table1[[#This Row],[L4 Code]],'SU TEMİNİ'!C:C,'SU TEMİNİ'!C:C,"")</f>
        <v/>
      </c>
      <c r="CA137" s="8" t="str">
        <f>+_xlfn.XLOOKUP(Table1[[#This Row],[L4 Code]],TAŞ!C:C,TAŞ!C:C,"")</f>
        <v/>
      </c>
      <c r="CB137" s="8" t="s">
        <v>5431</v>
      </c>
    </row>
    <row r="138" spans="1:80">
      <c r="A138" s="3" t="s">
        <v>5444</v>
      </c>
      <c r="B138" s="96"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 t="shared" si="46"/>
        <v>450</v>
      </c>
      <c r="L138" s="5">
        <f t="shared" si="47"/>
        <v>0</v>
      </c>
      <c r="M138" s="78">
        <v>450</v>
      </c>
      <c r="R138" s="8">
        <v>0</v>
      </c>
      <c r="S138" s="8">
        <v>0</v>
      </c>
      <c r="T138" s="8">
        <v>0</v>
      </c>
      <c r="U138" s="8">
        <v>0</v>
      </c>
      <c r="V138" s="8">
        <v>0</v>
      </c>
      <c r="W138" s="8">
        <v>0</v>
      </c>
      <c r="X138" s="10">
        <v>0</v>
      </c>
      <c r="AJ138" s="8">
        <v>450</v>
      </c>
      <c r="BY138" s="8" t="str">
        <f>+_xlfn.XLOOKUP(Table1[[#This Row],[L4 Code]],KIRMATAŞ!B:B,KIRMATAŞ!B:B,"")</f>
        <v/>
      </c>
      <c r="BZ138" s="8" t="str">
        <f>+_xlfn.XLOOKUP(Table1[[#This Row],[L4 Code]],'SU TEMİNİ'!C:C,'SU TEMİNİ'!C:C,"")</f>
        <v/>
      </c>
      <c r="CA138" s="8" t="str">
        <f>+_xlfn.XLOOKUP(Table1[[#This Row],[L4 Code]],TAŞ!C:C,TAŞ!C:C,"")</f>
        <v/>
      </c>
      <c r="CB138" s="8" t="s">
        <v>5432</v>
      </c>
    </row>
    <row r="139" spans="1:80">
      <c r="A139" s="3" t="s">
        <v>5444</v>
      </c>
      <c r="B139" s="96"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 t="shared" si="46"/>
        <v>450</v>
      </c>
      <c r="L139" s="5">
        <f t="shared" si="47"/>
        <v>0</v>
      </c>
      <c r="M139" s="78">
        <v>450</v>
      </c>
      <c r="T139" s="8">
        <v>0</v>
      </c>
      <c r="U139" s="8">
        <v>0</v>
      </c>
      <c r="V139" s="8">
        <v>0</v>
      </c>
      <c r="W139" s="8">
        <v>0</v>
      </c>
      <c r="X139" s="10">
        <v>0</v>
      </c>
      <c r="AK139" s="8">
        <v>450</v>
      </c>
      <c r="BY139" s="8" t="str">
        <f>+_xlfn.XLOOKUP(Table1[[#This Row],[L4 Code]],KIRMATAŞ!B:B,KIRMATAŞ!B:B,"")</f>
        <v/>
      </c>
      <c r="BZ139" s="8" t="str">
        <f>+_xlfn.XLOOKUP(Table1[[#This Row],[L4 Code]],'SU TEMİNİ'!C:C,'SU TEMİNİ'!C:C,"")</f>
        <v/>
      </c>
      <c r="CA139" s="8" t="str">
        <f>+_xlfn.XLOOKUP(Table1[[#This Row],[L4 Code]],TAŞ!C:C,TAŞ!C:C,"")</f>
        <v/>
      </c>
      <c r="CB139" s="8" t="s">
        <v>5433</v>
      </c>
    </row>
    <row r="140" spans="1:80">
      <c r="A140" s="3" t="s">
        <v>5444</v>
      </c>
      <c r="B140" s="96"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 t="shared" si="46"/>
        <v>0</v>
      </c>
      <c r="L140" s="5">
        <f t="shared" si="47"/>
        <v>0</v>
      </c>
      <c r="M140" s="78">
        <v>0</v>
      </c>
      <c r="P140" s="8">
        <v>0</v>
      </c>
      <c r="Q140" s="8">
        <v>0</v>
      </c>
      <c r="R140" s="8">
        <v>0</v>
      </c>
      <c r="S140" s="8">
        <v>0</v>
      </c>
      <c r="T140" s="8">
        <v>0</v>
      </c>
      <c r="U140" s="8">
        <v>0</v>
      </c>
      <c r="V140" s="8">
        <v>0</v>
      </c>
      <c r="W140" s="8">
        <v>0</v>
      </c>
      <c r="X140" s="10">
        <v>0</v>
      </c>
      <c r="Y140" s="8">
        <v>0</v>
      </c>
      <c r="Z140" s="8">
        <v>0</v>
      </c>
      <c r="AA140" s="8">
        <v>0</v>
      </c>
      <c r="AB140" s="8">
        <v>0</v>
      </c>
      <c r="AC140" s="8">
        <v>0</v>
      </c>
      <c r="AD140" s="8">
        <v>0</v>
      </c>
      <c r="AE140" s="8">
        <v>0</v>
      </c>
      <c r="AF140" s="8">
        <v>0</v>
      </c>
      <c r="AG140" s="8">
        <v>0</v>
      </c>
      <c r="AH140" s="8">
        <v>0</v>
      </c>
      <c r="AI140" s="8">
        <v>0</v>
      </c>
      <c r="AJ140" s="8">
        <v>0</v>
      </c>
      <c r="AK140" s="8">
        <v>0</v>
      </c>
      <c r="AL140" s="8">
        <v>0</v>
      </c>
      <c r="BY140" s="8" t="str">
        <f>+_xlfn.XLOOKUP(Table1[[#This Row],[L4 Code]],KIRMATAŞ!B:B,KIRMATAŞ!B:B,"")</f>
        <v/>
      </c>
      <c r="BZ140" s="8" t="str">
        <f>+_xlfn.XLOOKUP(Table1[[#This Row],[L4 Code]],'SU TEMİNİ'!C:C,'SU TEMİNİ'!C:C,"")</f>
        <v/>
      </c>
      <c r="CA140" s="8" t="str">
        <f>+_xlfn.XLOOKUP(Table1[[#This Row],[L4 Code]],TAŞ!C:C,TAŞ!C:C,"")</f>
        <v/>
      </c>
      <c r="CB140" s="8" t="s">
        <v>5434</v>
      </c>
    </row>
    <row r="141" spans="1:80">
      <c r="A141" s="3" t="s">
        <v>5444</v>
      </c>
      <c r="B141" s="96" t="s">
        <v>26</v>
      </c>
      <c r="C141" t="str">
        <f>+_xlfn.XLOOKUP(B141,'L4'!B:B,'L4'!C:C)</f>
        <v>PREKAST KABLO KANALI YAPILMASI</v>
      </c>
      <c r="D141" t="s">
        <v>4967</v>
      </c>
      <c r="E141" t="str">
        <f>+_xlfn.XLOOKUP(D141,'M2'!H:H,'M2'!I:I)</f>
        <v>PROJE GENELİ</v>
      </c>
      <c r="F141" s="77" t="s">
        <v>4973</v>
      </c>
      <c r="G141" t="s">
        <v>4983</v>
      </c>
      <c r="H141" s="3" t="s">
        <v>4984</v>
      </c>
      <c r="I141" s="3" t="s">
        <v>347</v>
      </c>
      <c r="J141" s="78">
        <v>18836</v>
      </c>
      <c r="K141" s="78">
        <f>+M141-SUM(N141:W141)</f>
        <v>18836.000000000004</v>
      </c>
      <c r="L141" s="5">
        <f>+SUM(X141:BT141)-K141</f>
        <v>0</v>
      </c>
      <c r="M141" s="78">
        <f>+SUM(N141:BX141)</f>
        <v>18836.000000000004</v>
      </c>
      <c r="N141" s="8">
        <v>0</v>
      </c>
      <c r="O141" s="8">
        <v>0</v>
      </c>
      <c r="P141" s="8">
        <v>0</v>
      </c>
      <c r="Q141" s="8">
        <v>0</v>
      </c>
      <c r="R141" s="8">
        <v>0</v>
      </c>
      <c r="S141" s="8">
        <v>0</v>
      </c>
      <c r="T141" s="8">
        <v>0</v>
      </c>
      <c r="U141" s="8">
        <v>0</v>
      </c>
      <c r="V141" s="8">
        <v>0</v>
      </c>
      <c r="W141" s="8">
        <v>0</v>
      </c>
      <c r="X141" s="10"/>
      <c r="Y141" s="8">
        <v>99.693069951273685</v>
      </c>
      <c r="Z141" s="8">
        <v>145.42502528073484</v>
      </c>
      <c r="AA141" s="8">
        <v>186.34070965305179</v>
      </c>
      <c r="AB141" s="8">
        <v>422.63036839759604</v>
      </c>
      <c r="AC141" s="8">
        <v>227.0407879442125</v>
      </c>
      <c r="AD141" s="8">
        <v>236.65166063337605</v>
      </c>
      <c r="AE141" s="8">
        <v>235.15136195011505</v>
      </c>
      <c r="AF141" s="8">
        <v>272.64591457042781</v>
      </c>
      <c r="AG141" s="8">
        <v>427.1285192366289</v>
      </c>
      <c r="AH141" s="8">
        <v>520.39890552716838</v>
      </c>
      <c r="AI141" s="8">
        <v>601.23779410914869</v>
      </c>
      <c r="AJ141" s="8">
        <v>689.19261075536497</v>
      </c>
      <c r="AK141" s="8">
        <v>596.07159164708446</v>
      </c>
      <c r="AL141" s="8">
        <v>678.98436074133724</v>
      </c>
      <c r="AM141" s="8">
        <v>769.85493182472567</v>
      </c>
      <c r="AN141" s="8">
        <v>769.85493182472567</v>
      </c>
      <c r="AO141" s="8">
        <v>748.94903021094228</v>
      </c>
      <c r="AP141" s="8">
        <v>763.58316134059055</v>
      </c>
      <c r="AQ141" s="8">
        <v>739.19020711582561</v>
      </c>
      <c r="AR141" s="8">
        <v>746.79384534375663</v>
      </c>
      <c r="AS141" s="8">
        <v>1003.7426510758704</v>
      </c>
      <c r="AT141" s="8">
        <v>891.49672941951349</v>
      </c>
      <c r="AU141" s="8">
        <v>1003.7426510758704</v>
      </c>
      <c r="AV141" s="8">
        <v>1003.7426510758704</v>
      </c>
      <c r="AW141" s="8">
        <v>1003.7426510758704</v>
      </c>
      <c r="AX141" s="8">
        <v>966.11202817106039</v>
      </c>
      <c r="AY141" s="8">
        <v>955.34020734815851</v>
      </c>
      <c r="AZ141" s="8">
        <v>707.82314766909769</v>
      </c>
      <c r="BA141" s="8">
        <v>513.39826266091188</v>
      </c>
      <c r="BB141" s="8">
        <v>362.87577104167116</v>
      </c>
      <c r="BC141" s="8">
        <v>195.62855813140374</v>
      </c>
      <c r="BD141" s="8">
        <v>195.62855813140374</v>
      </c>
      <c r="BE141" s="8">
        <v>155.9073450652152</v>
      </c>
      <c r="BF141" s="8">
        <v>0</v>
      </c>
      <c r="BG141" s="8">
        <v>0</v>
      </c>
      <c r="BH141" s="8">
        <v>0</v>
      </c>
      <c r="BI141" s="8">
        <v>0</v>
      </c>
      <c r="BJ141" s="8">
        <v>0</v>
      </c>
      <c r="BK141" s="8">
        <v>0</v>
      </c>
      <c r="BL141" s="8">
        <v>0</v>
      </c>
      <c r="BM141" s="8">
        <v>0</v>
      </c>
      <c r="BN141" s="8">
        <v>0</v>
      </c>
      <c r="BO141" s="8">
        <v>0</v>
      </c>
      <c r="BP141" s="8">
        <v>0</v>
      </c>
      <c r="BQ141" s="8">
        <v>0</v>
      </c>
      <c r="BR141" s="8">
        <v>0</v>
      </c>
      <c r="BS141" s="8">
        <v>0</v>
      </c>
      <c r="BT141" s="8">
        <v>0</v>
      </c>
      <c r="BU141" s="8">
        <v>0</v>
      </c>
      <c r="BV141" s="8">
        <v>0</v>
      </c>
      <c r="BW141" s="8">
        <v>0</v>
      </c>
      <c r="BX141" s="8">
        <v>0</v>
      </c>
      <c r="BY141" s="8" t="str">
        <f>+_xlfn.XLOOKUP(Table1[[#This Row],[L4 Code]],KIRMATAŞ!B:B,KIRMATAŞ!B:B,"")</f>
        <v>D-01.ALT-04.TNL-013</v>
      </c>
      <c r="BZ141" s="8" t="str">
        <f>+_xlfn.XLOOKUP(Table1[[#This Row],[L4 Code]],'SU TEMİNİ'!C:C,'SU TEMİNİ'!C:C,"")</f>
        <v/>
      </c>
      <c r="CA141" s="8" t="str">
        <f>+_xlfn.XLOOKUP(Table1[[#This Row],[L4 Code]],TAŞ!C:C,TAŞ!C:C,"")</f>
        <v/>
      </c>
      <c r="CB141" s="8" t="s">
        <v>5435</v>
      </c>
    </row>
    <row r="142" spans="1:80">
      <c r="A142" s="3" t="s">
        <v>5444</v>
      </c>
      <c r="B142" s="96"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3300</v>
      </c>
      <c r="L142" s="5">
        <f>-SUM(Y142:BT142)+K142</f>
        <v>0</v>
      </c>
      <c r="M142" s="78">
        <v>3300</v>
      </c>
      <c r="R142" s="8">
        <v>0</v>
      </c>
      <c r="S142" s="8">
        <v>0</v>
      </c>
      <c r="T142" s="8">
        <v>0</v>
      </c>
      <c r="U142" s="8">
        <v>0</v>
      </c>
      <c r="V142" s="8">
        <v>0</v>
      </c>
      <c r="W142" s="8">
        <v>0</v>
      </c>
      <c r="X142" s="10">
        <v>0</v>
      </c>
      <c r="Y142" s="8">
        <f>(+$K142)*0.0777041942604857</f>
        <v>256.42384105960281</v>
      </c>
      <c r="Z142" s="8">
        <f>(+$K142)*0.071523178807947</f>
        <v>236.02649006622508</v>
      </c>
      <c r="AA142" s="8">
        <f>(+$K142)*0.0388520971302428</f>
        <v>128.21192052980123</v>
      </c>
      <c r="AB142" s="8">
        <f>(+$K142)*0.0388520971302428</f>
        <v>128.21192052980123</v>
      </c>
      <c r="AC142" s="8">
        <f>(+$K142)*0.0388520971302428</f>
        <v>128.21192052980123</v>
      </c>
      <c r="AD142" s="8">
        <f>(+$K142)*0.0388520971302428</f>
        <v>128.21192052980123</v>
      </c>
      <c r="AE142" s="8">
        <f>(+$K142)*0.0388520971302428</f>
        <v>128.21192052980123</v>
      </c>
      <c r="AF142" s="8">
        <f>(+$K142)*0.0291390728476821</f>
        <v>96.158940397350932</v>
      </c>
      <c r="AG142" s="8">
        <f>(+$K142)*0.0388520971302428</f>
        <v>128.21192052980123</v>
      </c>
      <c r="AH142" s="8">
        <f>(+$K142)*0.0291390728476821</f>
        <v>96.158940397350932</v>
      </c>
      <c r="AI142" s="8">
        <f t="shared" ref="AI142:AP142" si="49">(+$K142)*0.0388520971302428</f>
        <v>128.21192052980123</v>
      </c>
      <c r="AJ142" s="8">
        <f t="shared" si="49"/>
        <v>128.21192052980123</v>
      </c>
      <c r="AK142" s="8">
        <f t="shared" si="49"/>
        <v>128.21192052980123</v>
      </c>
      <c r="AL142" s="8">
        <f t="shared" si="49"/>
        <v>128.21192052980123</v>
      </c>
      <c r="AM142" s="8">
        <f t="shared" si="49"/>
        <v>128.21192052980123</v>
      </c>
      <c r="AN142" s="8">
        <f t="shared" si="49"/>
        <v>128.21192052980123</v>
      </c>
      <c r="AO142" s="8">
        <f t="shared" si="49"/>
        <v>128.21192052980123</v>
      </c>
      <c r="AP142" s="8">
        <f t="shared" si="49"/>
        <v>128.21192052980123</v>
      </c>
      <c r="AQ142" s="8">
        <f>(+$K142)*0.0291390728476821</f>
        <v>96.158940397350932</v>
      </c>
      <c r="AR142" s="8">
        <f>(+$K142)*0.0344370860927152</f>
        <v>113.64238410596016</v>
      </c>
      <c r="AS142" s="8">
        <f>(+$K142)*0.0211920529801325</f>
        <v>69.933774834437244</v>
      </c>
      <c r="AT142" s="8">
        <f>((+$K142)*0.0158940397350993)+163.17880794702</f>
        <v>215.62913907284769</v>
      </c>
      <c r="AU142" s="8">
        <f>(+$K142)*0.0211920529801325</f>
        <v>69.933774834437244</v>
      </c>
      <c r="AV142" s="8">
        <f>(+$K142)*0.0211920529801325</f>
        <v>69.933774834437244</v>
      </c>
      <c r="AW142" s="8">
        <f>(+$K142)*0.0211920529801325</f>
        <v>69.933774834437244</v>
      </c>
      <c r="AX142" s="8">
        <f>(+$K142)*0.0211920529801325</f>
        <v>69.933774834437244</v>
      </c>
      <c r="AY142" s="8">
        <f>(+$K142)*0.0136865342163355</f>
        <v>45.165562913907152</v>
      </c>
      <c r="AZ142" s="8">
        <v>0</v>
      </c>
      <c r="BY142" s="8" t="str">
        <f>+_xlfn.XLOOKUP(Table1[[#This Row],[L4 Code]],KIRMATAŞ!B:B,KIRMATAŞ!B:B,"")</f>
        <v>D-01.ALT-04.TNL-013</v>
      </c>
      <c r="BZ142" s="8" t="str">
        <f>+_xlfn.XLOOKUP(Table1[[#This Row],[L4 Code]],'SU TEMİNİ'!C:C,'SU TEMİNİ'!C:C,"")</f>
        <v/>
      </c>
      <c r="CA142" s="8" t="str">
        <f>+_xlfn.XLOOKUP(Table1[[#This Row],[L4 Code]],TAŞ!C:C,TAŞ!C:C,"")</f>
        <v/>
      </c>
      <c r="CB142" s="8" t="s">
        <v>5436</v>
      </c>
    </row>
    <row r="143" spans="1:80">
      <c r="A143" s="3" t="s">
        <v>5444</v>
      </c>
      <c r="B143" s="96"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2640</v>
      </c>
      <c r="L143" s="5">
        <f>-SUM(Y143:BT143)+K143</f>
        <v>0</v>
      </c>
      <c r="M143" s="78">
        <v>2640</v>
      </c>
      <c r="T143" s="8">
        <v>0</v>
      </c>
      <c r="U143" s="8">
        <v>0</v>
      </c>
      <c r="V143" s="8">
        <v>0</v>
      </c>
      <c r="W143" s="8">
        <v>0</v>
      </c>
      <c r="X143" s="10">
        <v>0</v>
      </c>
      <c r="Y143" s="8">
        <f>((+$K143)*0.1841046277666)--54.7786720321931</f>
        <v>540.81488933601713</v>
      </c>
      <c r="Z143" s="8">
        <f>((+$K143)*0.116700201207243)--54.7786720321931</f>
        <v>362.86720321931466</v>
      </c>
      <c r="AA143" s="8">
        <f>((+$K143)*0.116700201207243)--54.7786720321931</f>
        <v>362.86720321931466</v>
      </c>
      <c r="AB143" s="8">
        <f>((+$K143)*0.127766599597586)--54.7786720321931</f>
        <v>392.08249496982012</v>
      </c>
      <c r="AC143" s="8">
        <f>((+$K143)*0.0985915492957746)--54.7786720321931</f>
        <v>315.06036217303802</v>
      </c>
      <c r="AD143" s="8">
        <f>((+$K143)*0.0814889336016097)--54.7786720321931</f>
        <v>269.90945674044269</v>
      </c>
      <c r="AE143" s="8">
        <f>((+$K143)*0.0814889336016097)--54.7786720321931</f>
        <v>269.90945674044269</v>
      </c>
      <c r="AF143" s="8">
        <f>((+$K143)*0.0271629778672032)--54.7786720321931</f>
        <v>126.48893360160955</v>
      </c>
      <c r="BY143" s="8" t="str">
        <f>+_xlfn.XLOOKUP(Table1[[#This Row],[L4 Code]],KIRMATAŞ!B:B,KIRMATAŞ!B:B,"")</f>
        <v>D-01.ALT-04.TNL-013</v>
      </c>
      <c r="BZ143" s="8" t="str">
        <f>+_xlfn.XLOOKUP(Table1[[#This Row],[L4 Code]],'SU TEMİNİ'!C:C,'SU TEMİNİ'!C:C,"")</f>
        <v/>
      </c>
      <c r="CA143" s="8" t="str">
        <f>+_xlfn.XLOOKUP(Table1[[#This Row],[L4 Code]],TAŞ!C:C,TAŞ!C:C,"")</f>
        <v/>
      </c>
      <c r="CB143" s="8" t="s">
        <v>5437</v>
      </c>
    </row>
    <row r="144" spans="1:80">
      <c r="A144" s="3" t="s">
        <v>5444</v>
      </c>
      <c r="B144" s="96"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2040</v>
      </c>
      <c r="L144" s="5">
        <f>-SUM(Y144:BT144)+K144</f>
        <v>0</v>
      </c>
      <c r="M144" s="78">
        <v>2040</v>
      </c>
      <c r="P144" s="8">
        <v>0</v>
      </c>
      <c r="Q144" s="8">
        <v>0</v>
      </c>
      <c r="R144" s="8">
        <v>0</v>
      </c>
      <c r="S144" s="8">
        <v>0</v>
      </c>
      <c r="T144" s="8">
        <v>0</v>
      </c>
      <c r="U144" s="8">
        <v>0</v>
      </c>
      <c r="V144" s="8">
        <v>0</v>
      </c>
      <c r="W144" s="8">
        <v>0</v>
      </c>
      <c r="X144" s="10">
        <v>0</v>
      </c>
      <c r="Y144" s="8">
        <v>93.121019108280279</v>
      </c>
      <c r="Z144" s="8">
        <v>93.121019108280279</v>
      </c>
      <c r="AA144" s="8">
        <v>93.121019108280279</v>
      </c>
      <c r="AB144" s="8">
        <v>93.121019108280279</v>
      </c>
      <c r="AC144" s="8">
        <v>177.5796178343949</v>
      </c>
      <c r="AD144" s="8">
        <v>177.5796178343949</v>
      </c>
      <c r="AE144" s="8">
        <v>220.89171974522279</v>
      </c>
      <c r="AF144" s="8">
        <v>220.89171974522279</v>
      </c>
      <c r="AG144" s="8">
        <v>116.94267515923565</v>
      </c>
      <c r="AH144" s="8">
        <v>160.25477707006377</v>
      </c>
      <c r="AI144" s="8">
        <v>160.25477707006377</v>
      </c>
      <c r="AJ144" s="8">
        <v>155.92356687898095</v>
      </c>
      <c r="AK144" s="8">
        <v>249.04458598726146</v>
      </c>
      <c r="AL144" s="8">
        <v>28.152866242038204</v>
      </c>
      <c r="BY144" s="8" t="str">
        <f>+_xlfn.XLOOKUP(Table1[[#This Row],[L4 Code]],KIRMATAŞ!B:B,KIRMATAŞ!B:B,"")</f>
        <v>D-01.ALT-04.TNL-013</v>
      </c>
      <c r="BZ144" s="8" t="str">
        <f>+_xlfn.XLOOKUP(Table1[[#This Row],[L4 Code]],'SU TEMİNİ'!C:C,'SU TEMİNİ'!C:C,"")</f>
        <v/>
      </c>
      <c r="CA144" s="8" t="str">
        <f>+_xlfn.XLOOKUP(Table1[[#This Row],[L4 Code]],TAŞ!C:C,TAŞ!C:C,"")</f>
        <v/>
      </c>
      <c r="CB144" s="8" t="s">
        <v>5438</v>
      </c>
    </row>
    <row r="145" spans="1:80">
      <c r="A145" s="3" t="s">
        <v>5444</v>
      </c>
      <c r="B145" s="96" t="s">
        <v>29</v>
      </c>
      <c r="C145" t="str">
        <f>+_xlfn.XLOOKUP(B145,'L4'!B:B,'L4'!C:C)</f>
        <v>BETON - DEMIRSIZ - BOŞLUK / POROZ</v>
      </c>
      <c r="D145" t="s">
        <v>4967</v>
      </c>
      <c r="E145" t="str">
        <f>+_xlfn.XLOOKUP(D145,'M2'!H:H,'M2'!I:I)</f>
        <v>PROJE GENELİ</v>
      </c>
      <c r="F145" s="77" t="s">
        <v>4973</v>
      </c>
      <c r="G145" t="s">
        <v>4983</v>
      </c>
      <c r="H145" s="3" t="s">
        <v>4984</v>
      </c>
      <c r="I145" s="3" t="s">
        <v>359</v>
      </c>
      <c r="J145" s="78">
        <v>5006.3510000000015</v>
      </c>
      <c r="K145" s="78">
        <f>+M145-SUM(N145:W145)</f>
        <v>5426.9897499999997</v>
      </c>
      <c r="L145" s="5">
        <f>+SUM(X145:BT145)-K145</f>
        <v>0</v>
      </c>
      <c r="M145" s="78">
        <f>+SUM(N145:BX145)</f>
        <v>5426.9897499999997</v>
      </c>
      <c r="N145" s="8">
        <v>0</v>
      </c>
      <c r="O145" s="8">
        <v>0</v>
      </c>
      <c r="P145" s="8">
        <v>0</v>
      </c>
      <c r="Q145" s="8">
        <v>0</v>
      </c>
      <c r="R145" s="8">
        <v>0</v>
      </c>
      <c r="S145" s="8">
        <v>0</v>
      </c>
      <c r="T145" s="8">
        <v>0</v>
      </c>
      <c r="U145" s="8">
        <v>0</v>
      </c>
      <c r="V145" s="8">
        <v>0</v>
      </c>
      <c r="W145" s="8">
        <v>0</v>
      </c>
      <c r="X145" s="10"/>
      <c r="Y145" s="8">
        <v>67.812844137640099</v>
      </c>
      <c r="Z145" s="8">
        <v>70.200450144787936</v>
      </c>
      <c r="AA145" s="8">
        <v>83.499420150307117</v>
      </c>
      <c r="AB145" s="8">
        <v>149.5515783121825</v>
      </c>
      <c r="AC145" s="8">
        <v>128.59246996744096</v>
      </c>
      <c r="AD145" s="8">
        <v>129.8574297802781</v>
      </c>
      <c r="AE145" s="8">
        <v>131.57612215519771</v>
      </c>
      <c r="AF145" s="8">
        <v>126.22300841431455</v>
      </c>
      <c r="AG145" s="8">
        <v>149.48580410321503</v>
      </c>
      <c r="AH145" s="8">
        <v>172.4730908626473</v>
      </c>
      <c r="AI145" s="8">
        <v>196.44982980805781</v>
      </c>
      <c r="AJ145" s="8">
        <v>214.8221893336617</v>
      </c>
      <c r="AK145" s="8">
        <v>209.82268614894832</v>
      </c>
      <c r="AL145" s="8">
        <v>180.60575562198261</v>
      </c>
      <c r="AM145" s="8">
        <v>190.65766782116563</v>
      </c>
      <c r="AN145" s="8">
        <v>190.65766782116563</v>
      </c>
      <c r="AO145" s="8">
        <v>185.26908516012668</v>
      </c>
      <c r="AP145" s="8">
        <v>194.4974238217977</v>
      </c>
      <c r="AQ145" s="8">
        <v>195.00590419420695</v>
      </c>
      <c r="AR145" s="8">
        <v>196.03992780730073</v>
      </c>
      <c r="AS145" s="8">
        <v>237.99353691219059</v>
      </c>
      <c r="AT145" s="8">
        <v>245.06921707389316</v>
      </c>
      <c r="AU145" s="8">
        <v>240.99113144471437</v>
      </c>
      <c r="AV145" s="8">
        <v>240.99113144471437</v>
      </c>
      <c r="AW145" s="8">
        <v>238.43754778522782</v>
      </c>
      <c r="AX145" s="8">
        <v>246.19627299388821</v>
      </c>
      <c r="AY145" s="8">
        <v>242.67012568462661</v>
      </c>
      <c r="AZ145" s="8">
        <v>177.50454135064803</v>
      </c>
      <c r="BA145" s="8">
        <v>127.39072260298548</v>
      </c>
      <c r="BB145" s="8">
        <v>94.466169860323902</v>
      </c>
      <c r="BC145" s="8">
        <v>60.805768112112276</v>
      </c>
      <c r="BD145" s="8">
        <v>60.805768112112276</v>
      </c>
      <c r="BE145" s="8">
        <v>50.5674610561382</v>
      </c>
      <c r="BF145" s="8">
        <v>0</v>
      </c>
      <c r="BG145" s="8">
        <v>0</v>
      </c>
      <c r="BH145" s="8">
        <v>0</v>
      </c>
      <c r="BI145" s="8">
        <v>0</v>
      </c>
      <c r="BJ145" s="8">
        <v>0</v>
      </c>
      <c r="BK145" s="8">
        <v>0</v>
      </c>
      <c r="BL145" s="8">
        <v>0</v>
      </c>
      <c r="BM145" s="8">
        <v>0</v>
      </c>
      <c r="BN145" s="8">
        <v>0</v>
      </c>
      <c r="BO145" s="8">
        <v>0</v>
      </c>
      <c r="BP145" s="8">
        <v>0</v>
      </c>
      <c r="BQ145" s="8">
        <v>0</v>
      </c>
      <c r="BR145" s="8">
        <v>0</v>
      </c>
      <c r="BS145" s="8">
        <v>0</v>
      </c>
      <c r="BT145" s="8">
        <v>0</v>
      </c>
      <c r="BU145" s="8">
        <v>0</v>
      </c>
      <c r="BV145" s="8">
        <v>0</v>
      </c>
      <c r="BW145" s="8">
        <v>0</v>
      </c>
      <c r="BX145" s="8">
        <v>0</v>
      </c>
      <c r="BY145" s="8" t="str">
        <f>+_xlfn.XLOOKUP(Table1[[#This Row],[L4 Code]],KIRMATAŞ!B:B,KIRMATAŞ!B:B,"")</f>
        <v>D-01.ALT-04.TNL-018</v>
      </c>
      <c r="BZ145" s="8" t="str">
        <f>+_xlfn.XLOOKUP(Table1[[#This Row],[L4 Code]],'SU TEMİNİ'!C:C,'SU TEMİNİ'!C:C,"")</f>
        <v/>
      </c>
      <c r="CA145" s="8" t="str">
        <f>+_xlfn.XLOOKUP(Table1[[#This Row],[L4 Code]],TAŞ!C:C,TAŞ!C:C,"")</f>
        <v/>
      </c>
      <c r="CB145" s="8" t="s">
        <v>5439</v>
      </c>
    </row>
    <row r="146" spans="1:80">
      <c r="A146" s="3" t="s">
        <v>5444</v>
      </c>
      <c r="B146" s="96"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172.32</v>
      </c>
      <c r="L146" s="5">
        <f>-SUM(Y146:BT146)+K146</f>
        <v>0</v>
      </c>
      <c r="M146" s="78">
        <v>172.32</v>
      </c>
      <c r="R146" s="8">
        <v>0</v>
      </c>
      <c r="S146" s="8">
        <v>0</v>
      </c>
      <c r="T146" s="8">
        <v>0</v>
      </c>
      <c r="U146" s="8">
        <v>0</v>
      </c>
      <c r="V146" s="8">
        <v>0</v>
      </c>
      <c r="W146" s="8">
        <v>0</v>
      </c>
      <c r="X146" s="10">
        <v>0</v>
      </c>
      <c r="Y146" s="8">
        <f>(+$K146)*0.0777041942604857</f>
        <v>13.389986754966896</v>
      </c>
      <c r="Z146" s="8">
        <f>(+$K146)*0.071523178807947</f>
        <v>12.324874172185426</v>
      </c>
      <c r="AA146" s="8">
        <f>(+$K146)*0.0388520971302428</f>
        <v>6.6949933774834385</v>
      </c>
      <c r="AB146" s="8">
        <f>(+$K146)*0.0388520971302428</f>
        <v>6.6949933774834385</v>
      </c>
      <c r="AC146" s="8">
        <f>(+$K146)*0.0388520971302428</f>
        <v>6.6949933774834385</v>
      </c>
      <c r="AD146" s="8">
        <f>(+$K146)*0.0388520971302428</f>
        <v>6.6949933774834385</v>
      </c>
      <c r="AE146" s="8">
        <f>(+$K146)*0.0388520971302428</f>
        <v>6.6949933774834385</v>
      </c>
      <c r="AF146" s="8">
        <f>(+$K146)*0.0291390728476821</f>
        <v>5.0212450331125789</v>
      </c>
      <c r="AG146" s="8">
        <f>(+$K146)*0.0388520971302428</f>
        <v>6.6949933774834385</v>
      </c>
      <c r="AH146" s="8">
        <f>(+$K146)*0.0291390728476821</f>
        <v>5.0212450331125789</v>
      </c>
      <c r="AI146" s="8">
        <f t="shared" ref="AI146:AP146" si="50">(+$K146)*0.0388520971302428</f>
        <v>6.6949933774834385</v>
      </c>
      <c r="AJ146" s="8">
        <f t="shared" si="50"/>
        <v>6.6949933774834385</v>
      </c>
      <c r="AK146" s="8">
        <f t="shared" si="50"/>
        <v>6.6949933774834385</v>
      </c>
      <c r="AL146" s="8">
        <f t="shared" si="50"/>
        <v>6.6949933774834385</v>
      </c>
      <c r="AM146" s="8">
        <f t="shared" si="50"/>
        <v>6.6949933774834385</v>
      </c>
      <c r="AN146" s="8">
        <f t="shared" si="50"/>
        <v>6.6949933774834385</v>
      </c>
      <c r="AO146" s="8">
        <f t="shared" si="50"/>
        <v>6.6949933774834385</v>
      </c>
      <c r="AP146" s="8">
        <f t="shared" si="50"/>
        <v>6.6949933774834385</v>
      </c>
      <c r="AQ146" s="8">
        <f>(+$K146)*0.0291390728476821</f>
        <v>5.0212450331125789</v>
      </c>
      <c r="AR146" s="8">
        <f>(+$K146)*0.0344370860927152</f>
        <v>5.9341986754966838</v>
      </c>
      <c r="AS146" s="8">
        <f>(+$K146)*0.0211920529801325</f>
        <v>3.6518145695364321</v>
      </c>
      <c r="AT146" s="8">
        <f>((+$K146)*0.0158940397350993)+8.52090066225165</f>
        <v>11.259761589403961</v>
      </c>
      <c r="AU146" s="8">
        <f>(+$K146)*0.0211920529801325</f>
        <v>3.6518145695364321</v>
      </c>
      <c r="AV146" s="8">
        <f>(+$K146)*0.0211920529801325</f>
        <v>3.6518145695364321</v>
      </c>
      <c r="AW146" s="8">
        <f>(+$K146)*0.0211920529801325</f>
        <v>3.6518145695364321</v>
      </c>
      <c r="AX146" s="8">
        <f>(+$K146)*0.0211920529801325</f>
        <v>3.6518145695364321</v>
      </c>
      <c r="AY146" s="8">
        <f>(+$K146)*0.0136865342163355</f>
        <v>2.3584635761589334</v>
      </c>
      <c r="AZ146" s="8">
        <v>0</v>
      </c>
      <c r="BY146" s="8" t="str">
        <f>+_xlfn.XLOOKUP(Table1[[#This Row],[L4 Code]],KIRMATAŞ!B:B,KIRMATAŞ!B:B,"")</f>
        <v>D-01.ALT-04.TNL-018</v>
      </c>
      <c r="BZ146" s="8" t="str">
        <f>+_xlfn.XLOOKUP(Table1[[#This Row],[L4 Code]],'SU TEMİNİ'!C:C,'SU TEMİNİ'!C:C,"")</f>
        <v/>
      </c>
      <c r="CA146" s="8" t="str">
        <f>+_xlfn.XLOOKUP(Table1[[#This Row],[L4 Code]],TAŞ!C:C,TAŞ!C:C,"")</f>
        <v/>
      </c>
      <c r="CB146" s="8" t="s">
        <v>5440</v>
      </c>
    </row>
    <row r="147" spans="1:80">
      <c r="A147" s="3" t="s">
        <v>5444</v>
      </c>
      <c r="B147" s="96"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213.15600000000001</v>
      </c>
      <c r="L147" s="5">
        <f>-SUM(Y147:BT147)+K147</f>
        <v>0</v>
      </c>
      <c r="M147" s="78">
        <v>213.15600000000001</v>
      </c>
      <c r="T147" s="8">
        <v>0</v>
      </c>
      <c r="U147" s="8">
        <v>0</v>
      </c>
      <c r="V147" s="8">
        <v>0</v>
      </c>
      <c r="W147" s="8">
        <v>0</v>
      </c>
      <c r="X147" s="10">
        <v>0</v>
      </c>
      <c r="Y147" s="8">
        <f>((+$K147)*0.1841046277666)--4.42287977867203</f>
        <v>43.665885814889421</v>
      </c>
      <c r="Z147" s="8">
        <f>((+$K147)*0.116700201207243)--4.42287977867203</f>
        <v>29.298227867203121</v>
      </c>
      <c r="AA147" s="8">
        <f>((+$K147)*0.116700201207243)--4.42287977867203</f>
        <v>29.298227867203121</v>
      </c>
      <c r="AB147" s="8">
        <f>((+$K147)*0.127766599597586)--4.42287977867203</f>
        <v>31.657097082495071</v>
      </c>
      <c r="AC147" s="8">
        <f>((+$K147)*0.0985915492957746)--4.42287977867203</f>
        <v>25.438260060362161</v>
      </c>
      <c r="AD147" s="8">
        <f>((+$K147)*0.0814889336016097)--4.42287977867203</f>
        <v>21.792734909456748</v>
      </c>
      <c r="AE147" s="8">
        <f>((+$K147)*0.0814889336016097)--4.42287977867203</f>
        <v>21.792734909456748</v>
      </c>
      <c r="AF147" s="8">
        <f>((+$K147)*0.0271629778672032)--4.42287977867203</f>
        <v>10.212831488933595</v>
      </c>
      <c r="BY147" s="8" t="str">
        <f>+_xlfn.XLOOKUP(Table1[[#This Row],[L4 Code]],KIRMATAŞ!B:B,KIRMATAŞ!B:B,"")</f>
        <v>D-01.ALT-04.TNL-018</v>
      </c>
      <c r="BZ147" s="8" t="str">
        <f>+_xlfn.XLOOKUP(Table1[[#This Row],[L4 Code]],'SU TEMİNİ'!C:C,'SU TEMİNİ'!C:C,"")</f>
        <v/>
      </c>
      <c r="CA147" s="8" t="str">
        <f>+_xlfn.XLOOKUP(Table1[[#This Row],[L4 Code]],TAŞ!C:C,TAŞ!C:C,"")</f>
        <v/>
      </c>
      <c r="CB147" s="8" t="s">
        <v>5441</v>
      </c>
    </row>
    <row r="148" spans="1:80">
      <c r="A148" s="3" t="s">
        <v>5444</v>
      </c>
      <c r="B148" s="96"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109.524</v>
      </c>
      <c r="L148" s="5">
        <f>-SUM(Y148:BT148)+K148</f>
        <v>0</v>
      </c>
      <c r="M148" s="78">
        <v>109.524</v>
      </c>
      <c r="P148" s="8">
        <v>0</v>
      </c>
      <c r="Q148" s="8">
        <v>0</v>
      </c>
      <c r="R148" s="8">
        <v>0</v>
      </c>
      <c r="S148" s="8">
        <v>0</v>
      </c>
      <c r="T148" s="8">
        <v>0</v>
      </c>
      <c r="U148" s="8">
        <v>0</v>
      </c>
      <c r="V148" s="8">
        <v>0</v>
      </c>
      <c r="W148" s="8">
        <v>0</v>
      </c>
      <c r="X148" s="10">
        <v>0</v>
      </c>
      <c r="Y148" s="8">
        <v>4.9995031847133768</v>
      </c>
      <c r="Z148" s="8">
        <v>4.9995031847133768</v>
      </c>
      <c r="AA148" s="8">
        <v>4.9995031847133768</v>
      </c>
      <c r="AB148" s="8">
        <v>4.9995031847133768</v>
      </c>
      <c r="AC148" s="8">
        <v>9.5339363057324835</v>
      </c>
      <c r="AD148" s="8">
        <v>9.5339363057324835</v>
      </c>
      <c r="AE148" s="8">
        <v>11.859286624203815</v>
      </c>
      <c r="AF148" s="8">
        <v>11.859286624203815</v>
      </c>
      <c r="AG148" s="8">
        <v>6.2784458598726101</v>
      </c>
      <c r="AH148" s="8">
        <v>8.6037961783439538</v>
      </c>
      <c r="AI148" s="8">
        <v>8.6037961783439538</v>
      </c>
      <c r="AJ148" s="8">
        <v>8.3712611464968187</v>
      </c>
      <c r="AK148" s="8">
        <v>13.370764331210195</v>
      </c>
      <c r="AL148" s="8">
        <v>1.5114777070063687</v>
      </c>
      <c r="BY148" s="8" t="str">
        <f>+_xlfn.XLOOKUP(Table1[[#This Row],[L4 Code]],KIRMATAŞ!B:B,KIRMATAŞ!B:B,"")</f>
        <v>D-01.ALT-04.TNL-018</v>
      </c>
      <c r="BZ148" s="8" t="str">
        <f>+_xlfn.XLOOKUP(Table1[[#This Row],[L4 Code]],'SU TEMİNİ'!C:C,'SU TEMİNİ'!C:C,"")</f>
        <v/>
      </c>
      <c r="CA148" s="8" t="str">
        <f>+_xlfn.XLOOKUP(Table1[[#This Row],[L4 Code]],TAŞ!C:C,TAŞ!C:C,"")</f>
        <v/>
      </c>
      <c r="CB148" s="8" t="s">
        <v>5442</v>
      </c>
    </row>
    <row r="149" spans="1:80">
      <c r="A149" s="3" t="s">
        <v>5444</v>
      </c>
      <c r="B149" s="96" t="s">
        <v>2655</v>
      </c>
      <c r="C149" t="str">
        <f>+_xlfn.XLOOKUP(B149,'L4'!B:B,'L4'!C:C)</f>
        <v>PLENTMIKS ALTTEMEL VE PLENTMIKS TEMEL</v>
      </c>
      <c r="D149" t="s">
        <v>4967</v>
      </c>
      <c r="E149" t="str">
        <f>+_xlfn.XLOOKUP(D149,'M2'!H:H,'M2'!I:I)</f>
        <v>PROJE GENELİ</v>
      </c>
      <c r="F149" s="77" t="s">
        <v>4973</v>
      </c>
      <c r="G149" t="s">
        <v>4983</v>
      </c>
      <c r="H149" s="3" t="s">
        <v>4984</v>
      </c>
      <c r="I149" s="3" t="s">
        <v>366</v>
      </c>
      <c r="J149" s="78">
        <v>274292.99999999994</v>
      </c>
      <c r="K149" s="78">
        <f>+M149-SUM(N149:W149)</f>
        <v>274292.99999999994</v>
      </c>
      <c r="L149" s="5">
        <f>+SUM(X149:BT149)-K149</f>
        <v>0</v>
      </c>
      <c r="M149" s="78">
        <f>+SUM(N149:BX149)</f>
        <v>274292.99999999994</v>
      </c>
      <c r="N149" s="8">
        <v>0</v>
      </c>
      <c r="O149" s="8">
        <v>0</v>
      </c>
      <c r="P149" s="8">
        <v>0</v>
      </c>
      <c r="Q149" s="8">
        <v>0</v>
      </c>
      <c r="R149" s="8">
        <v>0</v>
      </c>
      <c r="S149" s="8">
        <v>0</v>
      </c>
      <c r="T149" s="8">
        <v>0</v>
      </c>
      <c r="U149" s="8">
        <v>0</v>
      </c>
      <c r="V149" s="8">
        <v>0</v>
      </c>
      <c r="W149" s="8">
        <v>0</v>
      </c>
      <c r="X149" s="10">
        <v>0</v>
      </c>
      <c r="Y149" s="8">
        <v>0</v>
      </c>
      <c r="Z149" s="8">
        <v>0</v>
      </c>
      <c r="AA149" s="8">
        <v>0</v>
      </c>
      <c r="AB149" s="8">
        <v>0</v>
      </c>
      <c r="AC149" s="8">
        <v>0</v>
      </c>
      <c r="AD149" s="8">
        <v>0</v>
      </c>
      <c r="AE149" s="8">
        <v>0</v>
      </c>
      <c r="AF149" s="8">
        <v>19592.357142857141</v>
      </c>
      <c r="AG149" s="8">
        <v>19592.357142857141</v>
      </c>
      <c r="AH149" s="8">
        <v>19592.357142857141</v>
      </c>
      <c r="AI149" s="8">
        <v>19592.357142857141</v>
      </c>
      <c r="AJ149" s="8">
        <v>19592.357142857141</v>
      </c>
      <c r="AK149" s="8">
        <v>19592.357142857141</v>
      </c>
      <c r="AL149" s="8">
        <v>19592.357142857141</v>
      </c>
      <c r="AQ149" s="8">
        <v>19592.357142857141</v>
      </c>
      <c r="AR149" s="8">
        <v>19592.357142857141</v>
      </c>
      <c r="AS149" s="8">
        <v>19592.357142857141</v>
      </c>
      <c r="AT149" s="8">
        <v>19592.357142857141</v>
      </c>
      <c r="AU149" s="8">
        <v>19592.357142857141</v>
      </c>
      <c r="AV149" s="8">
        <v>19592.357142857141</v>
      </c>
      <c r="AW149" s="8">
        <v>19592.357142857141</v>
      </c>
      <c r="AZ149" s="8">
        <v>0</v>
      </c>
      <c r="BA149" s="8">
        <v>0</v>
      </c>
      <c r="BB149" s="8">
        <v>0</v>
      </c>
      <c r="BC149" s="8">
        <v>0</v>
      </c>
      <c r="BD149" s="8">
        <v>0</v>
      </c>
      <c r="BE149" s="8">
        <v>0</v>
      </c>
      <c r="BF149" s="8">
        <v>0</v>
      </c>
      <c r="BG149" s="8">
        <v>0</v>
      </c>
      <c r="BH149" s="8">
        <v>0</v>
      </c>
      <c r="BI149" s="8">
        <v>0</v>
      </c>
      <c r="BJ149" s="8">
        <v>0</v>
      </c>
      <c r="BK149" s="8">
        <v>0</v>
      </c>
      <c r="BL149" s="8">
        <v>0</v>
      </c>
      <c r="BM149" s="8">
        <v>0</v>
      </c>
      <c r="BN149" s="8">
        <v>0</v>
      </c>
      <c r="BO149" s="8">
        <v>0</v>
      </c>
      <c r="BP149" s="8">
        <v>0</v>
      </c>
      <c r="BQ149" s="8">
        <v>0</v>
      </c>
      <c r="BR149" s="8">
        <v>0</v>
      </c>
      <c r="BS149" s="8">
        <v>0</v>
      </c>
      <c r="BT149" s="8">
        <v>0</v>
      </c>
      <c r="BU149" s="8">
        <v>0</v>
      </c>
      <c r="BV149" s="8">
        <v>0</v>
      </c>
      <c r="BW149" s="8">
        <v>0</v>
      </c>
      <c r="BX149" s="8">
        <v>0</v>
      </c>
      <c r="BY149" s="8" t="str">
        <f>+_xlfn.XLOOKUP(Table1[[#This Row],[L4 Code]],KIRMATAŞ!B:B,KIRMATAŞ!B:B,"")</f>
        <v>D-01.ALT-05.TKP-001</v>
      </c>
      <c r="BZ149" s="8" t="str">
        <f>+_xlfn.XLOOKUP(Table1[[#This Row],[L4 Code]],'SU TEMİNİ'!C:C,'SU TEMİNİ'!C:C,"")</f>
        <v>D-01.ALT-05.TKP-001</v>
      </c>
      <c r="CA149" s="8" t="str">
        <f>+_xlfn.XLOOKUP(Table1[[#This Row],[L4 Code]],TAŞ!C:C,TAŞ!C:C,"")</f>
        <v/>
      </c>
      <c r="CB149" s="8" t="s">
        <v>5443</v>
      </c>
    </row>
    <row r="150" spans="1:80">
      <c r="A150" s="3" t="s">
        <v>5444</v>
      </c>
      <c r="B150" t="s">
        <v>2</v>
      </c>
      <c r="C150" t="str">
        <f>+_xlfn.XLOOKUP(B150,'L4'!B:B,'L4'!C:C)</f>
        <v>KAZI - YARMA VE YAN ARIYET</v>
      </c>
      <c r="D150" t="s">
        <v>71</v>
      </c>
      <c r="E150" t="str">
        <f>+_xlfn.XLOOKUP(D150,'M2'!H:H,'M2'!I:I)</f>
        <v>DOĞUŞ T. - GENEL</v>
      </c>
      <c r="F150" s="77" t="s">
        <v>4973</v>
      </c>
      <c r="G150" t="s">
        <v>4983</v>
      </c>
      <c r="H150" s="3" t="s">
        <v>4984</v>
      </c>
      <c r="I150" s="3" t="s">
        <v>5194</v>
      </c>
      <c r="J150" s="78"/>
      <c r="K150" s="78"/>
      <c r="M150" s="78"/>
      <c r="N150" s="8">
        <f>+SUMIFS(N$2:N$149,$CB$2:$CB$149,Table1[[#This Row],[BAĞLANTI]])</f>
        <v>0</v>
      </c>
      <c r="O150" s="8">
        <f>+SUMIFS(O$2:O$149,$CB$2:$CB$149,Table1[[#This Row],[BAĞLANTI]])</f>
        <v>0</v>
      </c>
      <c r="P150" s="8">
        <f>+SUMIFS(P$2:P$149,$CB$2:$CB$149,Table1[[#This Row],[BAĞLANTI]])</f>
        <v>0</v>
      </c>
      <c r="Q150" s="8">
        <f>+SUMIFS(Q$2:Q$149,$CB$2:$CB$149,Table1[[#This Row],[BAĞLANTI]])</f>
        <v>0</v>
      </c>
      <c r="R150" s="8">
        <f>+SUMIFS(R$2:R$149,$CB$2:$CB$149,Table1[[#This Row],[BAĞLANTI]])</f>
        <v>12090</v>
      </c>
      <c r="S150" s="8">
        <f>+SUMIFS(S$2:S$149,$CB$2:$CB$149,Table1[[#This Row],[BAĞLANTI]])</f>
        <v>235993.42</v>
      </c>
      <c r="T150" s="8">
        <f>+SUMIFS(T$2:T$149,$CB$2:$CB$149,Table1[[#This Row],[BAĞLANTI]])</f>
        <v>283287.908</v>
      </c>
      <c r="U150" s="8">
        <f>+SUMIFS(U$2:U$149,$CB$2:$CB$149,Table1[[#This Row],[BAĞLANTI]])</f>
        <v>364404.95500000002</v>
      </c>
      <c r="V150" s="8">
        <f>+SUMIFS(V$2:V$149,$CB$2:$CB$149,Table1[[#This Row],[BAĞLANTI]])</f>
        <v>237924.89099999983</v>
      </c>
      <c r="W150" s="8">
        <f>+SUMIFS(W$2:W$149,$CB$2:$CB$149,Table1[[#This Row],[BAĞLANTI]])</f>
        <v>185536.22100000022</v>
      </c>
      <c r="X150" s="10">
        <f>+SUMIFS(X$2:X$149,$CB$2:$CB$149,Table1[[#This Row],[BAĞLANTI]])</f>
        <v>55972.464999999851</v>
      </c>
      <c r="Y150" s="8">
        <f>+SUMIFS(Y$2:Y$149,$CB$2:$CB$149,Table1[[#This Row],[BAĞLANTI]])</f>
        <v>46109.38568458963</v>
      </c>
      <c r="Z150" s="8">
        <f>+SUMIFS(Z$2:Z$149,$CB$2:$CB$149,Table1[[#This Row],[BAĞLANTI]])</f>
        <v>3521.10754966887</v>
      </c>
      <c r="AA150" s="8">
        <f>+SUMIFS(AA$2:AA$149,$CB$2:$CB$149,Table1[[#This Row],[BAĞLANTI]])</f>
        <v>1912.70039735099</v>
      </c>
      <c r="AB150" s="8">
        <f>+SUMIFS(AB$2:AB$149,$CB$2:$CB$149,Table1[[#This Row],[BAĞLANTI]])</f>
        <v>1912.70039735099</v>
      </c>
      <c r="AC150" s="8">
        <f>+SUMIFS(AC$2:AC$149,$CB$2:$CB$149,Table1[[#This Row],[BAĞLANTI]])</f>
        <v>97809.974091333148</v>
      </c>
      <c r="AD150" s="8">
        <f>+SUMIFS(AD$2:AD$149,$CB$2:$CB$149,Table1[[#This Row],[BAĞLANTI]])</f>
        <v>145758.61093832389</v>
      </c>
      <c r="AE150" s="8">
        <f>+SUMIFS(AE$2:AE$149,$CB$2:$CB$149,Table1[[#This Row],[BAĞLANTI]])</f>
        <v>193707.24778531498</v>
      </c>
      <c r="AF150" s="8">
        <f>+SUMIFS(AF$2:AF$149,$CB$2:$CB$149,Table1[[#This Row],[BAĞLANTI]])</f>
        <v>193229.07268597721</v>
      </c>
      <c r="AG150" s="8">
        <f>+SUMIFS(AG$2:AG$149,$CB$2:$CB$149,Table1[[#This Row],[BAĞLANTI]])</f>
        <v>193707.24778531498</v>
      </c>
      <c r="AH150" s="8">
        <f>+SUMIFS(AH$2:AH$149,$CB$2:$CB$149,Table1[[#This Row],[BAĞLANTI]])</f>
        <v>193229.07268597721</v>
      </c>
      <c r="AI150" s="8">
        <f>+SUMIFS(AI$2:AI$149,$CB$2:$CB$149,Table1[[#This Row],[BAĞLANTI]])</f>
        <v>193707.24778531498</v>
      </c>
      <c r="AJ150" s="8">
        <f>+SUMIFS(AJ$2:AJ$149,$CB$2:$CB$149,Table1[[#This Row],[BAĞLANTI]])</f>
        <v>193707.24778531498</v>
      </c>
      <c r="AK150" s="8">
        <f>+SUMIFS(AK$2:AK$149,$CB$2:$CB$149,Table1[[#This Row],[BAĞLANTI]])</f>
        <v>193707.24778531498</v>
      </c>
      <c r="AL150" s="8">
        <f>+SUMIFS(AL$2:AL$149,$CB$2:$CB$149,Table1[[#This Row],[BAĞLANTI]])</f>
        <v>193707.24778531498</v>
      </c>
      <c r="AM150" s="8">
        <f>+SUMIFS(AM$2:AM$149,$CB$2:$CB$149,Table1[[#This Row],[BAĞLANTI]])</f>
        <v>145758.61093832389</v>
      </c>
      <c r="AN150" s="8">
        <f>+SUMIFS(AN$2:AN$149,$CB$2:$CB$149,Table1[[#This Row],[BAĞLANTI]])</f>
        <v>97809.974091333148</v>
      </c>
      <c r="AO150" s="8">
        <f>+SUMIFS(AO$2:AO$149,$CB$2:$CB$149,Table1[[#This Row],[BAĞLANTI]])</f>
        <v>97809.974091333148</v>
      </c>
      <c r="AP150" s="8">
        <f>+SUMIFS(AP$2:AP$149,$CB$2:$CB$149,Table1[[#This Row],[BAĞLANTI]])</f>
        <v>145758.61093832389</v>
      </c>
      <c r="AQ150" s="8">
        <f>+SUMIFS(AQ$2:AQ$149,$CB$2:$CB$149,Table1[[#This Row],[BAĞLANTI]])</f>
        <v>193229.07268597721</v>
      </c>
      <c r="AR150" s="8">
        <f>+SUMIFS(AR$2:AR$149,$CB$2:$CB$149,Table1[[#This Row],[BAĞLANTI]])</f>
        <v>193489.89546743417</v>
      </c>
      <c r="AS150" s="8">
        <f>+SUMIFS(AS$2:AS$149,$CB$2:$CB$149,Table1[[#This Row],[BAĞLANTI]])</f>
        <v>192837.83851379179</v>
      </c>
      <c r="AT150" s="8">
        <f>+SUMIFS(AT$2:AT$149,$CB$2:$CB$149,Table1[[#This Row],[BAĞLANTI]])</f>
        <v>212909.15327838843</v>
      </c>
      <c r="AU150" s="8">
        <f>+SUMIFS(AU$2:AU$149,$CB$2:$CB$149,Table1[[#This Row],[BAĞLANTI]])</f>
        <v>192837.83851379179</v>
      </c>
      <c r="AV150" s="8">
        <f>+SUMIFS(AV$2:AV$149,$CB$2:$CB$149,Table1[[#This Row],[BAĞLANTI]])</f>
        <v>192837.83851379179</v>
      </c>
      <c r="AW150" s="8">
        <f>+SUMIFS(AW$2:AW$149,$CB$2:$CB$149,Table1[[#This Row],[BAĞLANTI]])</f>
        <v>192837.83851379179</v>
      </c>
      <c r="AX150" s="8">
        <f>+SUMIFS(AX$2:AX$149,$CB$2:$CB$149,Table1[[#This Row],[BAĞLANTI]])</f>
        <v>1043.29112582782</v>
      </c>
      <c r="AY150" s="8">
        <f>+SUMIFS(AY$2:AY$149,$CB$2:$CB$149,Table1[[#This Row],[BAĞLANTI]])</f>
        <v>673.79218543046204</v>
      </c>
      <c r="AZ150" s="8">
        <f>+SUMIFS(AZ$2:AZ$149,$CB$2:$CB$149,Table1[[#This Row],[BAĞLANTI]])</f>
        <v>0</v>
      </c>
      <c r="BA150" s="8">
        <f>+SUMIFS(BA$2:BA$149,$CB$2:$CB$149,Table1[[#This Row],[BAĞLANTI]])</f>
        <v>0</v>
      </c>
      <c r="BB150" s="8">
        <f>+SUMIFS(BB$2:BB$149,$CB$2:$CB$149,Table1[[#This Row],[BAĞLANTI]])</f>
        <v>0</v>
      </c>
      <c r="BC150" s="8">
        <f>+SUMIFS(BC$2:BC$149,$CB$2:$CB$149,Table1[[#This Row],[BAĞLANTI]])</f>
        <v>0</v>
      </c>
      <c r="BD150" s="8">
        <f>+SUMIFS(BD$2:BD$149,$CB$2:$CB$149,Table1[[#This Row],[BAĞLANTI]])</f>
        <v>0</v>
      </c>
      <c r="BE150" s="8">
        <f>+SUMIFS(BE$2:BE$149,$CB$2:$CB$149,Table1[[#This Row],[BAĞLANTI]])</f>
        <v>0</v>
      </c>
      <c r="BF150" s="8">
        <f>+SUMIFS(BF$2:BF$149,$CB$2:$CB$149,Table1[[#This Row],[BAĞLANTI]])</f>
        <v>0</v>
      </c>
      <c r="BG150" s="8">
        <f>+SUMIFS(BG$2:BG$149,$CB$2:$CB$149,Table1[[#This Row],[BAĞLANTI]])</f>
        <v>0</v>
      </c>
      <c r="BH150" s="8">
        <f>+SUMIFS(BH$2:BH$149,$CB$2:$CB$149,Table1[[#This Row],[BAĞLANTI]])</f>
        <v>0</v>
      </c>
      <c r="BI150" s="8">
        <f>+SUMIFS(BI$2:BI$149,$CB$2:$CB$149,Table1[[#This Row],[BAĞLANTI]])</f>
        <v>0</v>
      </c>
      <c r="BJ150" s="8">
        <f>+SUMIFS(BJ$2:BJ$149,$CB$2:$CB$149,Table1[[#This Row],[BAĞLANTI]])</f>
        <v>0</v>
      </c>
      <c r="BK150" s="8">
        <f>+SUMIFS(BK$2:BK$149,$CB$2:$CB$149,Table1[[#This Row],[BAĞLANTI]])</f>
        <v>0</v>
      </c>
      <c r="BL150" s="8">
        <f>+SUMIFS(BL$2:BL$149,$CB$2:$CB$149,Table1[[#This Row],[BAĞLANTI]])</f>
        <v>0</v>
      </c>
      <c r="BM150" s="8">
        <f>+SUMIFS(BM$2:BM$149,$CB$2:$CB$149,Table1[[#This Row],[BAĞLANTI]])</f>
        <v>0</v>
      </c>
      <c r="BN150" s="8">
        <f>+SUMIFS(BN$2:BN$149,$CB$2:$CB$149,Table1[[#This Row],[BAĞLANTI]])</f>
        <v>0</v>
      </c>
      <c r="BO150" s="8">
        <f>+SUMIFS(BO$2:BO$149,$CB$2:$CB$149,Table1[[#This Row],[BAĞLANTI]])</f>
        <v>0</v>
      </c>
      <c r="BP150" s="8">
        <f>+SUMIFS(BP$2:BP$149,$CB$2:$CB$149,Table1[[#This Row],[BAĞLANTI]])</f>
        <v>0</v>
      </c>
      <c r="BQ150" s="8">
        <f>+SUMIFS(BQ$2:BQ$149,$CB$2:$CB$149,Table1[[#This Row],[BAĞLANTI]])</f>
        <v>0</v>
      </c>
      <c r="BR150" s="8">
        <f>+SUMIFS(BR$2:BR$149,$CB$2:$CB$149,Table1[[#This Row],[BAĞLANTI]])</f>
        <v>0</v>
      </c>
      <c r="BS150" s="8">
        <f>+SUMIFS(BS$2:BS$149,$CB$2:$CB$149,Table1[[#This Row],[BAĞLANTI]])</f>
        <v>0</v>
      </c>
      <c r="BT150" s="8">
        <f>+SUMIFS(BT$2:BT$149,$CB$2:$CB$149,Table1[[#This Row],[BAĞLANTI]])</f>
        <v>0</v>
      </c>
      <c r="BU150" s="8">
        <f>+SUMIFS(BU$2:BU$149,$CB$2:$CB$149,Table1[[#This Row],[BAĞLANTI]])</f>
        <v>0</v>
      </c>
      <c r="BV150" s="8">
        <f>+SUMIFS(BV$2:BV$149,$CB$2:$CB$149,Table1[[#This Row],[BAĞLANTI]])</f>
        <v>0</v>
      </c>
      <c r="BW150" s="8">
        <f>+SUMIFS(BW$2:BW$149,$CB$2:$CB$149,Table1[[#This Row],[BAĞLANTI]])</f>
        <v>0</v>
      </c>
      <c r="BX150" s="8">
        <f>+SUMIFS(BX$2:BX$149,$CB$2:$CB$149,Table1[[#This Row],[BAĞLANTI]])</f>
        <v>0</v>
      </c>
      <c r="BY150" s="8">
        <f>+SUMIFS(BY$2:BY$149,$CB$2:$CB$149,Table1[[#This Row],[BAĞLANTI]])</f>
        <v>0</v>
      </c>
      <c r="BZ150" s="8">
        <f>+SUMIFS(BZ$2:BZ$149,$CB$2:$CB$149,Table1[[#This Row],[BAĞLANTI]])</f>
        <v>0</v>
      </c>
      <c r="CA150" s="8">
        <f>+SUMIFS(CA$2:CA$149,$CB$2:$CB$149,Table1[[#This Row],[BAĞLANTI]])</f>
        <v>0</v>
      </c>
      <c r="CB150" s="98" t="s">
        <v>5302</v>
      </c>
    </row>
    <row r="151" spans="1:80">
      <c r="A151" s="3" t="s">
        <v>5444</v>
      </c>
      <c r="B151" t="s">
        <v>2</v>
      </c>
      <c r="C151" t="str">
        <f>+_xlfn.XLOOKUP(B151,'L4'!B:B,'L4'!C:C)</f>
        <v>KAZI - YARMA VE YAN ARIYET</v>
      </c>
      <c r="D151" t="s">
        <v>76</v>
      </c>
      <c r="E151" t="str">
        <f>+_xlfn.XLOOKUP(D151,'M2'!H:H,'M2'!I:I)</f>
        <v>RAYSAN - GENEL</v>
      </c>
      <c r="F151" s="77" t="s">
        <v>4973</v>
      </c>
      <c r="G151" t="s">
        <v>4983</v>
      </c>
      <c r="H151" s="3" t="s">
        <v>4984</v>
      </c>
      <c r="I151" s="3" t="s">
        <v>5194</v>
      </c>
      <c r="J151" s="78"/>
      <c r="K151" s="78"/>
      <c r="M151" s="78"/>
      <c r="N151" s="8">
        <f>+SUMIFS(N$2:N$149,$CB$2:$CB$149,Table1[[#This Row],[BAĞLANTI]])</f>
        <v>0</v>
      </c>
      <c r="O151" s="8">
        <f>+SUMIFS(O$2:O$149,$CB$2:$CB$149,Table1[[#This Row],[BAĞLANTI]])</f>
        <v>0</v>
      </c>
      <c r="P151" s="8">
        <f>+SUMIFS(P$2:P$149,$CB$2:$CB$149,Table1[[#This Row],[BAĞLANTI]])</f>
        <v>155000</v>
      </c>
      <c r="Q151" s="8">
        <f>+SUMIFS(Q$2:Q$149,$CB$2:$CB$149,Table1[[#This Row],[BAĞLANTI]])</f>
        <v>259190.93</v>
      </c>
      <c r="R151" s="8">
        <f>+SUMIFS(R$2:R$149,$CB$2:$CB$149,Table1[[#This Row],[BAĞLANTI]])</f>
        <v>420766.08999999997</v>
      </c>
      <c r="S151" s="8">
        <f>+SUMIFS(S$2:S$149,$CB$2:$CB$149,Table1[[#This Row],[BAĞLANTI]])</f>
        <v>601626.37</v>
      </c>
      <c r="T151" s="8">
        <f>+SUMIFS(T$2:T$149,$CB$2:$CB$149,Table1[[#This Row],[BAĞLANTI]])</f>
        <v>504649.64000000013</v>
      </c>
      <c r="U151" s="8">
        <f>+SUMIFS(U$2:U$149,$CB$2:$CB$149,Table1[[#This Row],[BAĞLANTI]])</f>
        <v>332690.43599999987</v>
      </c>
      <c r="V151" s="8">
        <f>+SUMIFS(V$2:V$149,$CB$2:$CB$149,Table1[[#This Row],[BAĞLANTI]])</f>
        <v>337569.49099999981</v>
      </c>
      <c r="W151" s="8">
        <f>+SUMIFS(W$2:W$149,$CB$2:$CB$149,Table1[[#This Row],[BAĞLANTI]])</f>
        <v>382942.88200000022</v>
      </c>
      <c r="X151" s="10">
        <f>+SUMIFS(X$2:X$149,$CB$2:$CB$149,Table1[[#This Row],[BAĞLANTI]])</f>
        <v>352585.47</v>
      </c>
      <c r="Y151" s="8">
        <f>+SUMIFS(Y$2:Y$149,$CB$2:$CB$149,Table1[[#This Row],[BAĞLANTI]])</f>
        <v>47495.643497583544</v>
      </c>
      <c r="Z151" s="8">
        <f>+SUMIFS(Z$2:Z$149,$CB$2:$CB$149,Table1[[#This Row],[BAĞLANTI]])</f>
        <v>47495.643497583544</v>
      </c>
      <c r="AA151" s="8">
        <f>+SUMIFS(AA$2:AA$149,$CB$2:$CB$149,Table1[[#This Row],[BAĞLANTI]])</f>
        <v>7915.9405829305806</v>
      </c>
      <c r="AB151" s="8">
        <f>+SUMIFS(AB$2:AB$149,$CB$2:$CB$149,Table1[[#This Row],[BAĞLANTI]])</f>
        <v>0</v>
      </c>
      <c r="AC151" s="8">
        <f>+SUMIFS(AC$2:AC$149,$CB$2:$CB$149,Table1[[#This Row],[BAĞLANTI]])</f>
        <v>41841.400224061646</v>
      </c>
      <c r="AD151" s="8">
        <f>+SUMIFS(AD$2:AD$149,$CB$2:$CB$149,Table1[[#This Row],[BAĞLANTI]])</f>
        <v>41841.400224061646</v>
      </c>
      <c r="AE151" s="8">
        <f>+SUMIFS(AE$2:AE$149,$CB$2:$CB$149,Table1[[#This Row],[BAĞLANTI]])</f>
        <v>57673.281389922835</v>
      </c>
      <c r="AF151" s="8">
        <f>+SUMIFS(AF$2:AF$149,$CB$2:$CB$149,Table1[[#This Row],[BAĞLANTI]])</f>
        <v>57673.281389922835</v>
      </c>
      <c r="AG151" s="8">
        <f>+SUMIFS(AG$2:AG$149,$CB$2:$CB$149,Table1[[#This Row],[BAĞLANTI]])</f>
        <v>57673.281389922835</v>
      </c>
      <c r="AH151" s="8">
        <f>+SUMIFS(AH$2:AH$149,$CB$2:$CB$149,Table1[[#This Row],[BAĞLANTI]])</f>
        <v>65589.221972853469</v>
      </c>
      <c r="AI151" s="8">
        <f>+SUMIFS(AI$2:AI$149,$CB$2:$CB$149,Table1[[#This Row],[BAĞLANTI]])</f>
        <v>65589.221972853469</v>
      </c>
      <c r="AJ151" s="8">
        <f>+SUMIFS(AJ$2:AJ$149,$CB$2:$CB$149,Table1[[#This Row],[BAĞLANTI]])</f>
        <v>65589.221972853469</v>
      </c>
      <c r="AK151" s="8">
        <f>+SUMIFS(AK$2:AK$149,$CB$2:$CB$149,Table1[[#This Row],[BAĞLANTI]])</f>
        <v>65589.221972853469</v>
      </c>
      <c r="AL151" s="8">
        <f>+SUMIFS(AL$2:AL$149,$CB$2:$CB$149,Table1[[#This Row],[BAĞLANTI]])</f>
        <v>65589.221972853469</v>
      </c>
      <c r="AM151" s="8">
        <f>+SUMIFS(AM$2:AM$149,$CB$2:$CB$149,Table1[[#This Row],[BAĞLANTI]])</f>
        <v>26009.519058200458</v>
      </c>
      <c r="AN151" s="8">
        <f>+SUMIFS(AN$2:AN$149,$CB$2:$CB$149,Table1[[#This Row],[BAĞLANTI]])</f>
        <v>18093.578475269922</v>
      </c>
      <c r="AO151" s="8">
        <f>+SUMIFS(AO$2:AO$149,$CB$2:$CB$149,Table1[[#This Row],[BAĞLANTI]])</f>
        <v>18093.578475269922</v>
      </c>
      <c r="AP151" s="8">
        <f>+SUMIFS(AP$2:AP$149,$CB$2:$CB$149,Table1[[#This Row],[BAĞLANTI]])</f>
        <v>26009.519058200458</v>
      </c>
      <c r="AQ151" s="8">
        <f>+SUMIFS(AQ$2:AQ$149,$CB$2:$CB$149,Table1[[#This Row],[BAĞLANTI]])</f>
        <v>33925.459641131107</v>
      </c>
      <c r="AR151" s="8">
        <f>+SUMIFS(AR$2:AR$149,$CB$2:$CB$149,Table1[[#This Row],[BAĞLANTI]])</f>
        <v>49757.340806992288</v>
      </c>
      <c r="AS151" s="8">
        <f>+SUMIFS(AS$2:AS$149,$CB$2:$CB$149,Table1[[#This Row],[BAĞLANTI]])</f>
        <v>49757.340806992288</v>
      </c>
      <c r="AT151" s="8">
        <f>+SUMIFS(AT$2:AT$149,$CB$2:$CB$149,Table1[[#This Row],[BAĞLANTI]])</f>
        <v>49757.340806992288</v>
      </c>
      <c r="AU151" s="8">
        <f>+SUMIFS(AU$2:AU$149,$CB$2:$CB$149,Table1[[#This Row],[BAĞLANTI]])</f>
        <v>49757.340806992288</v>
      </c>
      <c r="AV151" s="8">
        <f>+SUMIFS(AV$2:AV$149,$CB$2:$CB$149,Table1[[#This Row],[BAĞLANTI]])</f>
        <v>41841.400224061646</v>
      </c>
      <c r="AW151" s="8">
        <f>+SUMIFS(AW$2:AW$149,$CB$2:$CB$149,Table1[[#This Row],[BAĞLANTI]])</f>
        <v>36816.677779640624</v>
      </c>
      <c r="AX151" s="8">
        <f>+SUMIFS(AX$2:AX$149,$CB$2:$CB$149,Table1[[#This Row],[BAĞLANTI]])</f>
        <v>0</v>
      </c>
      <c r="AY151" s="8">
        <f>+SUMIFS(AY$2:AY$149,$CB$2:$CB$149,Table1[[#This Row],[BAĞLANTI]])</f>
        <v>0</v>
      </c>
      <c r="AZ151" s="8">
        <f>+SUMIFS(AZ$2:AZ$149,$CB$2:$CB$149,Table1[[#This Row],[BAĞLANTI]])</f>
        <v>0</v>
      </c>
      <c r="BA151" s="8">
        <f>+SUMIFS(BA$2:BA$149,$CB$2:$CB$149,Table1[[#This Row],[BAĞLANTI]])</f>
        <v>0</v>
      </c>
      <c r="BB151" s="8">
        <f>+SUMIFS(BB$2:BB$149,$CB$2:$CB$149,Table1[[#This Row],[BAĞLANTI]])</f>
        <v>0</v>
      </c>
      <c r="BC151" s="8">
        <f>+SUMIFS(BC$2:BC$149,$CB$2:$CB$149,Table1[[#This Row],[BAĞLANTI]])</f>
        <v>0</v>
      </c>
      <c r="BD151" s="8">
        <f>+SUMIFS(BD$2:BD$149,$CB$2:$CB$149,Table1[[#This Row],[BAĞLANTI]])</f>
        <v>0</v>
      </c>
      <c r="BE151" s="8">
        <f>+SUMIFS(BE$2:BE$149,$CB$2:$CB$149,Table1[[#This Row],[BAĞLANTI]])</f>
        <v>0</v>
      </c>
      <c r="BF151" s="8">
        <f>+SUMIFS(BF$2:BF$149,$CB$2:$CB$149,Table1[[#This Row],[BAĞLANTI]])</f>
        <v>0</v>
      </c>
      <c r="BG151" s="8">
        <f>+SUMIFS(BG$2:BG$149,$CB$2:$CB$149,Table1[[#This Row],[BAĞLANTI]])</f>
        <v>0</v>
      </c>
      <c r="BH151" s="8">
        <f>+SUMIFS(BH$2:BH$149,$CB$2:$CB$149,Table1[[#This Row],[BAĞLANTI]])</f>
        <v>0</v>
      </c>
      <c r="BI151" s="8">
        <f>+SUMIFS(BI$2:BI$149,$CB$2:$CB$149,Table1[[#This Row],[BAĞLANTI]])</f>
        <v>0</v>
      </c>
      <c r="BJ151" s="8">
        <f>+SUMIFS(BJ$2:BJ$149,$CB$2:$CB$149,Table1[[#This Row],[BAĞLANTI]])</f>
        <v>0</v>
      </c>
      <c r="BK151" s="8">
        <f>+SUMIFS(BK$2:BK$149,$CB$2:$CB$149,Table1[[#This Row],[BAĞLANTI]])</f>
        <v>0</v>
      </c>
      <c r="BL151" s="8">
        <f>+SUMIFS(BL$2:BL$149,$CB$2:$CB$149,Table1[[#This Row],[BAĞLANTI]])</f>
        <v>0</v>
      </c>
      <c r="BM151" s="8">
        <f>+SUMIFS(BM$2:BM$149,$CB$2:$CB$149,Table1[[#This Row],[BAĞLANTI]])</f>
        <v>0</v>
      </c>
      <c r="BN151" s="8">
        <f>+SUMIFS(BN$2:BN$149,$CB$2:$CB$149,Table1[[#This Row],[BAĞLANTI]])</f>
        <v>0</v>
      </c>
      <c r="BO151" s="8">
        <f>+SUMIFS(BO$2:BO$149,$CB$2:$CB$149,Table1[[#This Row],[BAĞLANTI]])</f>
        <v>0</v>
      </c>
      <c r="BP151" s="8">
        <f>+SUMIFS(BP$2:BP$149,$CB$2:$CB$149,Table1[[#This Row],[BAĞLANTI]])</f>
        <v>0</v>
      </c>
      <c r="BQ151" s="8">
        <f>+SUMIFS(BQ$2:BQ$149,$CB$2:$CB$149,Table1[[#This Row],[BAĞLANTI]])</f>
        <v>0</v>
      </c>
      <c r="BR151" s="8">
        <f>+SUMIFS(BR$2:BR$149,$CB$2:$CB$149,Table1[[#This Row],[BAĞLANTI]])</f>
        <v>0</v>
      </c>
      <c r="BS151" s="8">
        <f>+SUMIFS(BS$2:BS$149,$CB$2:$CB$149,Table1[[#This Row],[BAĞLANTI]])</f>
        <v>0</v>
      </c>
      <c r="BT151" s="8">
        <f>+SUMIFS(BT$2:BT$149,$CB$2:$CB$149,Table1[[#This Row],[BAĞLANTI]])</f>
        <v>0</v>
      </c>
      <c r="BU151" s="8">
        <f>+SUMIFS(BU$2:BU$149,$CB$2:$CB$149,Table1[[#This Row],[BAĞLANTI]])</f>
        <v>0</v>
      </c>
      <c r="BV151" s="8">
        <f>+SUMIFS(BV$2:BV$149,$CB$2:$CB$149,Table1[[#This Row],[BAĞLANTI]])</f>
        <v>0</v>
      </c>
      <c r="BW151" s="8">
        <f>+SUMIFS(BW$2:BW$149,$CB$2:$CB$149,Table1[[#This Row],[BAĞLANTI]])</f>
        <v>0</v>
      </c>
      <c r="BX151" s="8">
        <f>+SUMIFS(BX$2:BX$149,$CB$2:$CB$149,Table1[[#This Row],[BAĞLANTI]])</f>
        <v>0</v>
      </c>
      <c r="BY151" s="8">
        <f>+SUMIFS(BY$2:BY$149,$CB$2:$CB$149,Table1[[#This Row],[BAĞLANTI]])</f>
        <v>0</v>
      </c>
      <c r="BZ151" s="8">
        <f>+SUMIFS(BZ$2:BZ$149,$CB$2:$CB$149,Table1[[#This Row],[BAĞLANTI]])</f>
        <v>0</v>
      </c>
      <c r="CA151" s="8">
        <f>+SUMIFS(CA$2:CA$149,$CB$2:$CB$149,Table1[[#This Row],[BAĞLANTI]])</f>
        <v>0</v>
      </c>
      <c r="CB151" s="98" t="s">
        <v>5301</v>
      </c>
    </row>
    <row r="152" spans="1:80">
      <c r="A152" s="3" t="s">
        <v>5444</v>
      </c>
      <c r="B152" t="s">
        <v>2</v>
      </c>
      <c r="C152" t="str">
        <f>+_xlfn.XLOOKUP(B152,'L4'!B:B,'L4'!C:C)</f>
        <v>KAZI - YARMA VE YAN ARIYET</v>
      </c>
      <c r="D152" t="s">
        <v>73</v>
      </c>
      <c r="E152" t="str">
        <f>+_xlfn.XLOOKUP(D152,'M2'!H:H,'M2'!I:I)</f>
        <v>PETSAN - GENEL</v>
      </c>
      <c r="F152" s="77" t="s">
        <v>4973</v>
      </c>
      <c r="G152" t="s">
        <v>4983</v>
      </c>
      <c r="H152" s="3" t="s">
        <v>4984</v>
      </c>
      <c r="I152" s="3" t="s">
        <v>5194</v>
      </c>
      <c r="J152" s="78"/>
      <c r="K152" s="78"/>
      <c r="M152" s="78"/>
      <c r="N152" s="8">
        <f>+SUMIFS(N$2:N$149,$CB$2:$CB$149,Table1[[#This Row],[BAĞLANTI]])</f>
        <v>0</v>
      </c>
      <c r="O152" s="8">
        <f>+SUMIFS(O$2:O$149,$CB$2:$CB$149,Table1[[#This Row],[BAĞLANTI]])</f>
        <v>0</v>
      </c>
      <c r="P152" s="8">
        <f>+SUMIFS(P$2:P$149,$CB$2:$CB$149,Table1[[#This Row],[BAĞLANTI]])</f>
        <v>0</v>
      </c>
      <c r="Q152" s="8">
        <f>+SUMIFS(Q$2:Q$149,$CB$2:$CB$149,Table1[[#This Row],[BAĞLANTI]])</f>
        <v>0</v>
      </c>
      <c r="R152" s="8">
        <f>+SUMIFS(R$2:R$149,$CB$2:$CB$149,Table1[[#This Row],[BAĞLANTI]])</f>
        <v>80609.759999999995</v>
      </c>
      <c r="S152" s="8">
        <f>+SUMIFS(S$2:S$149,$CB$2:$CB$149,Table1[[#This Row],[BAĞLANTI]])</f>
        <v>38251.39</v>
      </c>
      <c r="T152" s="8">
        <f>+SUMIFS(T$2:T$149,$CB$2:$CB$149,Table1[[#This Row],[BAĞLANTI]])</f>
        <v>53173.1</v>
      </c>
      <c r="U152" s="8">
        <f>+SUMIFS(U$2:U$149,$CB$2:$CB$149,Table1[[#This Row],[BAĞLANTI]])</f>
        <v>137575.53</v>
      </c>
      <c r="V152" s="8">
        <f>+SUMIFS(V$2:V$149,$CB$2:$CB$149,Table1[[#This Row],[BAĞLANTI]])</f>
        <v>79290.77</v>
      </c>
      <c r="W152" s="8">
        <f>+SUMIFS(W$2:W$149,$CB$2:$CB$149,Table1[[#This Row],[BAĞLANTI]])</f>
        <v>84925.52</v>
      </c>
      <c r="X152" s="10">
        <f>+SUMIFS(X$2:X$149,$CB$2:$CB$149,Table1[[#This Row],[BAĞLANTI]])</f>
        <v>52947.4</v>
      </c>
      <c r="Y152" s="8">
        <f>+SUMIFS(Y$2:Y$149,$CB$2:$CB$149,Table1[[#This Row],[BAĞLANTI]])</f>
        <v>115881.72748576156</v>
      </c>
      <c r="Z152" s="8">
        <f>+SUMIFS(Z$2:Z$149,$CB$2:$CB$149,Table1[[#This Row],[BAĞLANTI]])</f>
        <v>115881.72748576156</v>
      </c>
      <c r="AA152" s="8">
        <f>+SUMIFS(AA$2:AA$149,$CB$2:$CB$149,Table1[[#This Row],[BAĞLANTI]])</f>
        <v>115881.72748576156</v>
      </c>
      <c r="AB152" s="8">
        <f>+SUMIFS(AB$2:AB$149,$CB$2:$CB$149,Table1[[#This Row],[BAĞLANTI]])</f>
        <v>115881.72748576156</v>
      </c>
      <c r="AC152" s="8">
        <f>+SUMIFS(AC$2:AC$149,$CB$2:$CB$149,Table1[[#This Row],[BAĞLANTI]])</f>
        <v>0</v>
      </c>
      <c r="AD152" s="8">
        <f>+SUMIFS(AD$2:AD$149,$CB$2:$CB$149,Table1[[#This Row],[BAĞLANTI]])</f>
        <v>152569.38929401987</v>
      </c>
      <c r="AE152" s="8">
        <f>+SUMIFS(AE$2:AE$149,$CB$2:$CB$149,Table1[[#This Row],[BAĞLANTI]])</f>
        <v>201880.76269221646</v>
      </c>
      <c r="AF152" s="8">
        <f>+SUMIFS(AF$2:AF$149,$CB$2:$CB$149,Table1[[#This Row],[BAĞLANTI]])</f>
        <v>201880.76269221646</v>
      </c>
      <c r="AG152" s="8">
        <f>+SUMIFS(AG$2:AG$149,$CB$2:$CB$149,Table1[[#This Row],[BAĞLANTI]])</f>
        <v>201880.76269221646</v>
      </c>
      <c r="AH152" s="8">
        <f>+SUMIFS(AH$2:AH$149,$CB$2:$CB$149,Table1[[#This Row],[BAĞLANTI]])</f>
        <v>201880.76269221646</v>
      </c>
      <c r="AI152" s="8">
        <f>+SUMIFS(AI$2:AI$149,$CB$2:$CB$149,Table1[[#This Row],[BAĞLANTI]])</f>
        <v>201880.76269221646</v>
      </c>
      <c r="AJ152" s="8">
        <f>+SUMIFS(AJ$2:AJ$149,$CB$2:$CB$149,Table1[[#This Row],[BAĞLANTI]])</f>
        <v>201880.76269221646</v>
      </c>
      <c r="AK152" s="8">
        <f>+SUMIFS(AK$2:AK$149,$CB$2:$CB$149,Table1[[#This Row],[BAĞLANTI]])</f>
        <v>201880.76269221646</v>
      </c>
      <c r="AL152" s="8">
        <f>+SUMIFS(AL$2:AL$149,$CB$2:$CB$149,Table1[[#This Row],[BAĞLANTI]])</f>
        <v>201880.76269221646</v>
      </c>
      <c r="AM152" s="8">
        <f>+SUMIFS(AM$2:AM$149,$CB$2:$CB$149,Table1[[#This Row],[BAĞLANTI]])</f>
        <v>152569.38929401987</v>
      </c>
      <c r="AN152" s="8">
        <f>+SUMIFS(AN$2:AN$149,$CB$2:$CB$149,Table1[[#This Row],[BAĞLANTI]])</f>
        <v>103258.01589582326</v>
      </c>
      <c r="AO152" s="8">
        <f>+SUMIFS(AO$2:AO$149,$CB$2:$CB$149,Table1[[#This Row],[BAĞLANTI]])</f>
        <v>103258.01589582326</v>
      </c>
      <c r="AP152" s="8">
        <f>+SUMIFS(AP$2:AP$149,$CB$2:$CB$149,Table1[[#This Row],[BAĞLANTI]])</f>
        <v>152569.38929401987</v>
      </c>
      <c r="AQ152" s="8">
        <f>+SUMIFS(AQ$2:AQ$149,$CB$2:$CB$149,Table1[[#This Row],[BAĞLANTI]])</f>
        <v>201880.76269221646</v>
      </c>
      <c r="AR152" s="8">
        <f>+SUMIFS(AR$2:AR$149,$CB$2:$CB$149,Table1[[#This Row],[BAĞLANTI]])</f>
        <v>201880.76269221646</v>
      </c>
      <c r="AS152" s="8">
        <f>+SUMIFS(AS$2:AS$149,$CB$2:$CB$149,Table1[[#This Row],[BAĞLANTI]])</f>
        <v>201880.76269221646</v>
      </c>
      <c r="AT152" s="8">
        <f>+SUMIFS(AT$2:AT$149,$CB$2:$CB$149,Table1[[#This Row],[BAĞLANTI]])</f>
        <v>201880.76269221646</v>
      </c>
      <c r="AU152" s="8">
        <f>+SUMIFS(AU$2:AU$149,$CB$2:$CB$149,Table1[[#This Row],[BAĞLANTI]])</f>
        <v>201880.76269221646</v>
      </c>
      <c r="AV152" s="8">
        <f>+SUMIFS(AV$2:AV$149,$CB$2:$CB$149,Table1[[#This Row],[BAĞLANTI]])</f>
        <v>201880.76269221646</v>
      </c>
      <c r="AW152" s="8">
        <f>+SUMIFS(AW$2:AW$149,$CB$2:$CB$149,Table1[[#This Row],[BAĞLANTI]])</f>
        <v>201880.76269221646</v>
      </c>
      <c r="AX152" s="8">
        <f>+SUMIFS(AX$2:AX$149,$CB$2:$CB$149,Table1[[#This Row],[BAĞLANTI]])</f>
        <v>0</v>
      </c>
      <c r="AY152" s="8">
        <f>+SUMIFS(AY$2:AY$149,$CB$2:$CB$149,Table1[[#This Row],[BAĞLANTI]])</f>
        <v>0</v>
      </c>
      <c r="AZ152" s="8">
        <f>+SUMIFS(AZ$2:AZ$149,$CB$2:$CB$149,Table1[[#This Row],[BAĞLANTI]])</f>
        <v>0</v>
      </c>
      <c r="BA152" s="8">
        <f>+SUMIFS(BA$2:BA$149,$CB$2:$CB$149,Table1[[#This Row],[BAĞLANTI]])</f>
        <v>0</v>
      </c>
      <c r="BB152" s="8">
        <f>+SUMIFS(BB$2:BB$149,$CB$2:$CB$149,Table1[[#This Row],[BAĞLANTI]])</f>
        <v>0</v>
      </c>
      <c r="BC152" s="8">
        <f>+SUMIFS(BC$2:BC$149,$CB$2:$CB$149,Table1[[#This Row],[BAĞLANTI]])</f>
        <v>0</v>
      </c>
      <c r="BD152" s="8">
        <f>+SUMIFS(BD$2:BD$149,$CB$2:$CB$149,Table1[[#This Row],[BAĞLANTI]])</f>
        <v>0</v>
      </c>
      <c r="BE152" s="8">
        <f>+SUMIFS(BE$2:BE$149,$CB$2:$CB$149,Table1[[#This Row],[BAĞLANTI]])</f>
        <v>0</v>
      </c>
      <c r="BF152" s="8">
        <f>+SUMIFS(BF$2:BF$149,$CB$2:$CB$149,Table1[[#This Row],[BAĞLANTI]])</f>
        <v>0</v>
      </c>
      <c r="BG152" s="8">
        <f>+SUMIFS(BG$2:BG$149,$CB$2:$CB$149,Table1[[#This Row],[BAĞLANTI]])</f>
        <v>0</v>
      </c>
      <c r="BH152" s="8">
        <f>+SUMIFS(BH$2:BH$149,$CB$2:$CB$149,Table1[[#This Row],[BAĞLANTI]])</f>
        <v>0</v>
      </c>
      <c r="BI152" s="8">
        <f>+SUMIFS(BI$2:BI$149,$CB$2:$CB$149,Table1[[#This Row],[BAĞLANTI]])</f>
        <v>0</v>
      </c>
      <c r="BJ152" s="8">
        <f>+SUMIFS(BJ$2:BJ$149,$CB$2:$CB$149,Table1[[#This Row],[BAĞLANTI]])</f>
        <v>0</v>
      </c>
      <c r="BK152" s="8">
        <f>+SUMIFS(BK$2:BK$149,$CB$2:$CB$149,Table1[[#This Row],[BAĞLANTI]])</f>
        <v>0</v>
      </c>
      <c r="BL152" s="8">
        <f>+SUMIFS(BL$2:BL$149,$CB$2:$CB$149,Table1[[#This Row],[BAĞLANTI]])</f>
        <v>0</v>
      </c>
      <c r="BM152" s="8">
        <f>+SUMIFS(BM$2:BM$149,$CB$2:$CB$149,Table1[[#This Row],[BAĞLANTI]])</f>
        <v>0</v>
      </c>
      <c r="BN152" s="8">
        <f>+SUMIFS(BN$2:BN$149,$CB$2:$CB$149,Table1[[#This Row],[BAĞLANTI]])</f>
        <v>0</v>
      </c>
      <c r="BO152" s="8">
        <f>+SUMIFS(BO$2:BO$149,$CB$2:$CB$149,Table1[[#This Row],[BAĞLANTI]])</f>
        <v>0</v>
      </c>
      <c r="BP152" s="8">
        <f>+SUMIFS(BP$2:BP$149,$CB$2:$CB$149,Table1[[#This Row],[BAĞLANTI]])</f>
        <v>0</v>
      </c>
      <c r="BQ152" s="8">
        <f>+SUMIFS(BQ$2:BQ$149,$CB$2:$CB$149,Table1[[#This Row],[BAĞLANTI]])</f>
        <v>0</v>
      </c>
      <c r="BR152" s="8">
        <f>+SUMIFS(BR$2:BR$149,$CB$2:$CB$149,Table1[[#This Row],[BAĞLANTI]])</f>
        <v>0</v>
      </c>
      <c r="BS152" s="8">
        <f>+SUMIFS(BS$2:BS$149,$CB$2:$CB$149,Table1[[#This Row],[BAĞLANTI]])</f>
        <v>0</v>
      </c>
      <c r="BT152" s="8">
        <f>+SUMIFS(BT$2:BT$149,$CB$2:$CB$149,Table1[[#This Row],[BAĞLANTI]])</f>
        <v>0</v>
      </c>
      <c r="BU152" s="8">
        <f>+SUMIFS(BU$2:BU$149,$CB$2:$CB$149,Table1[[#This Row],[BAĞLANTI]])</f>
        <v>0</v>
      </c>
      <c r="BV152" s="8">
        <f>+SUMIFS(BV$2:BV$149,$CB$2:$CB$149,Table1[[#This Row],[BAĞLANTI]])</f>
        <v>0</v>
      </c>
      <c r="BW152" s="8">
        <f>+SUMIFS(BW$2:BW$149,$CB$2:$CB$149,Table1[[#This Row],[BAĞLANTI]])</f>
        <v>0</v>
      </c>
      <c r="BX152" s="8">
        <f>+SUMIFS(BX$2:BX$149,$CB$2:$CB$149,Table1[[#This Row],[BAĞLANTI]])</f>
        <v>0</v>
      </c>
      <c r="BY152" s="8">
        <f>+SUMIFS(BY$2:BY$149,$CB$2:$CB$149,Table1[[#This Row],[BAĞLANTI]])</f>
        <v>0</v>
      </c>
      <c r="BZ152" s="8">
        <f>+SUMIFS(BZ$2:BZ$149,$CB$2:$CB$149,Table1[[#This Row],[BAĞLANTI]])</f>
        <v>0</v>
      </c>
      <c r="CA152" s="8">
        <f>+SUMIFS(CA$2:CA$149,$CB$2:$CB$149,Table1[[#This Row],[BAĞLANTI]])</f>
        <v>0</v>
      </c>
      <c r="CB152" s="98" t="s">
        <v>5303</v>
      </c>
    </row>
    <row r="153" spans="1:80">
      <c r="A153" s="3" t="s">
        <v>5444</v>
      </c>
      <c r="B153" t="s">
        <v>2</v>
      </c>
      <c r="C153" t="str">
        <f>+_xlfn.XLOOKUP(B153,'L4'!B:B,'L4'!C:C)</f>
        <v>KAZI - YARMA VE YAN ARIYET</v>
      </c>
      <c r="D153" t="s">
        <v>5181</v>
      </c>
      <c r="E153" t="str">
        <f>+_xlfn.XLOOKUP(D153,'M2'!H:H,'M2'!I:I)</f>
        <v>ÖZDOĞAN İNŞAAT - GENEL</v>
      </c>
      <c r="F153" s="77" t="s">
        <v>4973</v>
      </c>
      <c r="G153" t="s">
        <v>4983</v>
      </c>
      <c r="H153" s="3" t="s">
        <v>4984</v>
      </c>
      <c r="I153" s="3" t="s">
        <v>5194</v>
      </c>
      <c r="J153" s="78"/>
      <c r="K153" s="78"/>
      <c r="M153" s="78"/>
      <c r="N153" s="8">
        <f>+SUMIFS(N$2:N$149,$CB$2:$CB$149,Table1[[#This Row],[BAĞLANTI]])</f>
        <v>0</v>
      </c>
      <c r="O153" s="8">
        <f>+SUMIFS(O$2:O$149,$CB$2:$CB$149,Table1[[#This Row],[BAĞLANTI]])</f>
        <v>0</v>
      </c>
      <c r="P153" s="8">
        <f>+SUMIFS(P$2:P$149,$CB$2:$CB$149,Table1[[#This Row],[BAĞLANTI]])</f>
        <v>190071.49</v>
      </c>
      <c r="Q153" s="8">
        <f>+SUMIFS(Q$2:Q$149,$CB$2:$CB$149,Table1[[#This Row],[BAĞLANTI]])</f>
        <v>210000</v>
      </c>
      <c r="R153" s="8">
        <f>+SUMIFS(R$2:R$149,$CB$2:$CB$149,Table1[[#This Row],[BAĞLANTI]])</f>
        <v>262239.94000000006</v>
      </c>
      <c r="S153" s="8">
        <f>+SUMIFS(S$2:S$149,$CB$2:$CB$149,Table1[[#This Row],[BAĞLANTI]])</f>
        <v>301106.76</v>
      </c>
      <c r="T153" s="8">
        <f>+SUMIFS(T$2:T$149,$CB$2:$CB$149,Table1[[#This Row],[BAĞLANTI]])</f>
        <v>225474.68</v>
      </c>
      <c r="U153" s="8">
        <f>+SUMIFS(U$2:U$149,$CB$2:$CB$149,Table1[[#This Row],[BAĞLANTI]])</f>
        <v>179693.83600000001</v>
      </c>
      <c r="V153" s="8">
        <f>+SUMIFS(V$2:V$149,$CB$2:$CB$149,Table1[[#This Row],[BAĞLANTI]])</f>
        <v>179340.79399999994</v>
      </c>
      <c r="W153" s="8">
        <f>+SUMIFS(W$2:W$149,$CB$2:$CB$149,Table1[[#This Row],[BAĞLANTI]])</f>
        <v>95132.021000000066</v>
      </c>
      <c r="X153" s="10">
        <f>+SUMIFS(X$2:X$149,$CB$2:$CB$149,Table1[[#This Row],[BAĞLANTI]])</f>
        <v>92533.701000000001</v>
      </c>
      <c r="Y153" s="8">
        <f>+SUMIFS(Y$2:Y$149,$CB$2:$CB$149,Table1[[#This Row],[BAĞLANTI]])</f>
        <v>2354.8902920752862</v>
      </c>
      <c r="Z153" s="8">
        <f>+SUMIFS(Z$2:Z$149,$CB$2:$CB$149,Table1[[#This Row],[BAĞLANTI]])</f>
        <v>2354.8902920752862</v>
      </c>
      <c r="AA153" s="8">
        <f>+SUMIFS(AA$2:AA$149,$CB$2:$CB$149,Table1[[#This Row],[BAĞLANTI]])</f>
        <v>2354.8902920752862</v>
      </c>
      <c r="AB153" s="8">
        <f>+SUMIFS(AB$2:AB$149,$CB$2:$CB$149,Table1[[#This Row],[BAĞLANTI]])</f>
        <v>1011.465982003098</v>
      </c>
      <c r="AC153" s="8">
        <f>+SUMIFS(AC$2:AC$149,$CB$2:$CB$149,Table1[[#This Row],[BAĞLANTI]])</f>
        <v>4060.155675991884</v>
      </c>
      <c r="AD153" s="8">
        <f>+SUMIFS(AD$2:AD$149,$CB$2:$CB$149,Table1[[#This Row],[BAĞLANTI]])</f>
        <v>6090.2335139878269</v>
      </c>
      <c r="AE153" s="8">
        <f>+SUMIFS(AE$2:AE$149,$CB$2:$CB$149,Table1[[#This Row],[BAĞLANTI]])</f>
        <v>8120.311351983768</v>
      </c>
      <c r="AF153" s="8">
        <f>+SUMIFS(AF$2:AF$149,$CB$2:$CB$149,Table1[[#This Row],[BAĞLANTI]])</f>
        <v>8120.311351983768</v>
      </c>
      <c r="AG153" s="8">
        <f>+SUMIFS(AG$2:AG$149,$CB$2:$CB$149,Table1[[#This Row],[BAĞLANTI]])</f>
        <v>8120.311351983768</v>
      </c>
      <c r="AH153" s="8">
        <f>+SUMIFS(AH$2:AH$149,$CB$2:$CB$149,Table1[[#This Row],[BAĞLANTI]])</f>
        <v>8120.311351983768</v>
      </c>
      <c r="AI153" s="8">
        <f>+SUMIFS(AI$2:AI$149,$CB$2:$CB$149,Table1[[#This Row],[BAĞLANTI]])</f>
        <v>8120.311351983768</v>
      </c>
      <c r="AJ153" s="8">
        <f>+SUMIFS(AJ$2:AJ$149,$CB$2:$CB$149,Table1[[#This Row],[BAĞLANTI]])</f>
        <v>8120.311351983768</v>
      </c>
      <c r="AK153" s="8">
        <f>+SUMIFS(AK$2:AK$149,$CB$2:$CB$149,Table1[[#This Row],[BAĞLANTI]])</f>
        <v>10475.201644059143</v>
      </c>
      <c r="AL153" s="8">
        <f>+SUMIFS(AL$2:AL$149,$CB$2:$CB$149,Table1[[#This Row],[BAĞLANTI]])</f>
        <v>8120.311351983768</v>
      </c>
      <c r="AM153" s="8">
        <f>+SUMIFS(AM$2:AM$149,$CB$2:$CB$149,Table1[[#This Row],[BAĞLANTI]])</f>
        <v>6090.2335139878269</v>
      </c>
      <c r="AN153" s="8">
        <f>+SUMIFS(AN$2:AN$149,$CB$2:$CB$149,Table1[[#This Row],[BAĞLANTI]])</f>
        <v>4060.155675991884</v>
      </c>
      <c r="AO153" s="8">
        <f>+SUMIFS(AO$2:AO$149,$CB$2:$CB$149,Table1[[#This Row],[BAĞLANTI]])</f>
        <v>4060.155675991884</v>
      </c>
      <c r="AP153" s="8">
        <f>+SUMIFS(AP$2:AP$149,$CB$2:$CB$149,Table1[[#This Row],[BAĞLANTI]])</f>
        <v>6090.2335139878269</v>
      </c>
      <c r="AQ153" s="8">
        <f>+SUMIFS(AQ$2:AQ$149,$CB$2:$CB$149,Table1[[#This Row],[BAĞLANTI]])</f>
        <v>8120.311351983768</v>
      </c>
      <c r="AR153" s="8">
        <f>+SUMIFS(AR$2:AR$149,$CB$2:$CB$149,Table1[[#This Row],[BAĞLANTI]])</f>
        <v>8120.311351983768</v>
      </c>
      <c r="AS153" s="8">
        <f>+SUMIFS(AS$2:AS$149,$CB$2:$CB$149,Table1[[#This Row],[BAĞLANTI]])</f>
        <v>8120.311351983768</v>
      </c>
      <c r="AT153" s="8">
        <f>+SUMIFS(AT$2:AT$149,$CB$2:$CB$149,Table1[[#This Row],[BAĞLANTI]])</f>
        <v>8120.311351983768</v>
      </c>
      <c r="AU153" s="8">
        <f>+SUMIFS(AU$2:AU$149,$CB$2:$CB$149,Table1[[#This Row],[BAĞLANTI]])</f>
        <v>8120.311351983768</v>
      </c>
      <c r="AV153" s="8">
        <f>+SUMIFS(AV$2:AV$149,$CB$2:$CB$149,Table1[[#This Row],[BAĞLANTI]])</f>
        <v>8120.311351983768</v>
      </c>
      <c r="AW153" s="8">
        <f>+SUMIFS(AW$2:AW$149,$CB$2:$CB$149,Table1[[#This Row],[BAĞLANTI]])</f>
        <v>8120.311351983768</v>
      </c>
      <c r="AX153" s="8">
        <f>+SUMIFS(AX$2:AX$149,$CB$2:$CB$149,Table1[[#This Row],[BAĞLANTI]])</f>
        <v>0</v>
      </c>
      <c r="AY153" s="8">
        <f>+SUMIFS(AY$2:AY$149,$CB$2:$CB$149,Table1[[#This Row],[BAĞLANTI]])</f>
        <v>0</v>
      </c>
      <c r="AZ153" s="8">
        <f>+SUMIFS(AZ$2:AZ$149,$CB$2:$CB$149,Table1[[#This Row],[BAĞLANTI]])</f>
        <v>0</v>
      </c>
      <c r="BA153" s="8">
        <f>+SUMIFS(BA$2:BA$149,$CB$2:$CB$149,Table1[[#This Row],[BAĞLANTI]])</f>
        <v>0</v>
      </c>
      <c r="BB153" s="8">
        <f>+SUMIFS(BB$2:BB$149,$CB$2:$CB$149,Table1[[#This Row],[BAĞLANTI]])</f>
        <v>0</v>
      </c>
      <c r="BC153" s="8">
        <f>+SUMIFS(BC$2:BC$149,$CB$2:$CB$149,Table1[[#This Row],[BAĞLANTI]])</f>
        <v>0</v>
      </c>
      <c r="BD153" s="8">
        <f>+SUMIFS(BD$2:BD$149,$CB$2:$CB$149,Table1[[#This Row],[BAĞLANTI]])</f>
        <v>0</v>
      </c>
      <c r="BE153" s="8">
        <f>+SUMIFS(BE$2:BE$149,$CB$2:$CB$149,Table1[[#This Row],[BAĞLANTI]])</f>
        <v>0</v>
      </c>
      <c r="BF153" s="8">
        <f>+SUMIFS(BF$2:BF$149,$CB$2:$CB$149,Table1[[#This Row],[BAĞLANTI]])</f>
        <v>0</v>
      </c>
      <c r="BG153" s="8">
        <f>+SUMIFS(BG$2:BG$149,$CB$2:$CB$149,Table1[[#This Row],[BAĞLANTI]])</f>
        <v>0</v>
      </c>
      <c r="BH153" s="8">
        <f>+SUMIFS(BH$2:BH$149,$CB$2:$CB$149,Table1[[#This Row],[BAĞLANTI]])</f>
        <v>0</v>
      </c>
      <c r="BI153" s="8">
        <f>+SUMIFS(BI$2:BI$149,$CB$2:$CB$149,Table1[[#This Row],[BAĞLANTI]])</f>
        <v>0</v>
      </c>
      <c r="BJ153" s="8">
        <f>+SUMIFS(BJ$2:BJ$149,$CB$2:$CB$149,Table1[[#This Row],[BAĞLANTI]])</f>
        <v>0</v>
      </c>
      <c r="BK153" s="8">
        <f>+SUMIFS(BK$2:BK$149,$CB$2:$CB$149,Table1[[#This Row],[BAĞLANTI]])</f>
        <v>0</v>
      </c>
      <c r="BL153" s="8">
        <f>+SUMIFS(BL$2:BL$149,$CB$2:$CB$149,Table1[[#This Row],[BAĞLANTI]])</f>
        <v>0</v>
      </c>
      <c r="BM153" s="8">
        <f>+SUMIFS(BM$2:BM$149,$CB$2:$CB$149,Table1[[#This Row],[BAĞLANTI]])</f>
        <v>0</v>
      </c>
      <c r="BN153" s="8">
        <f>+SUMIFS(BN$2:BN$149,$CB$2:$CB$149,Table1[[#This Row],[BAĞLANTI]])</f>
        <v>0</v>
      </c>
      <c r="BO153" s="8">
        <f>+SUMIFS(BO$2:BO$149,$CB$2:$CB$149,Table1[[#This Row],[BAĞLANTI]])</f>
        <v>0</v>
      </c>
      <c r="BP153" s="8">
        <f>+SUMIFS(BP$2:BP$149,$CB$2:$CB$149,Table1[[#This Row],[BAĞLANTI]])</f>
        <v>0</v>
      </c>
      <c r="BQ153" s="8">
        <f>+SUMIFS(BQ$2:BQ$149,$CB$2:$CB$149,Table1[[#This Row],[BAĞLANTI]])</f>
        <v>0</v>
      </c>
      <c r="BR153" s="8">
        <f>+SUMIFS(BR$2:BR$149,$CB$2:$CB$149,Table1[[#This Row],[BAĞLANTI]])</f>
        <v>0</v>
      </c>
      <c r="BS153" s="8">
        <f>+SUMIFS(BS$2:BS$149,$CB$2:$CB$149,Table1[[#This Row],[BAĞLANTI]])</f>
        <v>0</v>
      </c>
      <c r="BT153" s="8">
        <f>+SUMIFS(BT$2:BT$149,$CB$2:$CB$149,Table1[[#This Row],[BAĞLANTI]])</f>
        <v>0</v>
      </c>
      <c r="BU153" s="8">
        <f>+SUMIFS(BU$2:BU$149,$CB$2:$CB$149,Table1[[#This Row],[BAĞLANTI]])</f>
        <v>0</v>
      </c>
      <c r="BV153" s="8">
        <f>+SUMIFS(BV$2:BV$149,$CB$2:$CB$149,Table1[[#This Row],[BAĞLANTI]])</f>
        <v>0</v>
      </c>
      <c r="BW153" s="8">
        <f>+SUMIFS(BW$2:BW$149,$CB$2:$CB$149,Table1[[#This Row],[BAĞLANTI]])</f>
        <v>0</v>
      </c>
      <c r="BX153" s="8">
        <f>+SUMIFS(BX$2:BX$149,$CB$2:$CB$149,Table1[[#This Row],[BAĞLANTI]])</f>
        <v>0</v>
      </c>
      <c r="BY153" s="8">
        <f>+SUMIFS(BY$2:BY$149,$CB$2:$CB$149,Table1[[#This Row],[BAĞLANTI]])</f>
        <v>0</v>
      </c>
      <c r="BZ153" s="8">
        <f>+SUMIFS(BZ$2:BZ$149,$CB$2:$CB$149,Table1[[#This Row],[BAĞLANTI]])</f>
        <v>0</v>
      </c>
      <c r="CA153" s="8">
        <f>+SUMIFS(CA$2:CA$149,$CB$2:$CB$149,Table1[[#This Row],[BAĞLANTI]])</f>
        <v>0</v>
      </c>
      <c r="CB153" s="98" t="s">
        <v>5304</v>
      </c>
    </row>
    <row r="154" spans="1:80">
      <c r="A154" s="3" t="s">
        <v>5444</v>
      </c>
      <c r="B154" t="s">
        <v>5</v>
      </c>
      <c r="C154" t="str">
        <f>+_xlfn.XLOOKUP(B154,'L4'!B:B,'L4'!C:C)</f>
        <v>KAZI - SANAT YAPISI ( KÖPRÜ HARIÇ )</v>
      </c>
      <c r="D154" t="s">
        <v>71</v>
      </c>
      <c r="E154" t="str">
        <f>+_xlfn.XLOOKUP(D154,'M2'!H:H,'M2'!I:I)</f>
        <v>DOĞUŞ T. - GENEL</v>
      </c>
      <c r="F154" s="77" t="s">
        <v>4973</v>
      </c>
      <c r="G154" t="s">
        <v>4983</v>
      </c>
      <c r="H154" s="3" t="s">
        <v>4984</v>
      </c>
      <c r="I154" s="3" t="s">
        <v>5194</v>
      </c>
      <c r="J154" s="78"/>
      <c r="K154" s="78"/>
      <c r="M154" s="78"/>
      <c r="N154" s="8">
        <f>+SUMIFS(N$2:N$149,$CB$2:$CB$149,Table1[[#This Row],[BAĞLANTI]])</f>
        <v>0</v>
      </c>
      <c r="O154" s="8">
        <f>+SUMIFS(O$2:O$149,$CB$2:$CB$149,Table1[[#This Row],[BAĞLANTI]])</f>
        <v>0</v>
      </c>
      <c r="P154" s="8">
        <f>+SUMIFS(P$2:P$149,$CB$2:$CB$149,Table1[[#This Row],[BAĞLANTI]])</f>
        <v>0</v>
      </c>
      <c r="Q154" s="8">
        <f>+SUMIFS(Q$2:Q$149,$CB$2:$CB$149,Table1[[#This Row],[BAĞLANTI]])</f>
        <v>0</v>
      </c>
      <c r="R154" s="8">
        <f>+SUMIFS(R$2:R$149,$CB$2:$CB$149,Table1[[#This Row],[BAĞLANTI]])</f>
        <v>393</v>
      </c>
      <c r="S154" s="8">
        <f>+SUMIFS(S$2:S$149,$CB$2:$CB$149,Table1[[#This Row],[BAĞLANTI]])</f>
        <v>-39.189</v>
      </c>
      <c r="T154" s="8">
        <f>+SUMIFS(T$2:T$149,$CB$2:$CB$149,Table1[[#This Row],[BAĞLANTI]])</f>
        <v>326.76600000000002</v>
      </c>
      <c r="U154" s="8">
        <f>+SUMIFS(U$2:U$149,$CB$2:$CB$149,Table1[[#This Row],[BAĞLANTI]])</f>
        <v>7.3551084993823679E-3</v>
      </c>
      <c r="V154" s="8">
        <f>+SUMIFS(V$2:V$149,$CB$2:$CB$149,Table1[[#This Row],[BAĞLANTI]])</f>
        <v>172.98299999999995</v>
      </c>
      <c r="W154" s="8">
        <f>+SUMIFS(W$2:W$149,$CB$2:$CB$149,Table1[[#This Row],[BAĞLANTI]])</f>
        <v>33.423000000000002</v>
      </c>
      <c r="X154" s="10">
        <f>+SUMIFS(X$2:X$149,$CB$2:$CB$149,Table1[[#This Row],[BAĞLANTI]])</f>
        <v>0</v>
      </c>
      <c r="Y154" s="8">
        <f>+SUMIFS(Y$2:Y$149,$CB$2:$CB$149,Table1[[#This Row],[BAĞLANTI]])</f>
        <v>19.077061366669017</v>
      </c>
      <c r="Z154" s="8">
        <f>+SUMIFS(Z$2:Z$149,$CB$2:$CB$149,Table1[[#This Row],[BAĞLANTI]])</f>
        <v>13.0221739002393</v>
      </c>
      <c r="AA154" s="8">
        <f>+SUMIFS(AA$2:AA$149,$CB$2:$CB$149,Table1[[#This Row],[BAĞLANTI]])</f>
        <v>20.291235673319338</v>
      </c>
      <c r="AB154" s="8">
        <f>+SUMIFS(AB$2:AB$149,$CB$2:$CB$149,Table1[[#This Row],[BAĞLANTI]])</f>
        <v>14.236348206889621</v>
      </c>
      <c r="AC154" s="8">
        <f>+SUMIFS(AC$2:AC$149,$CB$2:$CB$149,Table1[[#This Row],[BAĞLANTI]])</f>
        <v>18.198612595641784</v>
      </c>
      <c r="AD154" s="8">
        <f>+SUMIFS(AD$2:AD$149,$CB$2:$CB$149,Table1[[#This Row],[BAĞLANTI]])</f>
        <v>39.217429158320492</v>
      </c>
      <c r="AE154" s="8">
        <f>+SUMIFS(AE$2:AE$149,$CB$2:$CB$149,Table1[[#This Row],[BAĞLANTI]])</f>
        <v>34.639838329298691</v>
      </c>
      <c r="AF154" s="8">
        <f>+SUMIFS(AF$2:AF$149,$CB$2:$CB$149,Table1[[#This Row],[BAĞLANTI]])</f>
        <v>29.733959358630685</v>
      </c>
      <c r="AG154" s="8">
        <f>+SUMIFS(AG$2:AG$149,$CB$2:$CB$149,Table1[[#This Row],[BAĞLANTI]])</f>
        <v>33.425664022648448</v>
      </c>
      <c r="AH154" s="8">
        <f>+SUMIFS(AH$2:AH$149,$CB$2:$CB$149,Table1[[#This Row],[BAĞLANTI]])</f>
        <v>33.425664022648448</v>
      </c>
      <c r="AI154" s="8">
        <f>+SUMIFS(AI$2:AI$149,$CB$2:$CB$149,Table1[[#This Row],[BAĞLANTI]])</f>
        <v>28.519785051980371</v>
      </c>
      <c r="AJ154" s="8">
        <f>+SUMIFS(AJ$2:AJ$149,$CB$2:$CB$149,Table1[[#This Row],[BAĞLANTI]])</f>
        <v>28.519785051980371</v>
      </c>
      <c r="AK154" s="8">
        <f>+SUMIFS(AK$2:AK$149,$CB$2:$CB$149,Table1[[#This Row],[BAĞLANTI]])</f>
        <v>26.913185190748436</v>
      </c>
      <c r="AL154" s="8">
        <f>+SUMIFS(AL$2:AL$149,$CB$2:$CB$149,Table1[[#This Row],[BAĞLANTI]])</f>
        <v>26.913185190748436</v>
      </c>
      <c r="AM154" s="8">
        <f>+SUMIFS(AM$2:AM$149,$CB$2:$CB$149,Table1[[#This Row],[BAĞLANTI]])</f>
        <v>25.426205897477388</v>
      </c>
      <c r="AN154" s="8">
        <f>+SUMIFS(AN$2:AN$149,$CB$2:$CB$149,Table1[[#This Row],[BAĞLANTI]])</f>
        <v>19.371318431047587</v>
      </c>
      <c r="AO154" s="8">
        <f>+SUMIFS(AO$2:AO$149,$CB$2:$CB$149,Table1[[#This Row],[BAĞLANTI]])</f>
        <v>20.161766653225275</v>
      </c>
      <c r="AP154" s="8">
        <f>+SUMIFS(AP$2:AP$149,$CB$2:$CB$149,Table1[[#This Row],[BAĞLANTI]])</f>
        <v>37.177420556752715</v>
      </c>
      <c r="AQ154" s="8">
        <f>+SUMIFS(AQ$2:AQ$149,$CB$2:$CB$149,Table1[[#This Row],[BAĞLANTI]])</f>
        <v>42.083299527420714</v>
      </c>
      <c r="AR154" s="8">
        <f>+SUMIFS(AR$2:AR$149,$CB$2:$CB$149,Table1[[#This Row],[BAĞLANTI]])</f>
        <v>42.083299527420714</v>
      </c>
      <c r="AS154" s="8">
        <f>+SUMIFS(AS$2:AS$149,$CB$2:$CB$149,Table1[[#This Row],[BAĞLANTI]])</f>
        <v>42.083299527420714</v>
      </c>
      <c r="AT154" s="8">
        <f>+SUMIFS(AT$2:AT$149,$CB$2:$CB$149,Table1[[#This Row],[BAĞLANTI]])</f>
        <v>45.293715486323862</v>
      </c>
      <c r="AU154" s="8">
        <f>+SUMIFS(AU$2:AU$149,$CB$2:$CB$149,Table1[[#This Row],[BAĞLANTI]])</f>
        <v>32.271541586084716</v>
      </c>
      <c r="AV154" s="8">
        <f>+SUMIFS(AV$2:AV$149,$CB$2:$CB$149,Table1[[#This Row],[BAĞLANTI]])</f>
        <v>32.271541586084716</v>
      </c>
      <c r="AW154" s="8">
        <f>+SUMIFS(AW$2:AW$149,$CB$2:$CB$149,Table1[[#This Row],[BAĞLANTI]])</f>
        <v>24.219549865718875</v>
      </c>
      <c r="AX154" s="8">
        <f>+SUMIFS(AX$2:AX$149,$CB$2:$CB$149,Table1[[#This Row],[BAĞLANTI]])</f>
        <v>30.106604630520511</v>
      </c>
      <c r="AY154" s="8">
        <f>+SUMIFS(AY$2:AY$149,$CB$2:$CB$149,Table1[[#This Row],[BAĞLANTI]])</f>
        <v>30.106604630520511</v>
      </c>
      <c r="AZ154" s="8">
        <f>+SUMIFS(AZ$2:AZ$149,$CB$2:$CB$149,Table1[[#This Row],[BAĞLANTI]])</f>
        <v>24.219549865718875</v>
      </c>
      <c r="BA154" s="8">
        <f>+SUMIFS(BA$2:BA$149,$CB$2:$CB$149,Table1[[#This Row],[BAĞLANTI]])</f>
        <v>0</v>
      </c>
      <c r="BB154" s="8">
        <f>+SUMIFS(BB$2:BB$149,$CB$2:$CB$149,Table1[[#This Row],[BAĞLANTI]])</f>
        <v>0</v>
      </c>
      <c r="BC154" s="8">
        <f>+SUMIFS(BC$2:BC$149,$CB$2:$CB$149,Table1[[#This Row],[BAĞLANTI]])</f>
        <v>0</v>
      </c>
      <c r="BD154" s="8">
        <f>+SUMIFS(BD$2:BD$149,$CB$2:$CB$149,Table1[[#This Row],[BAĞLANTI]])</f>
        <v>0</v>
      </c>
      <c r="BE154" s="8">
        <f>+SUMIFS(BE$2:BE$149,$CB$2:$CB$149,Table1[[#This Row],[BAĞLANTI]])</f>
        <v>0</v>
      </c>
      <c r="BF154" s="8">
        <f>+SUMIFS(BF$2:BF$149,$CB$2:$CB$149,Table1[[#This Row],[BAĞLANTI]])</f>
        <v>0</v>
      </c>
      <c r="BG154" s="8">
        <f>+SUMIFS(BG$2:BG$149,$CB$2:$CB$149,Table1[[#This Row],[BAĞLANTI]])</f>
        <v>0</v>
      </c>
      <c r="BH154" s="8">
        <f>+SUMIFS(BH$2:BH$149,$CB$2:$CB$149,Table1[[#This Row],[BAĞLANTI]])</f>
        <v>0</v>
      </c>
      <c r="BI154" s="8">
        <f>+SUMIFS(BI$2:BI$149,$CB$2:$CB$149,Table1[[#This Row],[BAĞLANTI]])</f>
        <v>0</v>
      </c>
      <c r="BJ154" s="8">
        <f>+SUMIFS(BJ$2:BJ$149,$CB$2:$CB$149,Table1[[#This Row],[BAĞLANTI]])</f>
        <v>0</v>
      </c>
      <c r="BK154" s="8">
        <f>+SUMIFS(BK$2:BK$149,$CB$2:$CB$149,Table1[[#This Row],[BAĞLANTI]])</f>
        <v>0</v>
      </c>
      <c r="BL154" s="8">
        <f>+SUMIFS(BL$2:BL$149,$CB$2:$CB$149,Table1[[#This Row],[BAĞLANTI]])</f>
        <v>0</v>
      </c>
      <c r="BM154" s="8">
        <f>+SUMIFS(BM$2:BM$149,$CB$2:$CB$149,Table1[[#This Row],[BAĞLANTI]])</f>
        <v>0</v>
      </c>
      <c r="BN154" s="8">
        <f>+SUMIFS(BN$2:BN$149,$CB$2:$CB$149,Table1[[#This Row],[BAĞLANTI]])</f>
        <v>0</v>
      </c>
      <c r="BO154" s="8">
        <f>+SUMIFS(BO$2:BO$149,$CB$2:$CB$149,Table1[[#This Row],[BAĞLANTI]])</f>
        <v>0</v>
      </c>
      <c r="BP154" s="8">
        <f>+SUMIFS(BP$2:BP$149,$CB$2:$CB$149,Table1[[#This Row],[BAĞLANTI]])</f>
        <v>0</v>
      </c>
      <c r="BQ154" s="8">
        <f>+SUMIFS(BQ$2:BQ$149,$CB$2:$CB$149,Table1[[#This Row],[BAĞLANTI]])</f>
        <v>0</v>
      </c>
      <c r="BR154" s="8">
        <f>+SUMIFS(BR$2:BR$149,$CB$2:$CB$149,Table1[[#This Row],[BAĞLANTI]])</f>
        <v>0</v>
      </c>
      <c r="BS154" s="8">
        <f>+SUMIFS(BS$2:BS$149,$CB$2:$CB$149,Table1[[#This Row],[BAĞLANTI]])</f>
        <v>0</v>
      </c>
      <c r="BT154" s="8">
        <f>+SUMIFS(BT$2:BT$149,$CB$2:$CB$149,Table1[[#This Row],[BAĞLANTI]])</f>
        <v>0</v>
      </c>
      <c r="BU154" s="8">
        <f>+SUMIFS(BU$2:BU$149,$CB$2:$CB$149,Table1[[#This Row],[BAĞLANTI]])</f>
        <v>0</v>
      </c>
      <c r="BV154" s="8">
        <f>+SUMIFS(BV$2:BV$149,$CB$2:$CB$149,Table1[[#This Row],[BAĞLANTI]])</f>
        <v>0</v>
      </c>
      <c r="BW154" s="8">
        <f>+SUMIFS(BW$2:BW$149,$CB$2:$CB$149,Table1[[#This Row],[BAĞLANTI]])</f>
        <v>0</v>
      </c>
      <c r="BX154" s="8">
        <f>+SUMIFS(BX$2:BX$149,$CB$2:$CB$149,Table1[[#This Row],[BAĞLANTI]])</f>
        <v>0</v>
      </c>
      <c r="BY154" s="8">
        <f>+SUMIFS(BY$2:BY$149,$CB$2:$CB$149,Table1[[#This Row],[BAĞLANTI]])</f>
        <v>0</v>
      </c>
      <c r="BZ154" s="8">
        <f>+SUMIFS(BZ$2:BZ$149,$CB$2:$CB$149,Table1[[#This Row],[BAĞLANTI]])</f>
        <v>0</v>
      </c>
      <c r="CA154" s="8">
        <f>+SUMIFS(CA$2:CA$149,$CB$2:$CB$149,Table1[[#This Row],[BAĞLANTI]])</f>
        <v>0</v>
      </c>
      <c r="CB154" s="98" t="s">
        <v>5357</v>
      </c>
    </row>
    <row r="155" spans="1:80">
      <c r="A155" s="3" t="s">
        <v>5444</v>
      </c>
      <c r="B155" t="s">
        <v>5</v>
      </c>
      <c r="C155" t="str">
        <f>+_xlfn.XLOOKUP(B155,'L4'!B:B,'L4'!C:C)</f>
        <v>KAZI - SANAT YAPISI ( KÖPRÜ HARIÇ )</v>
      </c>
      <c r="D155" t="s">
        <v>73</v>
      </c>
      <c r="E155" t="str">
        <f>+_xlfn.XLOOKUP(D155,'M2'!H:H,'M2'!I:I)</f>
        <v>PETSAN - GENEL</v>
      </c>
      <c r="F155" s="77" t="s">
        <v>4973</v>
      </c>
      <c r="G155" t="s">
        <v>4983</v>
      </c>
      <c r="H155" s="3" t="s">
        <v>4984</v>
      </c>
      <c r="I155" s="3" t="s">
        <v>5194</v>
      </c>
      <c r="J155" s="78"/>
      <c r="K155" s="78"/>
      <c r="M155" s="78"/>
      <c r="N155" s="8">
        <f>+SUMIFS(N$2:N$149,$CB$2:$CB$149,Table1[[#This Row],[BAĞLANTI]])</f>
        <v>0</v>
      </c>
      <c r="O155" s="8">
        <f>+SUMIFS(O$2:O$149,$CB$2:$CB$149,Table1[[#This Row],[BAĞLANTI]])</f>
        <v>0</v>
      </c>
      <c r="P155" s="8">
        <f>+SUMIFS(P$2:P$149,$CB$2:$CB$149,Table1[[#This Row],[BAĞLANTI]])</f>
        <v>0</v>
      </c>
      <c r="Q155" s="8">
        <f>+SUMIFS(Q$2:Q$149,$CB$2:$CB$149,Table1[[#This Row],[BAĞLANTI]])</f>
        <v>0</v>
      </c>
      <c r="R155" s="8">
        <f>+SUMIFS(R$2:R$149,$CB$2:$CB$149,Table1[[#This Row],[BAĞLANTI]])</f>
        <v>0</v>
      </c>
      <c r="S155" s="8">
        <f>+SUMIFS(S$2:S$149,$CB$2:$CB$149,Table1[[#This Row],[BAĞLANTI]])</f>
        <v>0</v>
      </c>
      <c r="T155" s="8">
        <f>+SUMIFS(T$2:T$149,$CB$2:$CB$149,Table1[[#This Row],[BAĞLANTI]])</f>
        <v>550.91</v>
      </c>
      <c r="U155" s="8">
        <f>+SUMIFS(U$2:U$149,$CB$2:$CB$149,Table1[[#This Row],[BAĞLANTI]])</f>
        <v>0.01</v>
      </c>
      <c r="V155" s="8">
        <f>+SUMIFS(V$2:V$149,$CB$2:$CB$149,Table1[[#This Row],[BAĞLANTI]])</f>
        <v>58.78</v>
      </c>
      <c r="W155" s="8">
        <f>+SUMIFS(W$2:W$149,$CB$2:$CB$149,Table1[[#This Row],[BAĞLANTI]])</f>
        <v>0</v>
      </c>
      <c r="X155" s="10">
        <f>+SUMIFS(X$2:X$149,$CB$2:$CB$149,Table1[[#This Row],[BAĞLANTI]])</f>
        <v>0</v>
      </c>
      <c r="Y155" s="8">
        <f>+SUMIFS(Y$2:Y$149,$CB$2:$CB$149,Table1[[#This Row],[BAĞLANTI]])</f>
        <v>9.1582887093603755</v>
      </c>
      <c r="Z155" s="8">
        <f>+SUMIFS(Z$2:Z$149,$CB$2:$CB$149,Table1[[#This Row],[BAĞLANTI]])</f>
        <v>6.2515303541591889</v>
      </c>
      <c r="AA155" s="8">
        <f>+SUMIFS(AA$2:AA$149,$CB$2:$CB$149,Table1[[#This Row],[BAĞLANTI]])</f>
        <v>9.7411750685361795</v>
      </c>
      <c r="AB155" s="8">
        <f>+SUMIFS(AB$2:AB$149,$CB$2:$CB$149,Table1[[#This Row],[BAĞLANTI]])</f>
        <v>6.8344167133349938</v>
      </c>
      <c r="AC155" s="8">
        <f>+SUMIFS(AC$2:AC$149,$CB$2:$CB$149,Table1[[#This Row],[BAĞLANTI]])</f>
        <v>8.7365734720489101</v>
      </c>
      <c r="AD155" s="8">
        <f>+SUMIFS(AD$2:AD$149,$CB$2:$CB$149,Table1[[#This Row],[BAĞLANTI]])</f>
        <v>18.827036919759063</v>
      </c>
      <c r="AE155" s="8">
        <f>+SUMIFS(AE$2:AE$149,$CB$2:$CB$149,Table1[[#This Row],[BAĞLANTI]])</f>
        <v>16.6294815625829</v>
      </c>
      <c r="AF155" s="8">
        <f>+SUMIFS(AF$2:AF$149,$CB$2:$CB$149,Table1[[#This Row],[BAĞLANTI]])</f>
        <v>18.170699869934072</v>
      </c>
      <c r="AG155" s="8">
        <f>+SUMIFS(AG$2:AG$149,$CB$2:$CB$149,Table1[[#This Row],[BAĞLANTI]])</f>
        <v>16.046595203407136</v>
      </c>
      <c r="AH155" s="8">
        <f>+SUMIFS(AH$2:AH$149,$CB$2:$CB$149,Table1[[#This Row],[BAĞLANTI]])</f>
        <v>16.046595203407136</v>
      </c>
      <c r="AI155" s="8">
        <f>+SUMIFS(AI$2:AI$149,$CB$2:$CB$149,Table1[[#This Row],[BAĞLANTI]])</f>
        <v>13.691439180003151</v>
      </c>
      <c r="AJ155" s="8">
        <f>+SUMIFS(AJ$2:AJ$149,$CB$2:$CB$149,Table1[[#This Row],[BAĞLANTI]])</f>
        <v>13.691439180003151</v>
      </c>
      <c r="AK155" s="8">
        <f>+SUMIFS(AK$2:AK$149,$CB$2:$CB$149,Table1[[#This Row],[BAĞLANTI]])</f>
        <v>12.92016182827812</v>
      </c>
      <c r="AL155" s="8">
        <f>+SUMIFS(AL$2:AL$149,$CB$2:$CB$149,Table1[[#This Row],[BAĞLANTI]])</f>
        <v>12.92016182827812</v>
      </c>
      <c r="AM155" s="8">
        <f>+SUMIFS(AM$2:AM$149,$CB$2:$CB$149,Table1[[#This Row],[BAĞLANTI]])</f>
        <v>12.206310495996394</v>
      </c>
      <c r="AN155" s="8">
        <f>+SUMIFS(AN$2:AN$149,$CB$2:$CB$149,Table1[[#This Row],[BAĞLANTI]])</f>
        <v>9.2995521407951678</v>
      </c>
      <c r="AO155" s="8">
        <f>+SUMIFS(AO$2:AO$149,$CB$2:$CB$149,Table1[[#This Row],[BAĞLANTI]])</f>
        <v>9.6790211213349071</v>
      </c>
      <c r="AP155" s="8">
        <f>+SUMIFS(AP$2:AP$149,$CB$2:$CB$149,Table1[[#This Row],[BAĞLANTI]])</f>
        <v>17.847693855141227</v>
      </c>
      <c r="AQ155" s="8">
        <f>+SUMIFS(AQ$2:AQ$149,$CB$2:$CB$149,Table1[[#This Row],[BAĞLANTI]])</f>
        <v>20.202849878545173</v>
      </c>
      <c r="AR155" s="8">
        <f>+SUMIFS(AR$2:AR$149,$CB$2:$CB$149,Table1[[#This Row],[BAĞLANTI]])</f>
        <v>20.202849878545173</v>
      </c>
      <c r="AS155" s="8">
        <f>+SUMIFS(AS$2:AS$149,$CB$2:$CB$149,Table1[[#This Row],[BAĞLANTI]])</f>
        <v>20.202849878545173</v>
      </c>
      <c r="AT155" s="8">
        <f>+SUMIFS(AT$2:AT$149,$CB$2:$CB$149,Table1[[#This Row],[BAĞLANTI]])</f>
        <v>17.847693855141227</v>
      </c>
      <c r="AU155" s="8">
        <f>+SUMIFS(AU$2:AU$149,$CB$2:$CB$149,Table1[[#This Row],[BAĞLANTI]])</f>
        <v>15.492537831737282</v>
      </c>
      <c r="AV155" s="8">
        <f>+SUMIFS(AV$2:AV$149,$CB$2:$CB$149,Table1[[#This Row],[BAĞLANTI]])</f>
        <v>15.492537831737282</v>
      </c>
      <c r="AW155" s="8">
        <f>+SUMIFS(AW$2:AW$149,$CB$2:$CB$149,Table1[[#This Row],[BAĞLANTI]])</f>
        <v>11.627033420804748</v>
      </c>
      <c r="AX155" s="8">
        <f>+SUMIFS(AX$2:AX$149,$CB$2:$CB$149,Table1[[#This Row],[BAĞLANTI]])</f>
        <v>14.4532206488895</v>
      </c>
      <c r="AY155" s="8">
        <f>+SUMIFS(AY$2:AY$149,$CB$2:$CB$149,Table1[[#This Row],[BAĞLANTI]])</f>
        <v>14.4532206488895</v>
      </c>
      <c r="AZ155" s="8">
        <f>+SUMIFS(AZ$2:AZ$149,$CB$2:$CB$149,Table1[[#This Row],[BAĞLANTI]])</f>
        <v>11.627033420804748</v>
      </c>
      <c r="BA155" s="8">
        <f>+SUMIFS(BA$2:BA$149,$CB$2:$CB$149,Table1[[#This Row],[BAĞLANTI]])</f>
        <v>0</v>
      </c>
      <c r="BB155" s="8">
        <f>+SUMIFS(BB$2:BB$149,$CB$2:$CB$149,Table1[[#This Row],[BAĞLANTI]])</f>
        <v>0</v>
      </c>
      <c r="BC155" s="8">
        <f>+SUMIFS(BC$2:BC$149,$CB$2:$CB$149,Table1[[#This Row],[BAĞLANTI]])</f>
        <v>0</v>
      </c>
      <c r="BD155" s="8">
        <f>+SUMIFS(BD$2:BD$149,$CB$2:$CB$149,Table1[[#This Row],[BAĞLANTI]])</f>
        <v>0</v>
      </c>
      <c r="BE155" s="8">
        <f>+SUMIFS(BE$2:BE$149,$CB$2:$CB$149,Table1[[#This Row],[BAĞLANTI]])</f>
        <v>0</v>
      </c>
      <c r="BF155" s="8">
        <f>+SUMIFS(BF$2:BF$149,$CB$2:$CB$149,Table1[[#This Row],[BAĞLANTI]])</f>
        <v>0</v>
      </c>
      <c r="BG155" s="8">
        <f>+SUMIFS(BG$2:BG$149,$CB$2:$CB$149,Table1[[#This Row],[BAĞLANTI]])</f>
        <v>0</v>
      </c>
      <c r="BH155" s="8">
        <f>+SUMIFS(BH$2:BH$149,$CB$2:$CB$149,Table1[[#This Row],[BAĞLANTI]])</f>
        <v>0</v>
      </c>
      <c r="BI155" s="8">
        <f>+SUMIFS(BI$2:BI$149,$CB$2:$CB$149,Table1[[#This Row],[BAĞLANTI]])</f>
        <v>0</v>
      </c>
      <c r="BJ155" s="8">
        <f>+SUMIFS(BJ$2:BJ$149,$CB$2:$CB$149,Table1[[#This Row],[BAĞLANTI]])</f>
        <v>0</v>
      </c>
      <c r="BK155" s="8">
        <f>+SUMIFS(BK$2:BK$149,$CB$2:$CB$149,Table1[[#This Row],[BAĞLANTI]])</f>
        <v>0</v>
      </c>
      <c r="BL155" s="8">
        <f>+SUMIFS(BL$2:BL$149,$CB$2:$CB$149,Table1[[#This Row],[BAĞLANTI]])</f>
        <v>0</v>
      </c>
      <c r="BM155" s="8">
        <f>+SUMIFS(BM$2:BM$149,$CB$2:$CB$149,Table1[[#This Row],[BAĞLANTI]])</f>
        <v>0</v>
      </c>
      <c r="BN155" s="8">
        <f>+SUMIFS(BN$2:BN$149,$CB$2:$CB$149,Table1[[#This Row],[BAĞLANTI]])</f>
        <v>0</v>
      </c>
      <c r="BO155" s="8">
        <f>+SUMIFS(BO$2:BO$149,$CB$2:$CB$149,Table1[[#This Row],[BAĞLANTI]])</f>
        <v>0</v>
      </c>
      <c r="BP155" s="8">
        <f>+SUMIFS(BP$2:BP$149,$CB$2:$CB$149,Table1[[#This Row],[BAĞLANTI]])</f>
        <v>0</v>
      </c>
      <c r="BQ155" s="8">
        <f>+SUMIFS(BQ$2:BQ$149,$CB$2:$CB$149,Table1[[#This Row],[BAĞLANTI]])</f>
        <v>0</v>
      </c>
      <c r="BR155" s="8">
        <f>+SUMIFS(BR$2:BR$149,$CB$2:$CB$149,Table1[[#This Row],[BAĞLANTI]])</f>
        <v>0</v>
      </c>
      <c r="BS155" s="8">
        <f>+SUMIFS(BS$2:BS$149,$CB$2:$CB$149,Table1[[#This Row],[BAĞLANTI]])</f>
        <v>0</v>
      </c>
      <c r="BT155" s="8">
        <f>+SUMIFS(BT$2:BT$149,$CB$2:$CB$149,Table1[[#This Row],[BAĞLANTI]])</f>
        <v>0</v>
      </c>
      <c r="BU155" s="8">
        <f>+SUMIFS(BU$2:BU$149,$CB$2:$CB$149,Table1[[#This Row],[BAĞLANTI]])</f>
        <v>0</v>
      </c>
      <c r="BV155" s="8">
        <f>+SUMIFS(BV$2:BV$149,$CB$2:$CB$149,Table1[[#This Row],[BAĞLANTI]])</f>
        <v>0</v>
      </c>
      <c r="BW155" s="8">
        <f>+SUMIFS(BW$2:BW$149,$CB$2:$CB$149,Table1[[#This Row],[BAĞLANTI]])</f>
        <v>0</v>
      </c>
      <c r="BX155" s="8">
        <f>+SUMIFS(BX$2:BX$149,$CB$2:$CB$149,Table1[[#This Row],[BAĞLANTI]])</f>
        <v>0</v>
      </c>
      <c r="BY155" s="8">
        <f>+SUMIFS(BY$2:BY$149,$CB$2:$CB$149,Table1[[#This Row],[BAĞLANTI]])</f>
        <v>0</v>
      </c>
      <c r="BZ155" s="8">
        <f>+SUMIFS(BZ$2:BZ$149,$CB$2:$CB$149,Table1[[#This Row],[BAĞLANTI]])</f>
        <v>0</v>
      </c>
      <c r="CA155" s="8">
        <f>+SUMIFS(CA$2:CA$149,$CB$2:$CB$149,Table1[[#This Row],[BAĞLANTI]])</f>
        <v>0</v>
      </c>
      <c r="CB155" s="8" t="s">
        <v>5358</v>
      </c>
    </row>
    <row r="156" spans="1:80">
      <c r="A156" s="3" t="s">
        <v>5444</v>
      </c>
      <c r="B156" t="s">
        <v>5</v>
      </c>
      <c r="C156" t="str">
        <f>+_xlfn.XLOOKUP(B156,'L4'!B:B,'L4'!C:C)</f>
        <v>KAZI - SANAT YAPISI ( KÖPRÜ HARIÇ )</v>
      </c>
      <c r="D156" t="s">
        <v>76</v>
      </c>
      <c r="E156" t="str">
        <f>+_xlfn.XLOOKUP(D156,'M2'!H:H,'M2'!I:I)</f>
        <v>RAYSAN - GENEL</v>
      </c>
      <c r="F156" s="77" t="s">
        <v>4973</v>
      </c>
      <c r="G156" t="s">
        <v>4983</v>
      </c>
      <c r="H156" s="3" t="s">
        <v>4984</v>
      </c>
      <c r="I156" s="3" t="s">
        <v>5194</v>
      </c>
      <c r="J156" s="78"/>
      <c r="K156" s="78"/>
      <c r="M156" s="78"/>
      <c r="N156" s="8">
        <f>+SUMIFS(N$2:N$149,$CB$2:$CB$149,Table1[[#This Row],[BAĞLANTI]])</f>
        <v>0</v>
      </c>
      <c r="O156" s="8">
        <f>+SUMIFS(O$2:O$149,$CB$2:$CB$149,Table1[[#This Row],[BAĞLANTI]])</f>
        <v>0</v>
      </c>
      <c r="P156" s="8">
        <f>+SUMIFS(P$2:P$149,$CB$2:$CB$149,Table1[[#This Row],[BAĞLANTI]])</f>
        <v>0</v>
      </c>
      <c r="Q156" s="8">
        <f>+SUMIFS(Q$2:Q$149,$CB$2:$CB$149,Table1[[#This Row],[BAĞLANTI]])</f>
        <v>0</v>
      </c>
      <c r="R156" s="8">
        <f>+SUMIFS(R$2:R$149,$CB$2:$CB$149,Table1[[#This Row],[BAĞLANTI]])</f>
        <v>0</v>
      </c>
      <c r="S156" s="8">
        <f>+SUMIFS(S$2:S$149,$CB$2:$CB$149,Table1[[#This Row],[BAĞLANTI]])</f>
        <v>0</v>
      </c>
      <c r="T156" s="8">
        <f>+SUMIFS(T$2:T$149,$CB$2:$CB$149,Table1[[#This Row],[BAĞLANTI]])</f>
        <v>392.86505100000005</v>
      </c>
      <c r="U156" s="8">
        <f>+SUMIFS(U$2:U$149,$CB$2:$CB$149,Table1[[#This Row],[BAĞLANTI]])</f>
        <v>0</v>
      </c>
      <c r="V156" s="8">
        <f>+SUMIFS(V$2:V$149,$CB$2:$CB$149,Table1[[#This Row],[BAĞLANTI]])</f>
        <v>201.14094899999992</v>
      </c>
      <c r="W156" s="8">
        <f>+SUMIFS(W$2:W$149,$CB$2:$CB$149,Table1[[#This Row],[BAĞLANTI]])</f>
        <v>0</v>
      </c>
      <c r="X156" s="10">
        <f>+SUMIFS(X$2:X$149,$CB$2:$CB$149,Table1[[#This Row],[BAĞLANTI]])</f>
        <v>0</v>
      </c>
      <c r="Y156" s="8">
        <f>+SUMIFS(Y$2:Y$149,$CB$2:$CB$149,Table1[[#This Row],[BAĞLANTI]])</f>
        <v>23.60538942322388</v>
      </c>
      <c r="Z156" s="8">
        <f>+SUMIFS(Z$2:Z$149,$CB$2:$CB$149,Table1[[#This Row],[BAĞLANTI]])</f>
        <v>16.113251414558079</v>
      </c>
      <c r="AA156" s="8">
        <f>+SUMIFS(AA$2:AA$149,$CB$2:$CB$149,Table1[[#This Row],[BAĞLANTI]])</f>
        <v>25.107772666915153</v>
      </c>
      <c r="AB156" s="8">
        <f>+SUMIFS(AB$2:AB$149,$CB$2:$CB$149,Table1[[#This Row],[BAĞLANTI]])</f>
        <v>17.615634658249352</v>
      </c>
      <c r="AC156" s="8">
        <f>+SUMIFS(AC$2:AC$149,$CB$2:$CB$149,Table1[[#This Row],[BAĞLANTI]])</f>
        <v>22.99665453445354</v>
      </c>
      <c r="AD156" s="8">
        <f>+SUMIFS(AD$2:AD$149,$CB$2:$CB$149,Table1[[#This Row],[BAĞLANTI]])</f>
        <v>49.004714195267603</v>
      </c>
      <c r="AE156" s="8">
        <f>+SUMIFS(AE$2:AE$149,$CB$2:$CB$149,Table1[[#This Row],[BAĞLANTI]])</f>
        <v>43.340539191457509</v>
      </c>
      <c r="AF156" s="8">
        <f>+SUMIFS(AF$2:AF$149,$CB$2:$CB$149,Table1[[#This Row],[BAĞLANTI]])</f>
        <v>37.270150186568372</v>
      </c>
      <c r="AG156" s="8">
        <f>+SUMIFS(AG$2:AG$149,$CB$2:$CB$149,Table1[[#This Row],[BAĞLANTI]])</f>
        <v>41.838155947766339</v>
      </c>
      <c r="AH156" s="8">
        <f>+SUMIFS(AH$2:AH$149,$CB$2:$CB$149,Table1[[#This Row],[BAĞLANTI]])</f>
        <v>41.838155947766339</v>
      </c>
      <c r="AI156" s="8">
        <f>+SUMIFS(AI$2:AI$149,$CB$2:$CB$149,Table1[[#This Row],[BAĞLANTI]])</f>
        <v>35.76776694287711</v>
      </c>
      <c r="AJ156" s="8">
        <f>+SUMIFS(AJ$2:AJ$149,$CB$2:$CB$149,Table1[[#This Row],[BAĞLANTI]])</f>
        <v>35.76776694287711</v>
      </c>
      <c r="AK156" s="8">
        <f>+SUMIFS(AK$2:AK$149,$CB$2:$CB$149,Table1[[#This Row],[BAĞLANTI]])</f>
        <v>33.779807967290971</v>
      </c>
      <c r="AL156" s="8">
        <f>+SUMIFS(AL$2:AL$149,$CB$2:$CB$149,Table1[[#This Row],[BAĞLANTI]])</f>
        <v>33.779807967290971</v>
      </c>
      <c r="AM156" s="8">
        <f>+SUMIFS(AM$2:AM$149,$CB$2:$CB$149,Table1[[#This Row],[BAĞLANTI]])</f>
        <v>31.939863931504593</v>
      </c>
      <c r="AN156" s="8">
        <f>+SUMIFS(AN$2:AN$149,$CB$2:$CB$149,Table1[[#This Row],[BAĞLANTI]])</f>
        <v>24.447725922838689</v>
      </c>
      <c r="AO156" s="8">
        <f>+SUMIFS(AO$2:AO$149,$CB$2:$CB$149,Table1[[#This Row],[BAĞLANTI]])</f>
        <v>25.425803088119483</v>
      </c>
      <c r="AP156" s="8">
        <f>+SUMIFS(AP$2:AP$149,$CB$2:$CB$149,Table1[[#This Row],[BAĞLANTI]])</f>
        <v>46.480468110340219</v>
      </c>
      <c r="AQ156" s="8">
        <f>+SUMIFS(AQ$2:AQ$149,$CB$2:$CB$149,Table1[[#This Row],[BAĞLANTI]])</f>
        <v>52.550857115229348</v>
      </c>
      <c r="AR156" s="8">
        <f>+SUMIFS(AR$2:AR$149,$CB$2:$CB$149,Table1[[#This Row],[BAĞLANTI]])</f>
        <v>52.550857115229348</v>
      </c>
      <c r="AS156" s="8">
        <f>+SUMIFS(AS$2:AS$149,$CB$2:$CB$149,Table1[[#This Row],[BAĞLANTI]])</f>
        <v>52.550857115229348</v>
      </c>
      <c r="AT156" s="8">
        <f>+SUMIFS(AT$2:AT$149,$CB$2:$CB$149,Table1[[#This Row],[BAĞLANTI]])</f>
        <v>46.480468110340219</v>
      </c>
      <c r="AU156" s="8">
        <f>+SUMIFS(AU$2:AU$149,$CB$2:$CB$149,Table1[[#This Row],[BAĞLANTI]])</f>
        <v>40.410079105451089</v>
      </c>
      <c r="AV156" s="8">
        <f>+SUMIFS(AV$2:AV$149,$CB$2:$CB$149,Table1[[#This Row],[BAĞLANTI]])</f>
        <v>40.410079105451089</v>
      </c>
      <c r="AW156" s="8">
        <f>+SUMIFS(AW$2:AW$149,$CB$2:$CB$149,Table1[[#This Row],[BAĞLANTI]])</f>
        <v>30.446783577980778</v>
      </c>
      <c r="AX156" s="8">
        <f>+SUMIFS(AX$2:AX$149,$CB$2:$CB$149,Table1[[#This Row],[BAĞLANTI]])</f>
        <v>37.25301884053021</v>
      </c>
      <c r="AY156" s="8">
        <f>+SUMIFS(AY$2:AY$149,$CB$2:$CB$149,Table1[[#This Row],[BAĞLANTI]])</f>
        <v>37.25301884053021</v>
      </c>
      <c r="AZ156" s="8">
        <f>+SUMIFS(AZ$2:AZ$149,$CB$2:$CB$149,Table1[[#This Row],[BAĞLANTI]])</f>
        <v>29.968552034663208</v>
      </c>
      <c r="BA156" s="8">
        <f>+SUMIFS(BA$2:BA$149,$CB$2:$CB$149,Table1[[#This Row],[BAĞLANTI]])</f>
        <v>0</v>
      </c>
      <c r="BB156" s="8">
        <f>+SUMIFS(BB$2:BB$149,$CB$2:$CB$149,Table1[[#This Row],[BAĞLANTI]])</f>
        <v>0</v>
      </c>
      <c r="BC156" s="8">
        <f>+SUMIFS(BC$2:BC$149,$CB$2:$CB$149,Table1[[#This Row],[BAĞLANTI]])</f>
        <v>0</v>
      </c>
      <c r="BD156" s="8">
        <f>+SUMIFS(BD$2:BD$149,$CB$2:$CB$149,Table1[[#This Row],[BAĞLANTI]])</f>
        <v>0</v>
      </c>
      <c r="BE156" s="8">
        <f>+SUMIFS(BE$2:BE$149,$CB$2:$CB$149,Table1[[#This Row],[BAĞLANTI]])</f>
        <v>0</v>
      </c>
      <c r="BF156" s="8">
        <f>+SUMIFS(BF$2:BF$149,$CB$2:$CB$149,Table1[[#This Row],[BAĞLANTI]])</f>
        <v>0</v>
      </c>
      <c r="BG156" s="8">
        <f>+SUMIFS(BG$2:BG$149,$CB$2:$CB$149,Table1[[#This Row],[BAĞLANTI]])</f>
        <v>0</v>
      </c>
      <c r="BH156" s="8">
        <f>+SUMIFS(BH$2:BH$149,$CB$2:$CB$149,Table1[[#This Row],[BAĞLANTI]])</f>
        <v>0</v>
      </c>
      <c r="BI156" s="8">
        <f>+SUMIFS(BI$2:BI$149,$CB$2:$CB$149,Table1[[#This Row],[BAĞLANTI]])</f>
        <v>0</v>
      </c>
      <c r="BJ156" s="8">
        <f>+SUMIFS(BJ$2:BJ$149,$CB$2:$CB$149,Table1[[#This Row],[BAĞLANTI]])</f>
        <v>0</v>
      </c>
      <c r="BK156" s="8">
        <f>+SUMIFS(BK$2:BK$149,$CB$2:$CB$149,Table1[[#This Row],[BAĞLANTI]])</f>
        <v>0</v>
      </c>
      <c r="BL156" s="8">
        <f>+SUMIFS(BL$2:BL$149,$CB$2:$CB$149,Table1[[#This Row],[BAĞLANTI]])</f>
        <v>0</v>
      </c>
      <c r="BM156" s="8">
        <f>+SUMIFS(BM$2:BM$149,$CB$2:$CB$149,Table1[[#This Row],[BAĞLANTI]])</f>
        <v>0</v>
      </c>
      <c r="BN156" s="8">
        <f>+SUMIFS(BN$2:BN$149,$CB$2:$CB$149,Table1[[#This Row],[BAĞLANTI]])</f>
        <v>0</v>
      </c>
      <c r="BO156" s="8">
        <f>+SUMIFS(BO$2:BO$149,$CB$2:$CB$149,Table1[[#This Row],[BAĞLANTI]])</f>
        <v>0</v>
      </c>
      <c r="BP156" s="8">
        <f>+SUMIFS(BP$2:BP$149,$CB$2:$CB$149,Table1[[#This Row],[BAĞLANTI]])</f>
        <v>0</v>
      </c>
      <c r="BQ156" s="8">
        <f>+SUMIFS(BQ$2:BQ$149,$CB$2:$CB$149,Table1[[#This Row],[BAĞLANTI]])</f>
        <v>0</v>
      </c>
      <c r="BR156" s="8">
        <f>+SUMIFS(BR$2:BR$149,$CB$2:$CB$149,Table1[[#This Row],[BAĞLANTI]])</f>
        <v>0</v>
      </c>
      <c r="BS156" s="8">
        <f>+SUMIFS(BS$2:BS$149,$CB$2:$CB$149,Table1[[#This Row],[BAĞLANTI]])</f>
        <v>0</v>
      </c>
      <c r="BT156" s="8">
        <f>+SUMIFS(BT$2:BT$149,$CB$2:$CB$149,Table1[[#This Row],[BAĞLANTI]])</f>
        <v>0</v>
      </c>
      <c r="BU156" s="8">
        <f>+SUMIFS(BU$2:BU$149,$CB$2:$CB$149,Table1[[#This Row],[BAĞLANTI]])</f>
        <v>0</v>
      </c>
      <c r="BV156" s="8">
        <f>+SUMIFS(BV$2:BV$149,$CB$2:$CB$149,Table1[[#This Row],[BAĞLANTI]])</f>
        <v>0</v>
      </c>
      <c r="BW156" s="8">
        <f>+SUMIFS(BW$2:BW$149,$CB$2:$CB$149,Table1[[#This Row],[BAĞLANTI]])</f>
        <v>0</v>
      </c>
      <c r="BX156" s="8">
        <f>+SUMIFS(BX$2:BX$149,$CB$2:$CB$149,Table1[[#This Row],[BAĞLANTI]])</f>
        <v>0</v>
      </c>
      <c r="BY156" s="8">
        <f>+SUMIFS(BY$2:BY$149,$CB$2:$CB$149,Table1[[#This Row],[BAĞLANTI]])</f>
        <v>0</v>
      </c>
      <c r="BZ156" s="8">
        <f>+SUMIFS(BZ$2:BZ$149,$CB$2:$CB$149,Table1[[#This Row],[BAĞLANTI]])</f>
        <v>0</v>
      </c>
      <c r="CA156" s="8">
        <f>+SUMIFS(CA$2:CA$149,$CB$2:$CB$149,Table1[[#This Row],[BAĞLANTI]])</f>
        <v>0</v>
      </c>
      <c r="CB156" s="8" t="s">
        <v>5359</v>
      </c>
    </row>
    <row r="157" spans="1:80">
      <c r="A157" s="3" t="s">
        <v>5444</v>
      </c>
      <c r="B157" t="s">
        <v>5</v>
      </c>
      <c r="C157" t="str">
        <f>+_xlfn.XLOOKUP(B157,'L4'!B:B,'L4'!C:C)</f>
        <v>KAZI - SANAT YAPISI ( KÖPRÜ HARIÇ )</v>
      </c>
      <c r="D157" t="s">
        <v>5181</v>
      </c>
      <c r="E157" t="str">
        <f>+_xlfn.XLOOKUP(D157,'M2'!H:H,'M2'!I:I)</f>
        <v>ÖZDOĞAN İNŞAAT - GENEL</v>
      </c>
      <c r="F157" s="77" t="s">
        <v>4973</v>
      </c>
      <c r="G157" t="s">
        <v>4983</v>
      </c>
      <c r="H157" s="3" t="s">
        <v>4984</v>
      </c>
      <c r="I157" s="3" t="s">
        <v>5194</v>
      </c>
      <c r="J157" s="78"/>
      <c r="K157" s="78"/>
      <c r="M157" s="78"/>
      <c r="N157" s="8">
        <f>+SUMIFS(N$2:N$149,$CB$2:$CB$149,Table1[[#This Row],[BAĞLANTI]])</f>
        <v>0</v>
      </c>
      <c r="O157" s="8">
        <f>+SUMIFS(O$2:O$149,$CB$2:$CB$149,Table1[[#This Row],[BAĞLANTI]])</f>
        <v>0</v>
      </c>
      <c r="P157" s="8">
        <f>+SUMIFS(P$2:P$149,$CB$2:$CB$149,Table1[[#This Row],[BAĞLANTI]])</f>
        <v>891.54</v>
      </c>
      <c r="Q157" s="8">
        <f>+SUMIFS(Q$2:Q$149,$CB$2:$CB$149,Table1[[#This Row],[BAĞLANTI]])</f>
        <v>1631.98</v>
      </c>
      <c r="R157" s="8">
        <f>+SUMIFS(R$2:R$149,$CB$2:$CB$149,Table1[[#This Row],[BAĞLANTI]])</f>
        <v>463.30000000000018</v>
      </c>
      <c r="S157" s="8">
        <f>+SUMIFS(S$2:S$149,$CB$2:$CB$149,Table1[[#This Row],[BAĞLANTI]])</f>
        <v>0</v>
      </c>
      <c r="T157" s="8">
        <f>+SUMIFS(T$2:T$149,$CB$2:$CB$149,Table1[[#This Row],[BAĞLANTI]])</f>
        <v>-759.23564699999997</v>
      </c>
      <c r="U157" s="8">
        <f>+SUMIFS(U$2:U$149,$CB$2:$CB$149,Table1[[#This Row],[BAĞLANTI]])</f>
        <v>-3.5300000035931589E-4</v>
      </c>
      <c r="V157" s="8">
        <f>+SUMIFS(V$2:V$149,$CB$2:$CB$149,Table1[[#This Row],[BAĞLANTI]])</f>
        <v>1076.3120000000004</v>
      </c>
      <c r="W157" s="8">
        <f>+SUMIFS(W$2:W$149,$CB$2:$CB$149,Table1[[#This Row],[BAĞLANTI]])</f>
        <v>0</v>
      </c>
      <c r="X157" s="10">
        <f>+SUMIFS(X$2:X$149,$CB$2:$CB$149,Table1[[#This Row],[BAĞLANTI]])</f>
        <v>0</v>
      </c>
      <c r="Y157" s="8">
        <f>+SUMIFS(Y$2:Y$149,$CB$2:$CB$149,Table1[[#This Row],[BAĞLANTI]])</f>
        <v>4.6015297183202799</v>
      </c>
      <c r="Z157" s="8">
        <f>+SUMIFS(Z$2:Z$149,$CB$2:$CB$149,Table1[[#This Row],[BAĞLANTI]])</f>
        <v>3.1410456279068213</v>
      </c>
      <c r="AA157" s="8">
        <f>+SUMIFS(AA$2:AA$149,$CB$2:$CB$149,Table1[[#This Row],[BAĞLANTI]])</f>
        <v>4.8943976316685038</v>
      </c>
      <c r="AB157" s="8">
        <f>+SUMIFS(AB$2:AB$149,$CB$2:$CB$149,Table1[[#This Row],[BAĞLANTI]])</f>
        <v>3.4339135412550452</v>
      </c>
      <c r="AC157" s="8">
        <f>+SUMIFS(AC$2:AC$149,$CB$2:$CB$149,Table1[[#This Row],[BAĞLANTI]])</f>
        <v>4.3896413122282283</v>
      </c>
      <c r="AD157" s="8">
        <f>+SUMIFS(AD$2:AD$149,$CB$2:$CB$149,Table1[[#This Row],[BAĞLANTI]])</f>
        <v>9.4595368898601784</v>
      </c>
      <c r="AE157" s="8">
        <f>+SUMIFS(AE$2:AE$149,$CB$2:$CB$149,Table1[[#This Row],[BAĞLANTI]])</f>
        <v>8.3553877846496363</v>
      </c>
      <c r="AF157" s="8">
        <f>+SUMIFS(AF$2:AF$149,$CB$2:$CB$149,Table1[[#This Row],[BAĞLANTI]])</f>
        <v>7.1720531271717807</v>
      </c>
      <c r="AG157" s="8">
        <f>+SUMIFS(AG$2:AG$149,$CB$2:$CB$149,Table1[[#This Row],[BAĞLANTI]])</f>
        <v>8.0625198713014328</v>
      </c>
      <c r="AH157" s="8">
        <f>+SUMIFS(AH$2:AH$149,$CB$2:$CB$149,Table1[[#This Row],[BAĞLANTI]])</f>
        <v>8.0625198713014328</v>
      </c>
      <c r="AI157" s="8">
        <f>+SUMIFS(AI$2:AI$149,$CB$2:$CB$149,Table1[[#This Row],[BAĞLANTI]])</f>
        <v>6.8791852138235585</v>
      </c>
      <c r="AJ157" s="8">
        <f>+SUMIFS(AJ$2:AJ$149,$CB$2:$CB$149,Table1[[#This Row],[BAĞLANTI]])</f>
        <v>6.8791852138235585</v>
      </c>
      <c r="AK157" s="8">
        <f>+SUMIFS(AK$2:AK$149,$CB$2:$CB$149,Table1[[#This Row],[BAĞLANTI]])</f>
        <v>8.4493722954933439</v>
      </c>
      <c r="AL157" s="8">
        <f>+SUMIFS(AL$2:AL$149,$CB$2:$CB$149,Table1[[#This Row],[BAĞLANTI]])</f>
        <v>6.4916613250644373</v>
      </c>
      <c r="AM157" s="8">
        <f>+SUMIFS(AM$2:AM$149,$CB$2:$CB$149,Table1[[#This Row],[BAĞLANTI]])</f>
        <v>6.1329908109322933</v>
      </c>
      <c r="AN157" s="8">
        <f>+SUMIFS(AN$2:AN$149,$CB$2:$CB$149,Table1[[#This Row],[BAĞLANTI]])</f>
        <v>4.6725067205188155</v>
      </c>
      <c r="AO157" s="8">
        <f>+SUMIFS(AO$2:AO$149,$CB$2:$CB$149,Table1[[#This Row],[BAĞLANTI]])</f>
        <v>4.8631687368133703</v>
      </c>
      <c r="AP157" s="8">
        <f>+SUMIFS(AP$2:AP$149,$CB$2:$CB$149,Table1[[#This Row],[BAĞLANTI]])</f>
        <v>8.9674715751181431</v>
      </c>
      <c r="AQ157" s="8">
        <f>+SUMIFS(AQ$2:AQ$149,$CB$2:$CB$149,Table1[[#This Row],[BAĞLANTI]])</f>
        <v>10.150806232595997</v>
      </c>
      <c r="AR157" s="8">
        <f>+SUMIFS(AR$2:AR$149,$CB$2:$CB$149,Table1[[#This Row],[BAĞLANTI]])</f>
        <v>10.150806232595997</v>
      </c>
      <c r="AS157" s="8">
        <f>+SUMIFS(AS$2:AS$149,$CB$2:$CB$149,Table1[[#This Row],[BAĞLANTI]])</f>
        <v>10.150806232595997</v>
      </c>
      <c r="AT157" s="8">
        <f>+SUMIFS(AT$2:AT$149,$CB$2:$CB$149,Table1[[#This Row],[BAĞLANTI]])</f>
        <v>8.9674715751181431</v>
      </c>
      <c r="AU157" s="8">
        <f>+SUMIFS(AU$2:AU$149,$CB$2:$CB$149,Table1[[#This Row],[BAĞLANTI]])</f>
        <v>7.7841369176402884</v>
      </c>
      <c r="AV157" s="8">
        <f>+SUMIFS(AV$2:AV$149,$CB$2:$CB$149,Table1[[#This Row],[BAĞLANTI]])</f>
        <v>7.7841369176402884</v>
      </c>
      <c r="AW157" s="8">
        <f>+SUMIFS(AW$2:AW$149,$CB$2:$CB$149,Table1[[#This Row],[BAĞLANTI]])</f>
        <v>5.8419363616538345</v>
      </c>
      <c r="AX157" s="8">
        <f>+SUMIFS(AX$2:AX$149,$CB$2:$CB$149,Table1[[#This Row],[BAĞLANTI]])</f>
        <v>7.2619379506272699</v>
      </c>
      <c r="AY157" s="8">
        <f>+SUMIFS(AY$2:AY$149,$CB$2:$CB$149,Table1[[#This Row],[BAĞLANTI]])</f>
        <v>7.2619379506272699</v>
      </c>
      <c r="AZ157" s="8">
        <f>+SUMIFS(AZ$2:AZ$149,$CB$2:$CB$149,Table1[[#This Row],[BAĞLANTI]])</f>
        <v>5.8419363616538345</v>
      </c>
      <c r="BA157" s="8">
        <f>+SUMIFS(BA$2:BA$149,$CB$2:$CB$149,Table1[[#This Row],[BAĞLANTI]])</f>
        <v>0</v>
      </c>
      <c r="BB157" s="8">
        <f>+SUMIFS(BB$2:BB$149,$CB$2:$CB$149,Table1[[#This Row],[BAĞLANTI]])</f>
        <v>0</v>
      </c>
      <c r="BC157" s="8">
        <f>+SUMIFS(BC$2:BC$149,$CB$2:$CB$149,Table1[[#This Row],[BAĞLANTI]])</f>
        <v>0</v>
      </c>
      <c r="BD157" s="8">
        <f>+SUMIFS(BD$2:BD$149,$CB$2:$CB$149,Table1[[#This Row],[BAĞLANTI]])</f>
        <v>0</v>
      </c>
      <c r="BE157" s="8">
        <f>+SUMIFS(BE$2:BE$149,$CB$2:$CB$149,Table1[[#This Row],[BAĞLANTI]])</f>
        <v>0</v>
      </c>
      <c r="BF157" s="8">
        <f>+SUMIFS(BF$2:BF$149,$CB$2:$CB$149,Table1[[#This Row],[BAĞLANTI]])</f>
        <v>0</v>
      </c>
      <c r="BG157" s="8">
        <f>+SUMIFS(BG$2:BG$149,$CB$2:$CB$149,Table1[[#This Row],[BAĞLANTI]])</f>
        <v>0</v>
      </c>
      <c r="BH157" s="8">
        <f>+SUMIFS(BH$2:BH$149,$CB$2:$CB$149,Table1[[#This Row],[BAĞLANTI]])</f>
        <v>0</v>
      </c>
      <c r="BI157" s="8">
        <f>+SUMIFS(BI$2:BI$149,$CB$2:$CB$149,Table1[[#This Row],[BAĞLANTI]])</f>
        <v>0</v>
      </c>
      <c r="BJ157" s="8">
        <f>+SUMIFS(BJ$2:BJ$149,$CB$2:$CB$149,Table1[[#This Row],[BAĞLANTI]])</f>
        <v>0</v>
      </c>
      <c r="BK157" s="8">
        <f>+SUMIFS(BK$2:BK$149,$CB$2:$CB$149,Table1[[#This Row],[BAĞLANTI]])</f>
        <v>0</v>
      </c>
      <c r="BL157" s="8">
        <f>+SUMIFS(BL$2:BL$149,$CB$2:$CB$149,Table1[[#This Row],[BAĞLANTI]])</f>
        <v>0</v>
      </c>
      <c r="BM157" s="8">
        <f>+SUMIFS(BM$2:BM$149,$CB$2:$CB$149,Table1[[#This Row],[BAĞLANTI]])</f>
        <v>0</v>
      </c>
      <c r="BN157" s="8">
        <f>+SUMIFS(BN$2:BN$149,$CB$2:$CB$149,Table1[[#This Row],[BAĞLANTI]])</f>
        <v>0</v>
      </c>
      <c r="BO157" s="8">
        <f>+SUMIFS(BO$2:BO$149,$CB$2:$CB$149,Table1[[#This Row],[BAĞLANTI]])</f>
        <v>0</v>
      </c>
      <c r="BP157" s="8">
        <f>+SUMIFS(BP$2:BP$149,$CB$2:$CB$149,Table1[[#This Row],[BAĞLANTI]])</f>
        <v>0</v>
      </c>
      <c r="BQ157" s="8">
        <f>+SUMIFS(BQ$2:BQ$149,$CB$2:$CB$149,Table1[[#This Row],[BAĞLANTI]])</f>
        <v>0</v>
      </c>
      <c r="BR157" s="8">
        <f>+SUMIFS(BR$2:BR$149,$CB$2:$CB$149,Table1[[#This Row],[BAĞLANTI]])</f>
        <v>0</v>
      </c>
      <c r="BS157" s="8">
        <f>+SUMIFS(BS$2:BS$149,$CB$2:$CB$149,Table1[[#This Row],[BAĞLANTI]])</f>
        <v>0</v>
      </c>
      <c r="BT157" s="8">
        <f>+SUMIFS(BT$2:BT$149,$CB$2:$CB$149,Table1[[#This Row],[BAĞLANTI]])</f>
        <v>0</v>
      </c>
      <c r="BU157" s="8">
        <f>+SUMIFS(BU$2:BU$149,$CB$2:$CB$149,Table1[[#This Row],[BAĞLANTI]])</f>
        <v>0</v>
      </c>
      <c r="BV157" s="8">
        <f>+SUMIFS(BV$2:BV$149,$CB$2:$CB$149,Table1[[#This Row],[BAĞLANTI]])</f>
        <v>0</v>
      </c>
      <c r="BW157" s="8">
        <f>+SUMIFS(BW$2:BW$149,$CB$2:$CB$149,Table1[[#This Row],[BAĞLANTI]])</f>
        <v>0</v>
      </c>
      <c r="BX157" s="8">
        <f>+SUMIFS(BX$2:BX$149,$CB$2:$CB$149,Table1[[#This Row],[BAĞLANTI]])</f>
        <v>0</v>
      </c>
      <c r="BY157" s="8">
        <f>+SUMIFS(BY$2:BY$149,$CB$2:$CB$149,Table1[[#This Row],[BAĞLANTI]])</f>
        <v>0</v>
      </c>
      <c r="BZ157" s="8">
        <f>+SUMIFS(BZ$2:BZ$149,$CB$2:$CB$149,Table1[[#This Row],[BAĞLANTI]])</f>
        <v>0</v>
      </c>
      <c r="CA157" s="8">
        <f>+SUMIFS(CA$2:CA$149,$CB$2:$CB$149,Table1[[#This Row],[BAĞLANTI]])</f>
        <v>0</v>
      </c>
      <c r="CB157" s="8" t="s">
        <v>5360</v>
      </c>
    </row>
    <row r="158" spans="1:80">
      <c r="A158" s="3" t="s">
        <v>5444</v>
      </c>
      <c r="B158" t="s">
        <v>6</v>
      </c>
      <c r="C158" t="s">
        <v>152</v>
      </c>
      <c r="D158" t="s">
        <v>71</v>
      </c>
      <c r="E158" t="s">
        <v>4974</v>
      </c>
      <c r="F158" s="77" t="s">
        <v>4973</v>
      </c>
      <c r="G158" t="s">
        <v>4983</v>
      </c>
      <c r="H158" s="3" t="s">
        <v>4984</v>
      </c>
      <c r="I158" s="3" t="s">
        <v>5194</v>
      </c>
      <c r="J158" s="78"/>
      <c r="K158" s="78"/>
      <c r="M158" s="78"/>
      <c r="N158" s="8">
        <f>+SUMIFS(N$2:N$149,$CB$2:$CB$149,Table1[[#This Row],[BAĞLANTI]])</f>
        <v>0</v>
      </c>
      <c r="O158" s="8">
        <f>+SUMIFS(O$2:O$149,$CB$2:$CB$149,Table1[[#This Row],[BAĞLANTI]])</f>
        <v>0</v>
      </c>
      <c r="P158" s="8">
        <f>+SUMIFS(P$2:P$149,$CB$2:$CB$149,Table1[[#This Row],[BAĞLANTI]])</f>
        <v>0</v>
      </c>
      <c r="Q158" s="8">
        <f>+SUMIFS(Q$2:Q$149,$CB$2:$CB$149,Table1[[#This Row],[BAĞLANTI]])</f>
        <v>0</v>
      </c>
      <c r="R158" s="8">
        <f>+SUMIFS(R$2:R$149,$CB$2:$CB$149,Table1[[#This Row],[BAĞLANTI]])</f>
        <v>0</v>
      </c>
      <c r="S158" s="8">
        <f>+SUMIFS(S$2:S$149,$CB$2:$CB$149,Table1[[#This Row],[BAĞLANTI]])</f>
        <v>0</v>
      </c>
      <c r="T158" s="8">
        <f>+SUMIFS(T$2:T$149,$CB$2:$CB$149,Table1[[#This Row],[BAĞLANTI]])</f>
        <v>0</v>
      </c>
      <c r="U158" s="8">
        <f>+SUMIFS(U$2:U$149,$CB$2:$CB$149,Table1[[#This Row],[BAĞLANTI]])</f>
        <v>0</v>
      </c>
      <c r="V158" s="8">
        <f>+SUMIFS(V$2:V$149,$CB$2:$CB$149,Table1[[#This Row],[BAĞLANTI]])</f>
        <v>0</v>
      </c>
      <c r="W158" s="8">
        <f>+SUMIFS(W$2:W$149,$CB$2:$CB$149,Table1[[#This Row],[BAĞLANTI]])</f>
        <v>0</v>
      </c>
      <c r="X158" s="10">
        <f>+SUMIFS(X$2:X$149,$CB$2:$CB$149,Table1[[#This Row],[BAĞLANTI]])</f>
        <v>0</v>
      </c>
      <c r="Y158" s="8">
        <f>+SUMIFS(Y$2:Y$149,$CB$2:$CB$149,Table1[[#This Row],[BAĞLANTI]])</f>
        <v>33.754262090849188</v>
      </c>
      <c r="Z158" s="8">
        <f>+SUMIFS(Z$2:Z$149,$CB$2:$CB$149,Table1[[#This Row],[BAĞLANTI]])</f>
        <v>61.676540127458431</v>
      </c>
      <c r="AA158" s="8">
        <f>+SUMIFS(AA$2:AA$149,$CB$2:$CB$149,Table1[[#This Row],[BAĞLANTI]])</f>
        <v>71.263385141857711</v>
      </c>
      <c r="AB158" s="8">
        <f>+SUMIFS(AB$2:AB$149,$CB$2:$CB$149,Table1[[#This Row],[BAĞLANTI]])</f>
        <v>65.557257262821864</v>
      </c>
      <c r="AC158" s="8">
        <f>+SUMIFS(AC$2:AC$149,$CB$2:$CB$149,Table1[[#This Row],[BAĞLANTI]])</f>
        <v>91.827492548967015</v>
      </c>
      <c r="AD158" s="8">
        <f>+SUMIFS(AD$2:AD$149,$CB$2:$CB$149,Table1[[#This Row],[BAĞLANTI]])</f>
        <v>136.83671977447659</v>
      </c>
      <c r="AE158" s="8">
        <f>+SUMIFS(AE$2:AE$149,$CB$2:$CB$149,Table1[[#This Row],[BAĞLANTI]])</f>
        <v>88.577519028493441</v>
      </c>
      <c r="AF158" s="8">
        <f>+SUMIFS(AF$2:AF$149,$CB$2:$CB$149,Table1[[#This Row],[BAĞLANTI]])</f>
        <v>86.470507632684644</v>
      </c>
      <c r="AG158" s="8">
        <f>+SUMIFS(AG$2:AG$149,$CB$2:$CB$149,Table1[[#This Row],[BAĞLANTI]])</f>
        <v>116.82692923886353</v>
      </c>
      <c r="AH158" s="8">
        <f>+SUMIFS(AH$2:AH$149,$CB$2:$CB$149,Table1[[#This Row],[BAĞLANTI]])</f>
        <v>150.08442947392086</v>
      </c>
      <c r="AI158" s="8">
        <f>+SUMIFS(AI$2:AI$149,$CB$2:$CB$149,Table1[[#This Row],[BAĞLANTI]])</f>
        <v>147.97741807811209</v>
      </c>
      <c r="AJ158" s="8">
        <f>+SUMIFS(AJ$2:AJ$149,$CB$2:$CB$149,Table1[[#This Row],[BAĞLANTI]])</f>
        <v>147.97741807811209</v>
      </c>
      <c r="AK158" s="8">
        <f>+SUMIFS(AK$2:AK$149,$CB$2:$CB$149,Table1[[#This Row],[BAĞLANTI]])</f>
        <v>130.17053258936372</v>
      </c>
      <c r="AL158" s="8">
        <f>+SUMIFS(AL$2:AL$149,$CB$2:$CB$149,Table1[[#This Row],[BAĞLANTI]])</f>
        <v>97.829022826881896</v>
      </c>
      <c r="AM158" s="8">
        <f>+SUMIFS(AM$2:AM$149,$CB$2:$CB$149,Table1[[#This Row],[BAĞLANTI]])</f>
        <v>73.629190070265608</v>
      </c>
      <c r="AN158" s="8">
        <f>+SUMIFS(AN$2:AN$149,$CB$2:$CB$149,Table1[[#This Row],[BAĞLANTI]])</f>
        <v>65.104629967919806</v>
      </c>
      <c r="AO158" s="8">
        <f>+SUMIFS(AO$2:AO$149,$CB$2:$CB$149,Table1[[#This Row],[BAĞLANTI]])</f>
        <v>67.614489915591378</v>
      </c>
      <c r="AP158" s="8">
        <f>+SUMIFS(AP$2:AP$149,$CB$2:$CB$149,Table1[[#This Row],[BAĞLANTI]])</f>
        <v>81.133757069472097</v>
      </c>
      <c r="AQ158" s="8">
        <f>+SUMIFS(AQ$2:AQ$149,$CB$2:$CB$149,Table1[[#This Row],[BAĞLANTI]])</f>
        <v>83.240768465280908</v>
      </c>
      <c r="AR158" s="8">
        <f>+SUMIFS(AR$2:AR$149,$CB$2:$CB$149,Table1[[#This Row],[BAĞLANTI]])</f>
        <v>83.240768465280908</v>
      </c>
      <c r="AS158" s="8">
        <f>+SUMIFS(AS$2:AS$149,$CB$2:$CB$149,Table1[[#This Row],[BAĞLANTI]])</f>
        <v>83.240768465280908</v>
      </c>
      <c r="AT158" s="8">
        <f>+SUMIFS(AT$2:AT$149,$CB$2:$CB$149,Table1[[#This Row],[BAĞLANTI]])</f>
        <v>107.0748798854768</v>
      </c>
      <c r="AU158" s="8">
        <f>+SUMIFS(AU$2:AU$149,$CB$2:$CB$149,Table1[[#This Row],[BAĞLANTI]])</f>
        <v>79.026745673663058</v>
      </c>
      <c r="AV158" s="8">
        <f>+SUMIFS(AV$2:AV$149,$CB$2:$CB$149,Table1[[#This Row],[BAĞLANTI]])</f>
        <v>79.026745673663058</v>
      </c>
      <c r="AW158" s="8">
        <f>+SUMIFS(AW$2:AW$149,$CB$2:$CB$149,Table1[[#This Row],[BAĞLANTI]])</f>
        <v>22.824511516143605</v>
      </c>
      <c r="AX158" s="8">
        <f>+SUMIFS(AX$2:AX$149,$CB$2:$CB$149,Table1[[#This Row],[BAĞLANTI]])</f>
        <v>25.344399711477937</v>
      </c>
      <c r="AY158" s="8">
        <f>+SUMIFS(AY$2:AY$149,$CB$2:$CB$149,Table1[[#This Row],[BAĞLANTI]])</f>
        <v>25.344399711477937</v>
      </c>
      <c r="AZ158" s="8">
        <f>+SUMIFS(AZ$2:AZ$149,$CB$2:$CB$149,Table1[[#This Row],[BAĞLANTI]])</f>
        <v>22.824511516143605</v>
      </c>
      <c r="BA158" s="8">
        <f>+SUMIFS(BA$2:BA$149,$CB$2:$CB$149,Table1[[#This Row],[BAĞLANTI]])</f>
        <v>0</v>
      </c>
      <c r="BB158" s="8">
        <f>+SUMIFS(BB$2:BB$149,$CB$2:$CB$149,Table1[[#This Row],[BAĞLANTI]])</f>
        <v>0</v>
      </c>
      <c r="BC158" s="8">
        <f>+SUMIFS(BC$2:BC$149,$CB$2:$CB$149,Table1[[#This Row],[BAĞLANTI]])</f>
        <v>0</v>
      </c>
      <c r="BD158" s="8">
        <f>+SUMIFS(BD$2:BD$149,$CB$2:$CB$149,Table1[[#This Row],[BAĞLANTI]])</f>
        <v>0</v>
      </c>
      <c r="BE158" s="8">
        <f>+SUMIFS(BE$2:BE$149,$CB$2:$CB$149,Table1[[#This Row],[BAĞLANTI]])</f>
        <v>0</v>
      </c>
      <c r="BF158" s="8">
        <f>+SUMIFS(BF$2:BF$149,$CB$2:$CB$149,Table1[[#This Row],[BAĞLANTI]])</f>
        <v>0</v>
      </c>
      <c r="BG158" s="8">
        <f>+SUMIFS(BG$2:BG$149,$CB$2:$CB$149,Table1[[#This Row],[BAĞLANTI]])</f>
        <v>0</v>
      </c>
      <c r="BH158" s="8">
        <f>+SUMIFS(BH$2:BH$149,$CB$2:$CB$149,Table1[[#This Row],[BAĞLANTI]])</f>
        <v>0</v>
      </c>
      <c r="BI158" s="8">
        <f>+SUMIFS(BI$2:BI$149,$CB$2:$CB$149,Table1[[#This Row],[BAĞLANTI]])</f>
        <v>0</v>
      </c>
      <c r="BJ158" s="8">
        <f>+SUMIFS(BJ$2:BJ$149,$CB$2:$CB$149,Table1[[#This Row],[BAĞLANTI]])</f>
        <v>0</v>
      </c>
      <c r="BK158" s="8">
        <f>+SUMIFS(BK$2:BK$149,$CB$2:$CB$149,Table1[[#This Row],[BAĞLANTI]])</f>
        <v>0</v>
      </c>
      <c r="BL158" s="8">
        <f>+SUMIFS(BL$2:BL$149,$CB$2:$CB$149,Table1[[#This Row],[BAĞLANTI]])</f>
        <v>0</v>
      </c>
      <c r="BM158" s="8">
        <f>+SUMIFS(BM$2:BM$149,$CB$2:$CB$149,Table1[[#This Row],[BAĞLANTI]])</f>
        <v>0</v>
      </c>
      <c r="BN158" s="8">
        <f>+SUMIFS(BN$2:BN$149,$CB$2:$CB$149,Table1[[#This Row],[BAĞLANTI]])</f>
        <v>0</v>
      </c>
      <c r="BO158" s="8">
        <f>+SUMIFS(BO$2:BO$149,$CB$2:$CB$149,Table1[[#This Row],[BAĞLANTI]])</f>
        <v>0</v>
      </c>
      <c r="BP158" s="8">
        <f>+SUMIFS(BP$2:BP$149,$CB$2:$CB$149,Table1[[#This Row],[BAĞLANTI]])</f>
        <v>0</v>
      </c>
      <c r="BQ158" s="8">
        <f>+SUMIFS(BQ$2:BQ$149,$CB$2:$CB$149,Table1[[#This Row],[BAĞLANTI]])</f>
        <v>0</v>
      </c>
      <c r="BR158" s="8">
        <f>+SUMIFS(BR$2:BR$149,$CB$2:$CB$149,Table1[[#This Row],[BAĞLANTI]])</f>
        <v>0</v>
      </c>
      <c r="BS158" s="8">
        <f>+SUMIFS(BS$2:BS$149,$CB$2:$CB$149,Table1[[#This Row],[BAĞLANTI]])</f>
        <v>0</v>
      </c>
      <c r="BT158" s="8">
        <f>+SUMIFS(BT$2:BT$149,$CB$2:$CB$149,Table1[[#This Row],[BAĞLANTI]])</f>
        <v>0</v>
      </c>
      <c r="BU158" s="8">
        <f>+SUMIFS(BU$2:BU$149,$CB$2:$CB$149,Table1[[#This Row],[BAĞLANTI]])</f>
        <v>0</v>
      </c>
      <c r="BV158" s="8">
        <f>+SUMIFS(BV$2:BV$149,$CB$2:$CB$149,Table1[[#This Row],[BAĞLANTI]])</f>
        <v>0</v>
      </c>
      <c r="BW158" s="8">
        <f>+SUMIFS(BW$2:BW$149,$CB$2:$CB$149,Table1[[#This Row],[BAĞLANTI]])</f>
        <v>0</v>
      </c>
      <c r="BX158" s="8">
        <f>+SUMIFS(BX$2:BX$149,$CB$2:$CB$149,Table1[[#This Row],[BAĞLANTI]])</f>
        <v>0</v>
      </c>
      <c r="BY158" s="8">
        <f>+SUMIFS(BY$2:BY$149,$CB$2:$CB$149,Table1[[#This Row],[BAĞLANTI]])</f>
        <v>0</v>
      </c>
      <c r="BZ158" s="8">
        <f>+SUMIFS(BZ$2:BZ$149,$CB$2:$CB$149,Table1[[#This Row],[BAĞLANTI]])</f>
        <v>0</v>
      </c>
      <c r="CA158" s="8">
        <f>+SUMIFS(CA$2:CA$149,$CB$2:$CB$149,Table1[[#This Row],[BAĞLANTI]])</f>
        <v>0</v>
      </c>
      <c r="CB158" s="8" t="s">
        <v>5322</v>
      </c>
    </row>
    <row r="159" spans="1:80">
      <c r="A159" s="3" t="s">
        <v>5444</v>
      </c>
      <c r="B159" t="s">
        <v>6</v>
      </c>
      <c r="C159" t="s">
        <v>152</v>
      </c>
      <c r="D159" t="s">
        <v>73</v>
      </c>
      <c r="E159" t="s">
        <v>4975</v>
      </c>
      <c r="F159" s="77" t="s">
        <v>4973</v>
      </c>
      <c r="G159" t="s">
        <v>4983</v>
      </c>
      <c r="H159" s="3" t="s">
        <v>4984</v>
      </c>
      <c r="I159" s="3" t="s">
        <v>5194</v>
      </c>
      <c r="J159" s="78"/>
      <c r="K159" s="78"/>
      <c r="M159" s="78"/>
      <c r="N159" s="8">
        <f>+SUMIFS(N$2:N$149,$CB$2:$CB$149,Table1[[#This Row],[BAĞLANTI]])</f>
        <v>0</v>
      </c>
      <c r="O159" s="8">
        <f>+SUMIFS(O$2:O$149,$CB$2:$CB$149,Table1[[#This Row],[BAĞLANTI]])</f>
        <v>0</v>
      </c>
      <c r="P159" s="8">
        <f>+SUMIFS(P$2:P$149,$CB$2:$CB$149,Table1[[#This Row],[BAĞLANTI]])</f>
        <v>0</v>
      </c>
      <c r="Q159" s="8">
        <f>+SUMIFS(Q$2:Q$149,$CB$2:$CB$149,Table1[[#This Row],[BAĞLANTI]])</f>
        <v>0</v>
      </c>
      <c r="R159" s="8">
        <f>+SUMIFS(R$2:R$149,$CB$2:$CB$149,Table1[[#This Row],[BAĞLANTI]])</f>
        <v>0</v>
      </c>
      <c r="S159" s="8">
        <f>+SUMIFS(S$2:S$149,$CB$2:$CB$149,Table1[[#This Row],[BAĞLANTI]])</f>
        <v>0</v>
      </c>
      <c r="T159" s="8">
        <f>+SUMIFS(T$2:T$149,$CB$2:$CB$149,Table1[[#This Row],[BAĞLANTI]])</f>
        <v>0</v>
      </c>
      <c r="U159" s="8">
        <f>+SUMIFS(U$2:U$149,$CB$2:$CB$149,Table1[[#This Row],[BAĞLANTI]])</f>
        <v>0</v>
      </c>
      <c r="V159" s="8">
        <f>+SUMIFS(V$2:V$149,$CB$2:$CB$149,Table1[[#This Row],[BAĞLANTI]])</f>
        <v>0</v>
      </c>
      <c r="W159" s="8">
        <f>+SUMIFS(W$2:W$149,$CB$2:$CB$149,Table1[[#This Row],[BAĞLANTI]])</f>
        <v>0</v>
      </c>
      <c r="X159" s="10">
        <f>+SUMIFS(X$2:X$149,$CB$2:$CB$149,Table1[[#This Row],[BAĞLANTI]])</f>
        <v>0</v>
      </c>
      <c r="Y159" s="8">
        <f>+SUMIFS(Y$2:Y$149,$CB$2:$CB$149,Table1[[#This Row],[BAĞLANTI]])</f>
        <v>9.4288405307312981</v>
      </c>
      <c r="Z159" s="8">
        <f>+SUMIFS(Z$2:Z$149,$CB$2:$CB$149,Table1[[#This Row],[BAĞLANTI]])</f>
        <v>17.228587601288755</v>
      </c>
      <c r="AA159" s="8">
        <f>+SUMIFS(AA$2:AA$149,$CB$2:$CB$149,Table1[[#This Row],[BAĞLANTI]])</f>
        <v>19.90655557434993</v>
      </c>
      <c r="AB159" s="8">
        <f>+SUMIFS(AB$2:AB$149,$CB$2:$CB$149,Table1[[#This Row],[BAĞLANTI]])</f>
        <v>18.312618498356947</v>
      </c>
      <c r="AC159" s="8">
        <f>+SUMIFS(AC$2:AC$149,$CB$2:$CB$149,Table1[[#This Row],[BAĞLANTI]])</f>
        <v>25.650887619784552</v>
      </c>
      <c r="AD159" s="8">
        <f>+SUMIFS(AD$2:AD$149,$CB$2:$CB$149,Table1[[#This Row],[BAĞLANTI]])</f>
        <v>38.223665089443124</v>
      </c>
      <c r="AE159" s="8">
        <f>+SUMIFS(AE$2:AE$149,$CB$2:$CB$149,Table1[[#This Row],[BAĞLANTI]])</f>
        <v>24.743047241844483</v>
      </c>
      <c r="AF159" s="8">
        <f>+SUMIFS(AF$2:AF$149,$CB$2:$CB$149,Table1[[#This Row],[BAĞLANTI]])</f>
        <v>31.400814938494054</v>
      </c>
      <c r="AG159" s="8">
        <f>+SUMIFS(AG$2:AG$149,$CB$2:$CB$149,Table1[[#This Row],[BAĞLANTI]])</f>
        <v>32.634174686547304</v>
      </c>
      <c r="AH159" s="8">
        <f>+SUMIFS(AH$2:AH$149,$CB$2:$CB$149,Table1[[#This Row],[BAĞLANTI]])</f>
        <v>41.924250864871645</v>
      </c>
      <c r="AI159" s="8">
        <f>+SUMIFS(AI$2:AI$149,$CB$2:$CB$149,Table1[[#This Row],[BAĞLANTI]])</f>
        <v>41.335682985827397</v>
      </c>
      <c r="AJ159" s="8">
        <f>+SUMIFS(AJ$2:AJ$149,$CB$2:$CB$149,Table1[[#This Row],[BAĞLANTI]])</f>
        <v>41.335682985827397</v>
      </c>
      <c r="AK159" s="8">
        <f>+SUMIFS(AK$2:AK$149,$CB$2:$CB$149,Table1[[#This Row],[BAĞLANTI]])</f>
        <v>36.361547181273131</v>
      </c>
      <c r="AL159" s="8">
        <f>+SUMIFS(AL$2:AL$149,$CB$2:$CB$149,Table1[[#This Row],[BAĞLANTI]])</f>
        <v>27.327341745148349</v>
      </c>
      <c r="AM159" s="8">
        <f>+SUMIFS(AM$2:AM$149,$CB$2:$CB$149,Table1[[#This Row],[BAĞLANTI]])</f>
        <v>20.567414263446373</v>
      </c>
      <c r="AN159" s="8">
        <f>+SUMIFS(AN$2:AN$149,$CB$2:$CB$149,Table1[[#This Row],[BAĞLANTI]])</f>
        <v>18.186182596069969</v>
      </c>
      <c r="AO159" s="8">
        <f>+SUMIFS(AO$2:AO$149,$CB$2:$CB$149,Table1[[#This Row],[BAĞLANTI]])</f>
        <v>18.887281293987598</v>
      </c>
      <c r="AP159" s="8">
        <f>+SUMIFS(AP$2:AP$149,$CB$2:$CB$149,Table1[[#This Row],[BAĞLANTI]])</f>
        <v>22.66372332501788</v>
      </c>
      <c r="AQ159" s="8">
        <f>+SUMIFS(AQ$2:AQ$149,$CB$2:$CB$149,Table1[[#This Row],[BAĞLANTI]])</f>
        <v>23.252291204062129</v>
      </c>
      <c r="AR159" s="8">
        <f>+SUMIFS(AR$2:AR$149,$CB$2:$CB$149,Table1[[#This Row],[BAĞLANTI]])</f>
        <v>23.252291204062129</v>
      </c>
      <c r="AS159" s="8">
        <f>+SUMIFS(AS$2:AS$149,$CB$2:$CB$149,Table1[[#This Row],[BAĞLANTI]])</f>
        <v>23.252291204062129</v>
      </c>
      <c r="AT159" s="8">
        <f>+SUMIFS(AT$2:AT$149,$CB$2:$CB$149,Table1[[#This Row],[BAĞLANTI]])</f>
        <v>22.66372332501788</v>
      </c>
      <c r="AU159" s="8">
        <f>+SUMIFS(AU$2:AU$149,$CB$2:$CB$149,Table1[[#This Row],[BAĞLANTI]])</f>
        <v>22.075155445973564</v>
      </c>
      <c r="AV159" s="8">
        <f>+SUMIFS(AV$2:AV$149,$CB$2:$CB$149,Table1[[#This Row],[BAĞLANTI]])</f>
        <v>22.075155445973564</v>
      </c>
      <c r="AW159" s="8">
        <f>+SUMIFS(AW$2:AW$149,$CB$2:$CB$149,Table1[[#This Row],[BAĞLANTI]])</f>
        <v>6.3757483039720002</v>
      </c>
      <c r="AX159" s="8">
        <f>+SUMIFS(AX$2:AX$149,$CB$2:$CB$149,Table1[[#This Row],[BAĞLANTI]])</f>
        <v>7.0796482702971693</v>
      </c>
      <c r="AY159" s="8">
        <f>+SUMIFS(AY$2:AY$149,$CB$2:$CB$149,Table1[[#This Row],[BAĞLANTI]])</f>
        <v>7.0796482702971693</v>
      </c>
      <c r="AZ159" s="8">
        <f>+SUMIFS(AZ$2:AZ$149,$CB$2:$CB$149,Table1[[#This Row],[BAĞLANTI]])</f>
        <v>6.3757483039720002</v>
      </c>
      <c r="BA159" s="8">
        <f>+SUMIFS(BA$2:BA$149,$CB$2:$CB$149,Table1[[#This Row],[BAĞLANTI]])</f>
        <v>0</v>
      </c>
      <c r="BB159" s="8">
        <f>+SUMIFS(BB$2:BB$149,$CB$2:$CB$149,Table1[[#This Row],[BAĞLANTI]])</f>
        <v>0</v>
      </c>
      <c r="BC159" s="8">
        <f>+SUMIFS(BC$2:BC$149,$CB$2:$CB$149,Table1[[#This Row],[BAĞLANTI]])</f>
        <v>0</v>
      </c>
      <c r="BD159" s="8">
        <f>+SUMIFS(BD$2:BD$149,$CB$2:$CB$149,Table1[[#This Row],[BAĞLANTI]])</f>
        <v>0</v>
      </c>
      <c r="BE159" s="8">
        <f>+SUMIFS(BE$2:BE$149,$CB$2:$CB$149,Table1[[#This Row],[BAĞLANTI]])</f>
        <v>0</v>
      </c>
      <c r="BF159" s="8">
        <f>+SUMIFS(BF$2:BF$149,$CB$2:$CB$149,Table1[[#This Row],[BAĞLANTI]])</f>
        <v>0</v>
      </c>
      <c r="BG159" s="8">
        <f>+SUMIFS(BG$2:BG$149,$CB$2:$CB$149,Table1[[#This Row],[BAĞLANTI]])</f>
        <v>0</v>
      </c>
      <c r="BH159" s="8">
        <f>+SUMIFS(BH$2:BH$149,$CB$2:$CB$149,Table1[[#This Row],[BAĞLANTI]])</f>
        <v>0</v>
      </c>
      <c r="BI159" s="8">
        <f>+SUMIFS(BI$2:BI$149,$CB$2:$CB$149,Table1[[#This Row],[BAĞLANTI]])</f>
        <v>0</v>
      </c>
      <c r="BJ159" s="8">
        <f>+SUMIFS(BJ$2:BJ$149,$CB$2:$CB$149,Table1[[#This Row],[BAĞLANTI]])</f>
        <v>0</v>
      </c>
      <c r="BK159" s="8">
        <f>+SUMIFS(BK$2:BK$149,$CB$2:$CB$149,Table1[[#This Row],[BAĞLANTI]])</f>
        <v>0</v>
      </c>
      <c r="BL159" s="8">
        <f>+SUMIFS(BL$2:BL$149,$CB$2:$CB$149,Table1[[#This Row],[BAĞLANTI]])</f>
        <v>0</v>
      </c>
      <c r="BM159" s="8">
        <f>+SUMIFS(BM$2:BM$149,$CB$2:$CB$149,Table1[[#This Row],[BAĞLANTI]])</f>
        <v>0</v>
      </c>
      <c r="BN159" s="8">
        <f>+SUMIFS(BN$2:BN$149,$CB$2:$CB$149,Table1[[#This Row],[BAĞLANTI]])</f>
        <v>0</v>
      </c>
      <c r="BO159" s="8">
        <f>+SUMIFS(BO$2:BO$149,$CB$2:$CB$149,Table1[[#This Row],[BAĞLANTI]])</f>
        <v>0</v>
      </c>
      <c r="BP159" s="8">
        <f>+SUMIFS(BP$2:BP$149,$CB$2:$CB$149,Table1[[#This Row],[BAĞLANTI]])</f>
        <v>0</v>
      </c>
      <c r="BQ159" s="8">
        <f>+SUMIFS(BQ$2:BQ$149,$CB$2:$CB$149,Table1[[#This Row],[BAĞLANTI]])</f>
        <v>0</v>
      </c>
      <c r="BR159" s="8">
        <f>+SUMIFS(BR$2:BR$149,$CB$2:$CB$149,Table1[[#This Row],[BAĞLANTI]])</f>
        <v>0</v>
      </c>
      <c r="BS159" s="8">
        <f>+SUMIFS(BS$2:BS$149,$CB$2:$CB$149,Table1[[#This Row],[BAĞLANTI]])</f>
        <v>0</v>
      </c>
      <c r="BT159" s="8">
        <f>+SUMIFS(BT$2:BT$149,$CB$2:$CB$149,Table1[[#This Row],[BAĞLANTI]])</f>
        <v>0</v>
      </c>
      <c r="BU159" s="8">
        <f>+SUMIFS(BU$2:BU$149,$CB$2:$CB$149,Table1[[#This Row],[BAĞLANTI]])</f>
        <v>0</v>
      </c>
      <c r="BV159" s="8">
        <f>+SUMIFS(BV$2:BV$149,$CB$2:$CB$149,Table1[[#This Row],[BAĞLANTI]])</f>
        <v>0</v>
      </c>
      <c r="BW159" s="8">
        <f>+SUMIFS(BW$2:BW$149,$CB$2:$CB$149,Table1[[#This Row],[BAĞLANTI]])</f>
        <v>0</v>
      </c>
      <c r="BX159" s="8">
        <f>+SUMIFS(BX$2:BX$149,$CB$2:$CB$149,Table1[[#This Row],[BAĞLANTI]])</f>
        <v>0</v>
      </c>
      <c r="BY159" s="8">
        <f>+SUMIFS(BY$2:BY$149,$CB$2:$CB$149,Table1[[#This Row],[BAĞLANTI]])</f>
        <v>0</v>
      </c>
      <c r="BZ159" s="8">
        <f>+SUMIFS(BZ$2:BZ$149,$CB$2:$CB$149,Table1[[#This Row],[BAĞLANTI]])</f>
        <v>0</v>
      </c>
      <c r="CA159" s="8">
        <f>+SUMIFS(CA$2:CA$149,$CB$2:$CB$149,Table1[[#This Row],[BAĞLANTI]])</f>
        <v>0</v>
      </c>
      <c r="CB159" s="8" t="s">
        <v>5323</v>
      </c>
    </row>
    <row r="160" spans="1:80">
      <c r="A160" s="3" t="s">
        <v>5444</v>
      </c>
      <c r="B160" t="s">
        <v>6</v>
      </c>
      <c r="C160" t="s">
        <v>152</v>
      </c>
      <c r="D160" t="s">
        <v>5181</v>
      </c>
      <c r="E160" t="s">
        <v>5183</v>
      </c>
      <c r="F160" s="77" t="s">
        <v>4973</v>
      </c>
      <c r="G160" t="s">
        <v>4983</v>
      </c>
      <c r="H160" s="3" t="s">
        <v>4984</v>
      </c>
      <c r="I160" s="3" t="s">
        <v>5194</v>
      </c>
      <c r="J160" s="78"/>
      <c r="K160" s="78"/>
      <c r="M160" s="78"/>
      <c r="N160" s="8">
        <f>+SUMIFS(N$2:N$149,$CB$2:$CB$149,Table1[[#This Row],[BAĞLANTI]])</f>
        <v>0</v>
      </c>
      <c r="O160" s="8">
        <f>+SUMIFS(O$2:O$149,$CB$2:$CB$149,Table1[[#This Row],[BAĞLANTI]])</f>
        <v>0</v>
      </c>
      <c r="P160" s="8">
        <f>+SUMIFS(P$2:P$149,$CB$2:$CB$149,Table1[[#This Row],[BAĞLANTI]])</f>
        <v>0</v>
      </c>
      <c r="Q160" s="8">
        <f>+SUMIFS(Q$2:Q$149,$CB$2:$CB$149,Table1[[#This Row],[BAĞLANTI]])</f>
        <v>0</v>
      </c>
      <c r="R160" s="8">
        <f>+SUMIFS(R$2:R$149,$CB$2:$CB$149,Table1[[#This Row],[BAĞLANTI]])</f>
        <v>0</v>
      </c>
      <c r="S160" s="8">
        <f>+SUMIFS(S$2:S$149,$CB$2:$CB$149,Table1[[#This Row],[BAĞLANTI]])</f>
        <v>0</v>
      </c>
      <c r="T160" s="8">
        <f>+SUMIFS(T$2:T$149,$CB$2:$CB$149,Table1[[#This Row],[BAĞLANTI]])</f>
        <v>0</v>
      </c>
      <c r="U160" s="8">
        <f>+SUMIFS(U$2:U$149,$CB$2:$CB$149,Table1[[#This Row],[BAĞLANTI]])</f>
        <v>0</v>
      </c>
      <c r="V160" s="8">
        <f>+SUMIFS(V$2:V$149,$CB$2:$CB$149,Table1[[#This Row],[BAĞLANTI]])</f>
        <v>0</v>
      </c>
      <c r="W160" s="8">
        <f>+SUMIFS(W$2:W$149,$CB$2:$CB$149,Table1[[#This Row],[BAĞLANTI]])</f>
        <v>0</v>
      </c>
      <c r="X160" s="10">
        <f>+SUMIFS(X$2:X$149,$CB$2:$CB$149,Table1[[#This Row],[BAĞLANTI]])</f>
        <v>0</v>
      </c>
      <c r="Y160" s="8">
        <f>+SUMIFS(Y$2:Y$149,$CB$2:$CB$149,Table1[[#This Row],[BAĞLANTI]])</f>
        <v>22.946170968187317</v>
      </c>
      <c r="Z160" s="8">
        <f>+SUMIFS(Z$2:Z$149,$CB$2:$CB$149,Table1[[#This Row],[BAĞLANTI]])</f>
        <v>15.663262960113425</v>
      </c>
      <c r="AA160" s="8">
        <f>+SUMIFS(AA$2:AA$149,$CB$2:$CB$149,Table1[[#This Row],[BAĞLANTI]])</f>
        <v>24.406597744098203</v>
      </c>
      <c r="AB160" s="8">
        <f>+SUMIFS(AB$2:AB$149,$CB$2:$CB$149,Table1[[#This Row],[BAĞLANTI]])</f>
        <v>17.123689736024311</v>
      </c>
      <c r="AC160" s="8">
        <f>+SUMIFS(AC$2:AC$149,$CB$2:$CB$149,Table1[[#This Row],[BAĞLANTI]])</f>
        <v>21.889559821462022</v>
      </c>
      <c r="AD160" s="8">
        <f>+SUMIFS(AD$2:AD$149,$CB$2:$CB$149,Table1[[#This Row],[BAĞLANTI]])</f>
        <v>47.171302597572087</v>
      </c>
      <c r="AE160" s="8">
        <f>+SUMIFS(AE$2:AE$149,$CB$2:$CB$149,Table1[[#This Row],[BAĞLANTI]])</f>
        <v>41.665308788239336</v>
      </c>
      <c r="AF160" s="8">
        <f>+SUMIFS(AF$2:AF$149,$CB$2:$CB$149,Table1[[#This Row],[BAĞLANTI]])</f>
        <v>35.764445156964115</v>
      </c>
      <c r="AG160" s="8">
        <f>+SUMIFS(AG$2:AG$149,$CB$2:$CB$149,Table1[[#This Row],[BAĞLANTI]])</f>
        <v>40.204882012328554</v>
      </c>
      <c r="AH160" s="8">
        <f>+SUMIFS(AH$2:AH$149,$CB$2:$CB$149,Table1[[#This Row],[BAĞLANTI]])</f>
        <v>40.204882012328554</v>
      </c>
      <c r="AI160" s="8">
        <f>+SUMIFS(AI$2:AI$149,$CB$2:$CB$149,Table1[[#This Row],[BAĞLANTI]])</f>
        <v>34.30401838105324</v>
      </c>
      <c r="AJ160" s="8">
        <f>+SUMIFS(AJ$2:AJ$149,$CB$2:$CB$149,Table1[[#This Row],[BAĞLANTI]])</f>
        <v>34.30401838105324</v>
      </c>
      <c r="AK160" s="8">
        <f>+SUMIFS(AK$2:AK$149,$CB$2:$CB$149,Table1[[#This Row],[BAĞLANTI]])</f>
        <v>42.133975685161552</v>
      </c>
      <c r="AL160" s="8">
        <f>+SUMIFS(AL$2:AL$149,$CB$2:$CB$149,Table1[[#This Row],[BAĞLANTI]])</f>
        <v>32.371576356323779</v>
      </c>
      <c r="AM160" s="8">
        <f>+SUMIFS(AM$2:AM$149,$CB$2:$CB$149,Table1[[#This Row],[BAĞLANTI]])</f>
        <v>30.583015716205153</v>
      </c>
      <c r="AN160" s="8">
        <f>+SUMIFS(AN$2:AN$149,$CB$2:$CB$149,Table1[[#This Row],[BAĞLANTI]])</f>
        <v>23.300107708131165</v>
      </c>
      <c r="AO160" s="8">
        <f>+SUMIFS(AO$2:AO$149,$CB$2:$CB$149,Table1[[#This Row],[BAĞLANTI]])</f>
        <v>24.250870495909307</v>
      </c>
      <c r="AP160" s="8">
        <f>+SUMIFS(AP$2:AP$149,$CB$2:$CB$149,Table1[[#This Row],[BAĞLANTI]])</f>
        <v>44.717550143332311</v>
      </c>
      <c r="AQ160" s="8">
        <f>+SUMIFS(AQ$2:AQ$149,$CB$2:$CB$149,Table1[[#This Row],[BAĞLANTI]])</f>
        <v>50.618413774607532</v>
      </c>
      <c r="AR160" s="8">
        <f>+SUMIFS(AR$2:AR$149,$CB$2:$CB$149,Table1[[#This Row],[BAĞLANTI]])</f>
        <v>50.618413774607532</v>
      </c>
      <c r="AS160" s="8">
        <f>+SUMIFS(AS$2:AS$149,$CB$2:$CB$149,Table1[[#This Row],[BAĞLANTI]])</f>
        <v>50.618413774607532</v>
      </c>
      <c r="AT160" s="8">
        <f>+SUMIFS(AT$2:AT$149,$CB$2:$CB$149,Table1[[#This Row],[BAĞLANTI]])</f>
        <v>44.717550143332311</v>
      </c>
      <c r="AU160" s="8">
        <f>+SUMIFS(AU$2:AU$149,$CB$2:$CB$149,Table1[[#This Row],[BAĞLANTI]])</f>
        <v>38.816686512057096</v>
      </c>
      <c r="AV160" s="8">
        <f>+SUMIFS(AV$2:AV$149,$CB$2:$CB$149,Table1[[#This Row],[BAĞLANTI]])</f>
        <v>38.816686512057096</v>
      </c>
      <c r="AW160" s="8">
        <f>+SUMIFS(AW$2:AW$149,$CB$2:$CB$149,Table1[[#This Row],[BAĞLANTI]])</f>
        <v>29.13163203229557</v>
      </c>
      <c r="AX160" s="8">
        <f>+SUMIFS(AX$2:AX$149,$CB$2:$CB$149,Table1[[#This Row],[BAĞLANTI]])</f>
        <v>36.212668389825872</v>
      </c>
      <c r="AY160" s="8">
        <f>+SUMIFS(AY$2:AY$149,$CB$2:$CB$149,Table1[[#This Row],[BAĞLANTI]])</f>
        <v>36.212668389825872</v>
      </c>
      <c r="AZ160" s="8">
        <f>+SUMIFS(AZ$2:AZ$149,$CB$2:$CB$149,Table1[[#This Row],[BAĞLANTI]])</f>
        <v>29.13163203229557</v>
      </c>
      <c r="BA160" s="8">
        <f>+SUMIFS(BA$2:BA$149,$CB$2:$CB$149,Table1[[#This Row],[BAĞLANTI]])</f>
        <v>0</v>
      </c>
      <c r="BB160" s="8">
        <f>+SUMIFS(BB$2:BB$149,$CB$2:$CB$149,Table1[[#This Row],[BAĞLANTI]])</f>
        <v>0</v>
      </c>
      <c r="BC160" s="8">
        <f>+SUMIFS(BC$2:BC$149,$CB$2:$CB$149,Table1[[#This Row],[BAĞLANTI]])</f>
        <v>0</v>
      </c>
      <c r="BD160" s="8">
        <f>+SUMIFS(BD$2:BD$149,$CB$2:$CB$149,Table1[[#This Row],[BAĞLANTI]])</f>
        <v>0</v>
      </c>
      <c r="BE160" s="8">
        <f>+SUMIFS(BE$2:BE$149,$CB$2:$CB$149,Table1[[#This Row],[BAĞLANTI]])</f>
        <v>0</v>
      </c>
      <c r="BF160" s="8">
        <f>+SUMIFS(BF$2:BF$149,$CB$2:$CB$149,Table1[[#This Row],[BAĞLANTI]])</f>
        <v>0</v>
      </c>
      <c r="BG160" s="8">
        <f>+SUMIFS(BG$2:BG$149,$CB$2:$CB$149,Table1[[#This Row],[BAĞLANTI]])</f>
        <v>0</v>
      </c>
      <c r="BH160" s="8">
        <f>+SUMIFS(BH$2:BH$149,$CB$2:$CB$149,Table1[[#This Row],[BAĞLANTI]])</f>
        <v>0</v>
      </c>
      <c r="BI160" s="8">
        <f>+SUMIFS(BI$2:BI$149,$CB$2:$CB$149,Table1[[#This Row],[BAĞLANTI]])</f>
        <v>0</v>
      </c>
      <c r="BJ160" s="8">
        <f>+SUMIFS(BJ$2:BJ$149,$CB$2:$CB$149,Table1[[#This Row],[BAĞLANTI]])</f>
        <v>0</v>
      </c>
      <c r="BK160" s="8">
        <f>+SUMIFS(BK$2:BK$149,$CB$2:$CB$149,Table1[[#This Row],[BAĞLANTI]])</f>
        <v>0</v>
      </c>
      <c r="BL160" s="8">
        <f>+SUMIFS(BL$2:BL$149,$CB$2:$CB$149,Table1[[#This Row],[BAĞLANTI]])</f>
        <v>0</v>
      </c>
      <c r="BM160" s="8">
        <f>+SUMIFS(BM$2:BM$149,$CB$2:$CB$149,Table1[[#This Row],[BAĞLANTI]])</f>
        <v>0</v>
      </c>
      <c r="BN160" s="8">
        <f>+SUMIFS(BN$2:BN$149,$CB$2:$CB$149,Table1[[#This Row],[BAĞLANTI]])</f>
        <v>0</v>
      </c>
      <c r="BO160" s="8">
        <f>+SUMIFS(BO$2:BO$149,$CB$2:$CB$149,Table1[[#This Row],[BAĞLANTI]])</f>
        <v>0</v>
      </c>
      <c r="BP160" s="8">
        <f>+SUMIFS(BP$2:BP$149,$CB$2:$CB$149,Table1[[#This Row],[BAĞLANTI]])</f>
        <v>0</v>
      </c>
      <c r="BQ160" s="8">
        <f>+SUMIFS(BQ$2:BQ$149,$CB$2:$CB$149,Table1[[#This Row],[BAĞLANTI]])</f>
        <v>0</v>
      </c>
      <c r="BR160" s="8">
        <f>+SUMIFS(BR$2:BR$149,$CB$2:$CB$149,Table1[[#This Row],[BAĞLANTI]])</f>
        <v>0</v>
      </c>
      <c r="BS160" s="8">
        <f>+SUMIFS(BS$2:BS$149,$CB$2:$CB$149,Table1[[#This Row],[BAĞLANTI]])</f>
        <v>0</v>
      </c>
      <c r="BT160" s="8">
        <f>+SUMIFS(BT$2:BT$149,$CB$2:$CB$149,Table1[[#This Row],[BAĞLANTI]])</f>
        <v>0</v>
      </c>
      <c r="BU160" s="8">
        <f>+SUMIFS(BU$2:BU$149,$CB$2:$CB$149,Table1[[#This Row],[BAĞLANTI]])</f>
        <v>0</v>
      </c>
      <c r="BV160" s="8">
        <f>+SUMIFS(BV$2:BV$149,$CB$2:$CB$149,Table1[[#This Row],[BAĞLANTI]])</f>
        <v>0</v>
      </c>
      <c r="BW160" s="8">
        <f>+SUMIFS(BW$2:BW$149,$CB$2:$CB$149,Table1[[#This Row],[BAĞLANTI]])</f>
        <v>0</v>
      </c>
      <c r="BX160" s="8">
        <f>+SUMIFS(BX$2:BX$149,$CB$2:$CB$149,Table1[[#This Row],[BAĞLANTI]])</f>
        <v>0</v>
      </c>
      <c r="BY160" s="8">
        <f>+SUMIFS(BY$2:BY$149,$CB$2:$CB$149,Table1[[#This Row],[BAĞLANTI]])</f>
        <v>0</v>
      </c>
      <c r="BZ160" s="8">
        <f>+SUMIFS(BZ$2:BZ$149,$CB$2:$CB$149,Table1[[#This Row],[BAĞLANTI]])</f>
        <v>0</v>
      </c>
      <c r="CA160" s="8">
        <f>+SUMIFS(CA$2:CA$149,$CB$2:$CB$149,Table1[[#This Row],[BAĞLANTI]])</f>
        <v>0</v>
      </c>
      <c r="CB160" s="8" t="s">
        <v>5324</v>
      </c>
    </row>
    <row r="161" spans="1:80">
      <c r="A161" s="3" t="s">
        <v>5444</v>
      </c>
      <c r="B161" t="s">
        <v>7</v>
      </c>
      <c r="C161" t="s">
        <v>156</v>
      </c>
      <c r="D161" t="s">
        <v>71</v>
      </c>
      <c r="E161" t="s">
        <v>4974</v>
      </c>
      <c r="F161" s="77" t="s">
        <v>4973</v>
      </c>
      <c r="G161" t="s">
        <v>4983</v>
      </c>
      <c r="H161" s="3" t="s">
        <v>4984</v>
      </c>
      <c r="I161" s="3" t="s">
        <v>5194</v>
      </c>
      <c r="J161" s="78"/>
      <c r="K161" s="78"/>
      <c r="M161" s="78"/>
      <c r="N161" s="8">
        <f>+SUMIFS(N$2:N$149,$CB$2:$CB$149,Table1[[#This Row],[BAĞLANTI]])</f>
        <v>0</v>
      </c>
      <c r="O161" s="8">
        <f>+SUMIFS(O$2:O$149,$CB$2:$CB$149,Table1[[#This Row],[BAĞLANTI]])</f>
        <v>0</v>
      </c>
      <c r="P161" s="8">
        <f>+SUMIFS(P$2:P$149,$CB$2:$CB$149,Table1[[#This Row],[BAĞLANTI]])</f>
        <v>0</v>
      </c>
      <c r="Q161" s="8">
        <f>+SUMIFS(Q$2:Q$149,$CB$2:$CB$149,Table1[[#This Row],[BAĞLANTI]])</f>
        <v>0</v>
      </c>
      <c r="R161" s="8">
        <f>+SUMIFS(R$2:R$149,$CB$2:$CB$149,Table1[[#This Row],[BAĞLANTI]])</f>
        <v>23</v>
      </c>
      <c r="S161" s="8">
        <f>+SUMIFS(S$2:S$149,$CB$2:$CB$149,Table1[[#This Row],[BAĞLANTI]])</f>
        <v>117.965</v>
      </c>
      <c r="T161" s="8">
        <f>+SUMIFS(T$2:T$149,$CB$2:$CB$149,Table1[[#This Row],[BAĞLANTI]])</f>
        <v>55</v>
      </c>
      <c r="U161" s="8">
        <f>+SUMIFS(U$2:U$149,$CB$2:$CB$149,Table1[[#This Row],[BAĞLANTI]])</f>
        <v>-2.6099999985262912E-5</v>
      </c>
      <c r="V161" s="8">
        <f>+SUMIFS(V$2:V$149,$CB$2:$CB$149,Table1[[#This Row],[BAĞLANTI]])</f>
        <v>51.039000000000016</v>
      </c>
      <c r="W161" s="8">
        <f>+SUMIFS(W$2:W$149,$CB$2:$CB$149,Table1[[#This Row],[BAĞLANTI]])</f>
        <v>0</v>
      </c>
      <c r="X161" s="10">
        <f>+SUMIFS(X$2:X$149,$CB$2:$CB$149,Table1[[#This Row],[BAĞLANTI]])</f>
        <v>0</v>
      </c>
      <c r="Y161" s="8">
        <f>+SUMIFS(Y$2:Y$149,$CB$2:$CB$149,Table1[[#This Row],[BAĞLANTI]])</f>
        <v>0</v>
      </c>
      <c r="Z161" s="8">
        <f>+SUMIFS(Z$2:Z$149,$CB$2:$CB$149,Table1[[#This Row],[BAĞLANTI]])</f>
        <v>8.6378521802993475</v>
      </c>
      <c r="AA161" s="8">
        <f>+SUMIFS(AA$2:AA$149,$CB$2:$CB$149,Table1[[#This Row],[BAĞLANTI]])</f>
        <v>8.6378521802993475</v>
      </c>
      <c r="AB161" s="8">
        <f>+SUMIFS(AB$2:AB$149,$CB$2:$CB$149,Table1[[#This Row],[BAĞLANTI]])</f>
        <v>8.6378521802993475</v>
      </c>
      <c r="AC161" s="8">
        <f>+SUMIFS(AC$2:AC$149,$CB$2:$CB$149,Table1[[#This Row],[BAĞLANTI]])</f>
        <v>8.6378521802993475</v>
      </c>
      <c r="AD161" s="8">
        <f>+SUMIFS(AD$2:AD$149,$CB$2:$CB$149,Table1[[#This Row],[BAĞLANTI]])</f>
        <v>16.945149924854576</v>
      </c>
      <c r="AE161" s="8">
        <f>+SUMIFS(AE$2:AE$149,$CB$2:$CB$149,Table1[[#This Row],[BAĞLANTI]])</f>
        <v>8.3072977445552283</v>
      </c>
      <c r="AF161" s="8">
        <f>+SUMIFS(AF$2:AF$149,$CB$2:$CB$149,Table1[[#This Row],[BAĞLANTI]])</f>
        <v>8.3072977445552283</v>
      </c>
      <c r="AG161" s="8">
        <f>+SUMIFS(AG$2:AG$149,$CB$2:$CB$149,Table1[[#This Row],[BAĞLANTI]])</f>
        <v>16.560299425420553</v>
      </c>
      <c r="AH161" s="8">
        <f>+SUMIFS(AH$2:AH$149,$CB$2:$CB$149,Table1[[#This Row],[BAĞLANTI]])</f>
        <v>25.102880112632025</v>
      </c>
      <c r="AI161" s="8">
        <f>+SUMIFS(AI$2:AI$149,$CB$2:$CB$149,Table1[[#This Row],[BAĞLANTI]])</f>
        <v>25.102880112632025</v>
      </c>
      <c r="AJ161" s="8">
        <f>+SUMIFS(AJ$2:AJ$149,$CB$2:$CB$149,Table1[[#This Row],[BAĞLANTI]])</f>
        <v>25.102880112632025</v>
      </c>
      <c r="AK161" s="8">
        <f>+SUMIFS(AK$2:AK$149,$CB$2:$CB$149,Table1[[#This Row],[BAĞLANTI]])</f>
        <v>21.845116291237815</v>
      </c>
      <c r="AL161" s="8">
        <f>+SUMIFS(AL$2:AL$149,$CB$2:$CB$149,Table1[[#This Row],[BAĞLANTI]])</f>
        <v>13.537818546682587</v>
      </c>
      <c r="AM161" s="8">
        <f>+SUMIFS(AM$2:AM$149,$CB$2:$CB$149,Table1[[#This Row],[BAĞLANTI]])</f>
        <v>8.5425806872114727</v>
      </c>
      <c r="AN161" s="8">
        <f>+SUMIFS(AN$2:AN$149,$CB$2:$CB$149,Table1[[#This Row],[BAĞLANTI]])</f>
        <v>7.8186331713460966</v>
      </c>
      <c r="AO161" s="8">
        <f>+SUMIFS(AO$2:AO$149,$CB$2:$CB$149,Table1[[#This Row],[BAĞLANTI]])</f>
        <v>7.8186331713460966</v>
      </c>
      <c r="AP161" s="8">
        <f>+SUMIFS(AP$2:AP$149,$CB$2:$CB$149,Table1[[#This Row],[BAĞLANTI]])</f>
        <v>7.8186331713460966</v>
      </c>
      <c r="AQ161" s="8">
        <f>+SUMIFS(AQ$2:AQ$149,$CB$2:$CB$149,Table1[[#This Row],[BAĞLANTI]])</f>
        <v>7.8186331713460966</v>
      </c>
      <c r="AR161" s="8">
        <f>+SUMIFS(AR$2:AR$149,$CB$2:$CB$149,Table1[[#This Row],[BAĞLANTI]])</f>
        <v>7.8186331713460966</v>
      </c>
      <c r="AS161" s="8">
        <f>+SUMIFS(AS$2:AS$149,$CB$2:$CB$149,Table1[[#This Row],[BAĞLANTI]])</f>
        <v>7.8186331713460966</v>
      </c>
      <c r="AT161" s="8">
        <f>+SUMIFS(AT$2:AT$149,$CB$2:$CB$149,Table1[[#This Row],[BAĞLANTI]])</f>
        <v>7.8186331713460966</v>
      </c>
      <c r="AU161" s="8">
        <f>+SUMIFS(AU$2:AU$149,$CB$2:$CB$149,Table1[[#This Row],[BAĞLANTI]])</f>
        <v>7.8186331713460966</v>
      </c>
      <c r="AV161" s="8">
        <f>+SUMIFS(AV$2:AV$149,$CB$2:$CB$149,Table1[[#This Row],[BAĞLANTI]])</f>
        <v>7.8186331713460966</v>
      </c>
      <c r="AW161" s="8">
        <f>+SUMIFS(AW$2:AW$149,$CB$2:$CB$149,Table1[[#This Row],[BAĞLANTI]])</f>
        <v>0</v>
      </c>
      <c r="AX161" s="8">
        <f>+SUMIFS(AX$2:AX$149,$CB$2:$CB$149,Table1[[#This Row],[BAĞLANTI]])</f>
        <v>0</v>
      </c>
      <c r="AY161" s="8">
        <f>+SUMIFS(AY$2:AY$149,$CB$2:$CB$149,Table1[[#This Row],[BAĞLANTI]])</f>
        <v>0</v>
      </c>
      <c r="AZ161" s="8">
        <f>+SUMIFS(AZ$2:AZ$149,$CB$2:$CB$149,Table1[[#This Row],[BAĞLANTI]])</f>
        <v>0</v>
      </c>
      <c r="BA161" s="8">
        <f>+SUMIFS(BA$2:BA$149,$CB$2:$CB$149,Table1[[#This Row],[BAĞLANTI]])</f>
        <v>0</v>
      </c>
      <c r="BB161" s="8">
        <f>+SUMIFS(BB$2:BB$149,$CB$2:$CB$149,Table1[[#This Row],[BAĞLANTI]])</f>
        <v>0</v>
      </c>
      <c r="BC161" s="8">
        <f>+SUMIFS(BC$2:BC$149,$CB$2:$CB$149,Table1[[#This Row],[BAĞLANTI]])</f>
        <v>0</v>
      </c>
      <c r="BD161" s="8">
        <f>+SUMIFS(BD$2:BD$149,$CB$2:$CB$149,Table1[[#This Row],[BAĞLANTI]])</f>
        <v>0</v>
      </c>
      <c r="BE161" s="8">
        <f>+SUMIFS(BE$2:BE$149,$CB$2:$CB$149,Table1[[#This Row],[BAĞLANTI]])</f>
        <v>0</v>
      </c>
      <c r="BF161" s="8">
        <f>+SUMIFS(BF$2:BF$149,$CB$2:$CB$149,Table1[[#This Row],[BAĞLANTI]])</f>
        <v>0</v>
      </c>
      <c r="BG161" s="8">
        <f>+SUMIFS(BG$2:BG$149,$CB$2:$CB$149,Table1[[#This Row],[BAĞLANTI]])</f>
        <v>0</v>
      </c>
      <c r="BH161" s="8">
        <f>+SUMIFS(BH$2:BH$149,$CB$2:$CB$149,Table1[[#This Row],[BAĞLANTI]])</f>
        <v>0</v>
      </c>
      <c r="BI161" s="8">
        <f>+SUMIFS(BI$2:BI$149,$CB$2:$CB$149,Table1[[#This Row],[BAĞLANTI]])</f>
        <v>0</v>
      </c>
      <c r="BJ161" s="8">
        <f>+SUMIFS(BJ$2:BJ$149,$CB$2:$CB$149,Table1[[#This Row],[BAĞLANTI]])</f>
        <v>0</v>
      </c>
      <c r="BK161" s="8">
        <f>+SUMIFS(BK$2:BK$149,$CB$2:$CB$149,Table1[[#This Row],[BAĞLANTI]])</f>
        <v>0</v>
      </c>
      <c r="BL161" s="8">
        <f>+SUMIFS(BL$2:BL$149,$CB$2:$CB$149,Table1[[#This Row],[BAĞLANTI]])</f>
        <v>0</v>
      </c>
      <c r="BM161" s="8">
        <f>+SUMIFS(BM$2:BM$149,$CB$2:$CB$149,Table1[[#This Row],[BAĞLANTI]])</f>
        <v>0</v>
      </c>
      <c r="BN161" s="8">
        <f>+SUMIFS(BN$2:BN$149,$CB$2:$CB$149,Table1[[#This Row],[BAĞLANTI]])</f>
        <v>0</v>
      </c>
      <c r="BO161" s="8">
        <f>+SUMIFS(BO$2:BO$149,$CB$2:$CB$149,Table1[[#This Row],[BAĞLANTI]])</f>
        <v>0</v>
      </c>
      <c r="BP161" s="8">
        <f>+SUMIFS(BP$2:BP$149,$CB$2:$CB$149,Table1[[#This Row],[BAĞLANTI]])</f>
        <v>0</v>
      </c>
      <c r="BQ161" s="8">
        <f>+SUMIFS(BQ$2:BQ$149,$CB$2:$CB$149,Table1[[#This Row],[BAĞLANTI]])</f>
        <v>0</v>
      </c>
      <c r="BR161" s="8">
        <f>+SUMIFS(BR$2:BR$149,$CB$2:$CB$149,Table1[[#This Row],[BAĞLANTI]])</f>
        <v>0</v>
      </c>
      <c r="BS161" s="8">
        <f>+SUMIFS(BS$2:BS$149,$CB$2:$CB$149,Table1[[#This Row],[BAĞLANTI]])</f>
        <v>0</v>
      </c>
      <c r="BT161" s="8">
        <f>+SUMIFS(BT$2:BT$149,$CB$2:$CB$149,Table1[[#This Row],[BAĞLANTI]])</f>
        <v>0</v>
      </c>
      <c r="BU161" s="8">
        <f>+SUMIFS(BU$2:BU$149,$CB$2:$CB$149,Table1[[#This Row],[BAĞLANTI]])</f>
        <v>0</v>
      </c>
      <c r="BV161" s="8">
        <f>+SUMIFS(BV$2:BV$149,$CB$2:$CB$149,Table1[[#This Row],[BAĞLANTI]])</f>
        <v>0</v>
      </c>
      <c r="BW161" s="8">
        <f>+SUMIFS(BW$2:BW$149,$CB$2:$CB$149,Table1[[#This Row],[BAĞLANTI]])</f>
        <v>0</v>
      </c>
      <c r="BX161" s="8">
        <f>+SUMIFS(BX$2:BX$149,$CB$2:$CB$149,Table1[[#This Row],[BAĞLANTI]])</f>
        <v>0</v>
      </c>
      <c r="BY161" s="8">
        <f>+SUMIFS(BY$2:BY$149,$CB$2:$CB$149,Table1[[#This Row],[BAĞLANTI]])</f>
        <v>0</v>
      </c>
      <c r="BZ161" s="8">
        <f>+SUMIFS(BZ$2:BZ$149,$CB$2:$CB$149,Table1[[#This Row],[BAĞLANTI]])</f>
        <v>0</v>
      </c>
      <c r="CA161" s="8">
        <f>+SUMIFS(CA$2:CA$149,$CB$2:$CB$149,Table1[[#This Row],[BAĞLANTI]])</f>
        <v>0</v>
      </c>
      <c r="CB161" s="8" t="s">
        <v>5326</v>
      </c>
    </row>
    <row r="162" spans="1:80">
      <c r="A162" s="3" t="s">
        <v>5444</v>
      </c>
      <c r="B162" t="s">
        <v>7</v>
      </c>
      <c r="C162" t="s">
        <v>156</v>
      </c>
      <c r="D162" t="s">
        <v>73</v>
      </c>
      <c r="E162" t="s">
        <v>4975</v>
      </c>
      <c r="F162" s="77" t="s">
        <v>4973</v>
      </c>
      <c r="G162" t="s">
        <v>4983</v>
      </c>
      <c r="H162" s="3" t="s">
        <v>4984</v>
      </c>
      <c r="I162" s="3" t="s">
        <v>5194</v>
      </c>
      <c r="J162" s="78"/>
      <c r="K162" s="78"/>
      <c r="M162" s="78"/>
      <c r="N162" s="8">
        <f>+SUMIFS(N$2:N$149,$CB$2:$CB$149,Table1[[#This Row],[BAĞLANTI]])</f>
        <v>0</v>
      </c>
      <c r="O162" s="8">
        <f>+SUMIFS(O$2:O$149,$CB$2:$CB$149,Table1[[#This Row],[BAĞLANTI]])</f>
        <v>0</v>
      </c>
      <c r="P162" s="8">
        <f>+SUMIFS(P$2:P$149,$CB$2:$CB$149,Table1[[#This Row],[BAĞLANTI]])</f>
        <v>0</v>
      </c>
      <c r="Q162" s="8">
        <f>+SUMIFS(Q$2:Q$149,$CB$2:$CB$149,Table1[[#This Row],[BAĞLANTI]])</f>
        <v>0</v>
      </c>
      <c r="R162" s="8">
        <f>+SUMIFS(R$2:R$149,$CB$2:$CB$149,Table1[[#This Row],[BAĞLANTI]])</f>
        <v>75.87</v>
      </c>
      <c r="S162" s="8">
        <f>+SUMIFS(S$2:S$149,$CB$2:$CB$149,Table1[[#This Row],[BAĞLANTI]])</f>
        <v>152.56</v>
      </c>
      <c r="T162" s="8">
        <f>+SUMIFS(T$2:T$149,$CB$2:$CB$149,Table1[[#This Row],[BAĞLANTI]])</f>
        <v>0</v>
      </c>
      <c r="U162" s="8">
        <f>+SUMIFS(U$2:U$149,$CB$2:$CB$149,Table1[[#This Row],[BAĞLANTI]])</f>
        <v>0.17</v>
      </c>
      <c r="V162" s="8">
        <f>+SUMIFS(V$2:V$149,$CB$2:$CB$149,Table1[[#This Row],[BAĞLANTI]])</f>
        <v>25.63</v>
      </c>
      <c r="W162" s="8">
        <f>+SUMIFS(W$2:W$149,$CB$2:$CB$149,Table1[[#This Row],[BAĞLANTI]])</f>
        <v>0</v>
      </c>
      <c r="X162" s="10">
        <f>+SUMIFS(X$2:X$149,$CB$2:$CB$149,Table1[[#This Row],[BAĞLANTI]])</f>
        <v>0</v>
      </c>
      <c r="Y162" s="8">
        <f>+SUMIFS(Y$2:Y$149,$CB$2:$CB$149,Table1[[#This Row],[BAĞLANTI]])</f>
        <v>0</v>
      </c>
      <c r="Z162" s="8">
        <f>+SUMIFS(Z$2:Z$149,$CB$2:$CB$149,Table1[[#This Row],[BAĞLANTI]])</f>
        <v>228.81972277303913</v>
      </c>
      <c r="AA162" s="8">
        <f>+SUMIFS(AA$2:AA$149,$CB$2:$CB$149,Table1[[#This Row],[BAĞLANTI]])</f>
        <v>228.81972277303913</v>
      </c>
      <c r="AB162" s="8">
        <f>+SUMIFS(AB$2:AB$149,$CB$2:$CB$149,Table1[[#This Row],[BAĞLANTI]])</f>
        <v>228.81972277303913</v>
      </c>
      <c r="AC162" s="8">
        <f>+SUMIFS(AC$2:AC$149,$CB$2:$CB$149,Table1[[#This Row],[BAĞLANTI]])</f>
        <v>228.81972277303913</v>
      </c>
      <c r="AD162" s="8">
        <f>+SUMIFS(AD$2:AD$149,$CB$2:$CB$149,Table1[[#This Row],[BAĞLANTI]])</f>
        <v>448.88294303022406</v>
      </c>
      <c r="AE162" s="8">
        <f>+SUMIFS(AE$2:AE$149,$CB$2:$CB$149,Table1[[#This Row],[BAĞLANTI]])</f>
        <v>220.06322025718492</v>
      </c>
      <c r="AF162" s="8">
        <f>+SUMIFS(AF$2:AF$149,$CB$2:$CB$149,Table1[[#This Row],[BAĞLANTI]])</f>
        <v>220.06322025718492</v>
      </c>
      <c r="AG162" s="8">
        <f>+SUMIFS(AG$2:AG$149,$CB$2:$CB$149,Table1[[#This Row],[BAĞLANTI]])</f>
        <v>438.68811881334244</v>
      </c>
      <c r="AH162" s="8">
        <f>+SUMIFS(AH$2:AH$149,$CB$2:$CB$149,Table1[[#This Row],[BAĞLANTI]])</f>
        <v>664.98406644164584</v>
      </c>
      <c r="AI162" s="8">
        <f>+SUMIFS(AI$2:AI$149,$CB$2:$CB$149,Table1[[#This Row],[BAĞLANTI]])</f>
        <v>664.98406644164584</v>
      </c>
      <c r="AJ162" s="8">
        <f>+SUMIFS(AJ$2:AJ$149,$CB$2:$CB$149,Table1[[#This Row],[BAĞLANTI]])</f>
        <v>664.98406644164584</v>
      </c>
      <c r="AK162" s="8">
        <f>+SUMIFS(AK$2:AK$149,$CB$2:$CB$149,Table1[[#This Row],[BAĞLANTI]])</f>
        <v>578.68476438000459</v>
      </c>
      <c r="AL162" s="8">
        <f>+SUMIFS(AL$2:AL$149,$CB$2:$CB$149,Table1[[#This Row],[BAĞLANTI]])</f>
        <v>358.62154412281967</v>
      </c>
      <c r="AM162" s="8">
        <f>+SUMIFS(AM$2:AM$149,$CB$2:$CB$149,Table1[[#This Row],[BAĞLANTI]])</f>
        <v>226.29594762830337</v>
      </c>
      <c r="AN162" s="8">
        <f>+SUMIFS(AN$2:AN$149,$CB$2:$CB$149,Table1[[#This Row],[BAĞLANTI]])</f>
        <v>207.11832494793873</v>
      </c>
      <c r="AO162" s="8">
        <f>+SUMIFS(AO$2:AO$149,$CB$2:$CB$149,Table1[[#This Row],[BAĞLANTI]])</f>
        <v>207.11832494793873</v>
      </c>
      <c r="AP162" s="8">
        <f>+SUMIFS(AP$2:AP$149,$CB$2:$CB$149,Table1[[#This Row],[BAĞLANTI]])</f>
        <v>207.11832494793873</v>
      </c>
      <c r="AQ162" s="8">
        <f>+SUMIFS(AQ$2:AQ$149,$CB$2:$CB$149,Table1[[#This Row],[BAĞLANTI]])</f>
        <v>207.11832494793873</v>
      </c>
      <c r="AR162" s="8">
        <f>+SUMIFS(AR$2:AR$149,$CB$2:$CB$149,Table1[[#This Row],[BAĞLANTI]])</f>
        <v>207.11832494793873</v>
      </c>
      <c r="AS162" s="8">
        <f>+SUMIFS(AS$2:AS$149,$CB$2:$CB$149,Table1[[#This Row],[BAĞLANTI]])</f>
        <v>207.11832494793873</v>
      </c>
      <c r="AT162" s="8">
        <f>+SUMIFS(AT$2:AT$149,$CB$2:$CB$149,Table1[[#This Row],[BAĞLANTI]])</f>
        <v>207.11832494793873</v>
      </c>
      <c r="AU162" s="8">
        <f>+SUMIFS(AU$2:AU$149,$CB$2:$CB$149,Table1[[#This Row],[BAĞLANTI]])</f>
        <v>207.11832494793873</v>
      </c>
      <c r="AV162" s="8">
        <f>+SUMIFS(AV$2:AV$149,$CB$2:$CB$149,Table1[[#This Row],[BAĞLANTI]])</f>
        <v>207.11832494793873</v>
      </c>
      <c r="AW162" s="8">
        <f>+SUMIFS(AW$2:AW$149,$CB$2:$CB$149,Table1[[#This Row],[BAĞLANTI]])</f>
        <v>0</v>
      </c>
      <c r="AX162" s="8">
        <f>+SUMIFS(AX$2:AX$149,$CB$2:$CB$149,Table1[[#This Row],[BAĞLANTI]])</f>
        <v>0</v>
      </c>
      <c r="AY162" s="8">
        <f>+SUMIFS(AY$2:AY$149,$CB$2:$CB$149,Table1[[#This Row],[BAĞLANTI]])</f>
        <v>0</v>
      </c>
      <c r="AZ162" s="8">
        <f>+SUMIFS(AZ$2:AZ$149,$CB$2:$CB$149,Table1[[#This Row],[BAĞLANTI]])</f>
        <v>0</v>
      </c>
      <c r="BA162" s="8">
        <f>+SUMIFS(BA$2:BA$149,$CB$2:$CB$149,Table1[[#This Row],[BAĞLANTI]])</f>
        <v>0</v>
      </c>
      <c r="BB162" s="8">
        <f>+SUMIFS(BB$2:BB$149,$CB$2:$CB$149,Table1[[#This Row],[BAĞLANTI]])</f>
        <v>0</v>
      </c>
      <c r="BC162" s="8">
        <f>+SUMIFS(BC$2:BC$149,$CB$2:$CB$149,Table1[[#This Row],[BAĞLANTI]])</f>
        <v>0</v>
      </c>
      <c r="BD162" s="8">
        <f>+SUMIFS(BD$2:BD$149,$CB$2:$CB$149,Table1[[#This Row],[BAĞLANTI]])</f>
        <v>0</v>
      </c>
      <c r="BE162" s="8">
        <f>+SUMIFS(BE$2:BE$149,$CB$2:$CB$149,Table1[[#This Row],[BAĞLANTI]])</f>
        <v>0</v>
      </c>
      <c r="BF162" s="8">
        <f>+SUMIFS(BF$2:BF$149,$CB$2:$CB$149,Table1[[#This Row],[BAĞLANTI]])</f>
        <v>0</v>
      </c>
      <c r="BG162" s="8">
        <f>+SUMIFS(BG$2:BG$149,$CB$2:$CB$149,Table1[[#This Row],[BAĞLANTI]])</f>
        <v>0</v>
      </c>
      <c r="BH162" s="8">
        <f>+SUMIFS(BH$2:BH$149,$CB$2:$CB$149,Table1[[#This Row],[BAĞLANTI]])</f>
        <v>0</v>
      </c>
      <c r="BI162" s="8">
        <f>+SUMIFS(BI$2:BI$149,$CB$2:$CB$149,Table1[[#This Row],[BAĞLANTI]])</f>
        <v>0</v>
      </c>
      <c r="BJ162" s="8">
        <f>+SUMIFS(BJ$2:BJ$149,$CB$2:$CB$149,Table1[[#This Row],[BAĞLANTI]])</f>
        <v>0</v>
      </c>
      <c r="BK162" s="8">
        <f>+SUMIFS(BK$2:BK$149,$CB$2:$CB$149,Table1[[#This Row],[BAĞLANTI]])</f>
        <v>0</v>
      </c>
      <c r="BL162" s="8">
        <f>+SUMIFS(BL$2:BL$149,$CB$2:$CB$149,Table1[[#This Row],[BAĞLANTI]])</f>
        <v>0</v>
      </c>
      <c r="BM162" s="8">
        <f>+SUMIFS(BM$2:BM$149,$CB$2:$CB$149,Table1[[#This Row],[BAĞLANTI]])</f>
        <v>0</v>
      </c>
      <c r="BN162" s="8">
        <f>+SUMIFS(BN$2:BN$149,$CB$2:$CB$149,Table1[[#This Row],[BAĞLANTI]])</f>
        <v>0</v>
      </c>
      <c r="BO162" s="8">
        <f>+SUMIFS(BO$2:BO$149,$CB$2:$CB$149,Table1[[#This Row],[BAĞLANTI]])</f>
        <v>0</v>
      </c>
      <c r="BP162" s="8">
        <f>+SUMIFS(BP$2:BP$149,$CB$2:$CB$149,Table1[[#This Row],[BAĞLANTI]])</f>
        <v>0</v>
      </c>
      <c r="BQ162" s="8">
        <f>+SUMIFS(BQ$2:BQ$149,$CB$2:$CB$149,Table1[[#This Row],[BAĞLANTI]])</f>
        <v>0</v>
      </c>
      <c r="BR162" s="8">
        <f>+SUMIFS(BR$2:BR$149,$CB$2:$CB$149,Table1[[#This Row],[BAĞLANTI]])</f>
        <v>0</v>
      </c>
      <c r="BS162" s="8">
        <f>+SUMIFS(BS$2:BS$149,$CB$2:$CB$149,Table1[[#This Row],[BAĞLANTI]])</f>
        <v>0</v>
      </c>
      <c r="BT162" s="8">
        <f>+SUMIFS(BT$2:BT$149,$CB$2:$CB$149,Table1[[#This Row],[BAĞLANTI]])</f>
        <v>0</v>
      </c>
      <c r="BU162" s="8">
        <f>+SUMIFS(BU$2:BU$149,$CB$2:$CB$149,Table1[[#This Row],[BAĞLANTI]])</f>
        <v>0</v>
      </c>
      <c r="BV162" s="8">
        <f>+SUMIFS(BV$2:BV$149,$CB$2:$CB$149,Table1[[#This Row],[BAĞLANTI]])</f>
        <v>0</v>
      </c>
      <c r="BW162" s="8">
        <f>+SUMIFS(BW$2:BW$149,$CB$2:$CB$149,Table1[[#This Row],[BAĞLANTI]])</f>
        <v>0</v>
      </c>
      <c r="BX162" s="8">
        <f>+SUMIFS(BX$2:BX$149,$CB$2:$CB$149,Table1[[#This Row],[BAĞLANTI]])</f>
        <v>0</v>
      </c>
      <c r="BY162" s="8">
        <f>+SUMIFS(BY$2:BY$149,$CB$2:$CB$149,Table1[[#This Row],[BAĞLANTI]])</f>
        <v>0</v>
      </c>
      <c r="BZ162" s="8">
        <f>+SUMIFS(BZ$2:BZ$149,$CB$2:$CB$149,Table1[[#This Row],[BAĞLANTI]])</f>
        <v>0</v>
      </c>
      <c r="CA162" s="8">
        <f>+SUMIFS(CA$2:CA$149,$CB$2:$CB$149,Table1[[#This Row],[BAĞLANTI]])</f>
        <v>0</v>
      </c>
      <c r="CB162" s="8" t="s">
        <v>5333</v>
      </c>
    </row>
    <row r="163" spans="1:80">
      <c r="A163" s="3" t="s">
        <v>5444</v>
      </c>
      <c r="B163" t="s">
        <v>7</v>
      </c>
      <c r="C163" t="s">
        <v>156</v>
      </c>
      <c r="D163" t="s">
        <v>76</v>
      </c>
      <c r="E163" t="s">
        <v>5184</v>
      </c>
      <c r="F163" s="77" t="s">
        <v>4973</v>
      </c>
      <c r="G163" t="s">
        <v>4983</v>
      </c>
      <c r="H163" s="3" t="s">
        <v>4984</v>
      </c>
      <c r="I163" s="3" t="s">
        <v>5194</v>
      </c>
      <c r="J163" s="78"/>
      <c r="K163" s="78"/>
      <c r="M163" s="78"/>
      <c r="N163" s="8">
        <f>+SUMIFS(N$2:N$149,$CB$2:$CB$149,Table1[[#This Row],[BAĞLANTI]])</f>
        <v>0</v>
      </c>
      <c r="O163" s="8">
        <f>+SUMIFS(O$2:O$149,$CB$2:$CB$149,Table1[[#This Row],[BAĞLANTI]])</f>
        <v>0</v>
      </c>
      <c r="P163" s="8">
        <f>+SUMIFS(P$2:P$149,$CB$2:$CB$149,Table1[[#This Row],[BAĞLANTI]])</f>
        <v>0</v>
      </c>
      <c r="Q163" s="8">
        <f>+SUMIFS(Q$2:Q$149,$CB$2:$CB$149,Table1[[#This Row],[BAĞLANTI]])</f>
        <v>0</v>
      </c>
      <c r="R163" s="8">
        <f>+SUMIFS(R$2:R$149,$CB$2:$CB$149,Table1[[#This Row],[BAĞLANTI]])</f>
        <v>0</v>
      </c>
      <c r="S163" s="8">
        <f>+SUMIFS(S$2:S$149,$CB$2:$CB$149,Table1[[#This Row],[BAĞLANTI]])</f>
        <v>0</v>
      </c>
      <c r="T163" s="8">
        <f>+SUMIFS(T$2:T$149,$CB$2:$CB$149,Table1[[#This Row],[BAĞLANTI]])</f>
        <v>159.542551</v>
      </c>
      <c r="U163" s="8">
        <f>+SUMIFS(U$2:U$149,$CB$2:$CB$149,Table1[[#This Row],[BAĞLANTI]])</f>
        <v>0</v>
      </c>
      <c r="V163" s="8">
        <f>+SUMIFS(V$2:V$149,$CB$2:$CB$149,Table1[[#This Row],[BAĞLANTI]])</f>
        <v>1.478999999999985</v>
      </c>
      <c r="W163" s="8">
        <f>+SUMIFS(W$2:W$149,$CB$2:$CB$149,Table1[[#This Row],[BAĞLANTI]])</f>
        <v>0</v>
      </c>
      <c r="X163" s="10">
        <f>+SUMIFS(X$2:X$149,$CB$2:$CB$149,Table1[[#This Row],[BAĞLANTI]])</f>
        <v>0</v>
      </c>
      <c r="Y163" s="8">
        <f>+SUMIFS(Y$2:Y$149,$CB$2:$CB$149,Table1[[#This Row],[BAĞLANTI]])</f>
        <v>0</v>
      </c>
      <c r="Z163" s="8">
        <f>+SUMIFS(Z$2:Z$149,$CB$2:$CB$149,Table1[[#This Row],[BAĞLANTI]])</f>
        <v>10.235980893429684</v>
      </c>
      <c r="AA163" s="8">
        <f>+SUMIFS(AA$2:AA$149,$CB$2:$CB$149,Table1[[#This Row],[BAĞLANTI]])</f>
        <v>10.235980893429684</v>
      </c>
      <c r="AB163" s="8">
        <f>+SUMIFS(AB$2:AB$149,$CB$2:$CB$149,Table1[[#This Row],[BAĞLANTI]])</f>
        <v>10.235980893429684</v>
      </c>
      <c r="AC163" s="8">
        <f>+SUMIFS(AC$2:AC$149,$CB$2:$CB$149,Table1[[#This Row],[BAĞLANTI]])</f>
        <v>10.235980893429684</v>
      </c>
      <c r="AD163" s="8">
        <f>+SUMIFS(AD$2:AD$149,$CB$2:$CB$149,Table1[[#This Row],[BAĞLANTI]])</f>
        <v>20.080249956430936</v>
      </c>
      <c r="AE163" s="8">
        <f>+SUMIFS(AE$2:AE$149,$CB$2:$CB$149,Table1[[#This Row],[BAĞLANTI]])</f>
        <v>9.8442690630012564</v>
      </c>
      <c r="AF163" s="8">
        <f>+SUMIFS(AF$2:AF$149,$CB$2:$CB$149,Table1[[#This Row],[BAĞLANTI]])</f>
        <v>9.8442690630012564</v>
      </c>
      <c r="AG163" s="8">
        <f>+SUMIFS(AG$2:AG$149,$CB$2:$CB$149,Table1[[#This Row],[BAĞLANTI]])</f>
        <v>19.624196498139757</v>
      </c>
      <c r="AH163" s="8">
        <f>+SUMIFS(AH$2:AH$149,$CB$2:$CB$149,Table1[[#This Row],[BAĞLANTI]])</f>
        <v>29.747279281879603</v>
      </c>
      <c r="AI163" s="8">
        <f>+SUMIFS(AI$2:AI$149,$CB$2:$CB$149,Table1[[#This Row],[BAĞLANTI]])</f>
        <v>29.747279281879603</v>
      </c>
      <c r="AJ163" s="8">
        <f>+SUMIFS(AJ$2:AJ$149,$CB$2:$CB$149,Table1[[#This Row],[BAĞLANTI]])</f>
        <v>29.747279281879603</v>
      </c>
      <c r="AK163" s="8">
        <f>+SUMIFS(AK$2:AK$149,$CB$2:$CB$149,Table1[[#This Row],[BAĞLANTI]])</f>
        <v>25.886781610114404</v>
      </c>
      <c r="AL163" s="8">
        <f>+SUMIFS(AL$2:AL$149,$CB$2:$CB$149,Table1[[#This Row],[BAĞLANTI]])</f>
        <v>16.042512547113148</v>
      </c>
      <c r="AM163" s="8">
        <f>+SUMIFS(AM$2:AM$149,$CB$2:$CB$149,Table1[[#This Row],[BAĞLANTI]])</f>
        <v>10.123082783739848</v>
      </c>
      <c r="AN163" s="8">
        <f>+SUMIFS(AN$2:AN$149,$CB$2:$CB$149,Table1[[#This Row],[BAĞLANTI]])</f>
        <v>9.2651944122364753</v>
      </c>
      <c r="AO163" s="8">
        <f>+SUMIFS(AO$2:AO$149,$CB$2:$CB$149,Table1[[#This Row],[BAĞLANTI]])</f>
        <v>9.2651944122364753</v>
      </c>
      <c r="AP163" s="8">
        <f>+SUMIFS(AP$2:AP$149,$CB$2:$CB$149,Table1[[#This Row],[BAĞLANTI]])</f>
        <v>9.2651944122364753</v>
      </c>
      <c r="AQ163" s="8">
        <f>+SUMIFS(AQ$2:AQ$149,$CB$2:$CB$149,Table1[[#This Row],[BAĞLANTI]])</f>
        <v>9.2651944122364753</v>
      </c>
      <c r="AR163" s="8">
        <f>+SUMIFS(AR$2:AR$149,$CB$2:$CB$149,Table1[[#This Row],[BAĞLANTI]])</f>
        <v>9.2651944122364753</v>
      </c>
      <c r="AS163" s="8">
        <f>+SUMIFS(AS$2:AS$149,$CB$2:$CB$149,Table1[[#This Row],[BAĞLANTI]])</f>
        <v>9.2651944122364753</v>
      </c>
      <c r="AT163" s="8">
        <f>+SUMIFS(AT$2:AT$149,$CB$2:$CB$149,Table1[[#This Row],[BAĞLANTI]])</f>
        <v>9.2651944122364753</v>
      </c>
      <c r="AU163" s="8">
        <f>+SUMIFS(AU$2:AU$149,$CB$2:$CB$149,Table1[[#This Row],[BAĞLANTI]])</f>
        <v>9.2651944122364753</v>
      </c>
      <c r="AV163" s="8">
        <f>+SUMIFS(AV$2:AV$149,$CB$2:$CB$149,Table1[[#This Row],[BAĞLANTI]])</f>
        <v>9.2651944122364753</v>
      </c>
      <c r="AW163" s="8">
        <f>+SUMIFS(AW$2:AW$149,$CB$2:$CB$149,Table1[[#This Row],[BAĞLANTI]])</f>
        <v>0</v>
      </c>
      <c r="AX163" s="8">
        <f>+SUMIFS(AX$2:AX$149,$CB$2:$CB$149,Table1[[#This Row],[BAĞLANTI]])</f>
        <v>0</v>
      </c>
      <c r="AY163" s="8">
        <f>+SUMIFS(AY$2:AY$149,$CB$2:$CB$149,Table1[[#This Row],[BAĞLANTI]])</f>
        <v>0</v>
      </c>
      <c r="AZ163" s="8">
        <f>+SUMIFS(AZ$2:AZ$149,$CB$2:$CB$149,Table1[[#This Row],[BAĞLANTI]])</f>
        <v>0</v>
      </c>
      <c r="BA163" s="8">
        <f>+SUMIFS(BA$2:BA$149,$CB$2:$CB$149,Table1[[#This Row],[BAĞLANTI]])</f>
        <v>0</v>
      </c>
      <c r="BB163" s="8">
        <f>+SUMIFS(BB$2:BB$149,$CB$2:$CB$149,Table1[[#This Row],[BAĞLANTI]])</f>
        <v>0</v>
      </c>
      <c r="BC163" s="8">
        <f>+SUMIFS(BC$2:BC$149,$CB$2:$CB$149,Table1[[#This Row],[BAĞLANTI]])</f>
        <v>0</v>
      </c>
      <c r="BD163" s="8">
        <f>+SUMIFS(BD$2:BD$149,$CB$2:$CB$149,Table1[[#This Row],[BAĞLANTI]])</f>
        <v>0</v>
      </c>
      <c r="BE163" s="8">
        <f>+SUMIFS(BE$2:BE$149,$CB$2:$CB$149,Table1[[#This Row],[BAĞLANTI]])</f>
        <v>0</v>
      </c>
      <c r="BF163" s="8">
        <f>+SUMIFS(BF$2:BF$149,$CB$2:$CB$149,Table1[[#This Row],[BAĞLANTI]])</f>
        <v>0</v>
      </c>
      <c r="BG163" s="8">
        <f>+SUMIFS(BG$2:BG$149,$CB$2:$CB$149,Table1[[#This Row],[BAĞLANTI]])</f>
        <v>0</v>
      </c>
      <c r="BH163" s="8">
        <f>+SUMIFS(BH$2:BH$149,$CB$2:$CB$149,Table1[[#This Row],[BAĞLANTI]])</f>
        <v>0</v>
      </c>
      <c r="BI163" s="8">
        <f>+SUMIFS(BI$2:BI$149,$CB$2:$CB$149,Table1[[#This Row],[BAĞLANTI]])</f>
        <v>0</v>
      </c>
      <c r="BJ163" s="8">
        <f>+SUMIFS(BJ$2:BJ$149,$CB$2:$CB$149,Table1[[#This Row],[BAĞLANTI]])</f>
        <v>0</v>
      </c>
      <c r="BK163" s="8">
        <f>+SUMIFS(BK$2:BK$149,$CB$2:$CB$149,Table1[[#This Row],[BAĞLANTI]])</f>
        <v>0</v>
      </c>
      <c r="BL163" s="8">
        <f>+SUMIFS(BL$2:BL$149,$CB$2:$CB$149,Table1[[#This Row],[BAĞLANTI]])</f>
        <v>0</v>
      </c>
      <c r="BM163" s="8">
        <f>+SUMIFS(BM$2:BM$149,$CB$2:$CB$149,Table1[[#This Row],[BAĞLANTI]])</f>
        <v>0</v>
      </c>
      <c r="BN163" s="8">
        <f>+SUMIFS(BN$2:BN$149,$CB$2:$CB$149,Table1[[#This Row],[BAĞLANTI]])</f>
        <v>0</v>
      </c>
      <c r="BO163" s="8">
        <f>+SUMIFS(BO$2:BO$149,$CB$2:$CB$149,Table1[[#This Row],[BAĞLANTI]])</f>
        <v>0</v>
      </c>
      <c r="BP163" s="8">
        <f>+SUMIFS(BP$2:BP$149,$CB$2:$CB$149,Table1[[#This Row],[BAĞLANTI]])</f>
        <v>0</v>
      </c>
      <c r="BQ163" s="8">
        <f>+SUMIFS(BQ$2:BQ$149,$CB$2:$CB$149,Table1[[#This Row],[BAĞLANTI]])</f>
        <v>0</v>
      </c>
      <c r="BR163" s="8">
        <f>+SUMIFS(BR$2:BR$149,$CB$2:$CB$149,Table1[[#This Row],[BAĞLANTI]])</f>
        <v>0</v>
      </c>
      <c r="BS163" s="8">
        <f>+SUMIFS(BS$2:BS$149,$CB$2:$CB$149,Table1[[#This Row],[BAĞLANTI]])</f>
        <v>0</v>
      </c>
      <c r="BT163" s="8">
        <f>+SUMIFS(BT$2:BT$149,$CB$2:$CB$149,Table1[[#This Row],[BAĞLANTI]])</f>
        <v>0</v>
      </c>
      <c r="BU163" s="8">
        <f>+SUMIFS(BU$2:BU$149,$CB$2:$CB$149,Table1[[#This Row],[BAĞLANTI]])</f>
        <v>0</v>
      </c>
      <c r="BV163" s="8">
        <f>+SUMIFS(BV$2:BV$149,$CB$2:$CB$149,Table1[[#This Row],[BAĞLANTI]])</f>
        <v>0</v>
      </c>
      <c r="BW163" s="8">
        <f>+SUMIFS(BW$2:BW$149,$CB$2:$CB$149,Table1[[#This Row],[BAĞLANTI]])</f>
        <v>0</v>
      </c>
      <c r="BX163" s="8">
        <f>+SUMIFS(BX$2:BX$149,$CB$2:$CB$149,Table1[[#This Row],[BAĞLANTI]])</f>
        <v>0</v>
      </c>
      <c r="BY163" s="8">
        <f>+SUMIFS(BY$2:BY$149,$CB$2:$CB$149,Table1[[#This Row],[BAĞLANTI]])</f>
        <v>0</v>
      </c>
      <c r="BZ163" s="8">
        <f>+SUMIFS(BZ$2:BZ$149,$CB$2:$CB$149,Table1[[#This Row],[BAĞLANTI]])</f>
        <v>0</v>
      </c>
      <c r="CA163" s="8">
        <f>+SUMIFS(CA$2:CA$149,$CB$2:$CB$149,Table1[[#This Row],[BAĞLANTI]])</f>
        <v>0</v>
      </c>
      <c r="CB163" s="8" t="s">
        <v>5334</v>
      </c>
    </row>
    <row r="164" spans="1:80">
      <c r="A164" s="3" t="s">
        <v>5444</v>
      </c>
      <c r="B164" t="s">
        <v>7</v>
      </c>
      <c r="C164" t="s">
        <v>156</v>
      </c>
      <c r="D164" t="s">
        <v>5181</v>
      </c>
      <c r="E164" t="s">
        <v>5183</v>
      </c>
      <c r="F164" s="77" t="s">
        <v>4973</v>
      </c>
      <c r="G164" t="s">
        <v>4983</v>
      </c>
      <c r="H164" s="3" t="s">
        <v>4984</v>
      </c>
      <c r="I164" s="3" t="s">
        <v>5194</v>
      </c>
      <c r="J164" s="78"/>
      <c r="K164" s="78"/>
      <c r="M164" s="78"/>
      <c r="N164" s="8">
        <f>+SUMIFS(N$2:N$149,$CB$2:$CB$149,Table1[[#This Row],[BAĞLANTI]])</f>
        <v>0</v>
      </c>
      <c r="O164" s="8">
        <f>+SUMIFS(O$2:O$149,$CB$2:$CB$149,Table1[[#This Row],[BAĞLANTI]])</f>
        <v>0</v>
      </c>
      <c r="P164" s="8">
        <f>+SUMIFS(P$2:P$149,$CB$2:$CB$149,Table1[[#This Row],[BAĞLANTI]])</f>
        <v>323.02</v>
      </c>
      <c r="Q164" s="8">
        <f>+SUMIFS(Q$2:Q$149,$CB$2:$CB$149,Table1[[#This Row],[BAĞLANTI]])</f>
        <v>362.56000000000006</v>
      </c>
      <c r="R164" s="8">
        <f>+SUMIFS(R$2:R$149,$CB$2:$CB$149,Table1[[#This Row],[BAĞLANTI]])</f>
        <v>202.17999999999995</v>
      </c>
      <c r="S164" s="8">
        <f>+SUMIFS(S$2:S$149,$CB$2:$CB$149,Table1[[#This Row],[BAĞLANTI]])</f>
        <v>0</v>
      </c>
      <c r="T164" s="8">
        <f>+SUMIFS(T$2:T$149,$CB$2:$CB$149,Table1[[#This Row],[BAĞLANTI]])</f>
        <v>56.886852999999974</v>
      </c>
      <c r="U164" s="8">
        <f>+SUMIFS(U$2:U$149,$CB$2:$CB$149,Table1[[#This Row],[BAĞLANTI]])</f>
        <v>1.4699999996992119E-4</v>
      </c>
      <c r="V164" s="8">
        <f>+SUMIFS(V$2:V$149,$CB$2:$CB$149,Table1[[#This Row],[BAĞLANTI]])</f>
        <v>348.03900000000021</v>
      </c>
      <c r="W164" s="8">
        <f>+SUMIFS(W$2:W$149,$CB$2:$CB$149,Table1[[#This Row],[BAĞLANTI]])</f>
        <v>0</v>
      </c>
      <c r="X164" s="10">
        <f>+SUMIFS(X$2:X$149,$CB$2:$CB$149,Table1[[#This Row],[BAĞLANTI]])</f>
        <v>0</v>
      </c>
      <c r="Y164" s="8">
        <f>+SUMIFS(Y$2:Y$149,$CB$2:$CB$149,Table1[[#This Row],[BAĞLANTI]])</f>
        <v>0</v>
      </c>
      <c r="Z164" s="8">
        <f>+SUMIFS(Z$2:Z$149,$CB$2:$CB$149,Table1[[#This Row],[BAĞLANTI]])</f>
        <v>32.541208439720918</v>
      </c>
      <c r="AA164" s="8">
        <f>+SUMIFS(AA$2:AA$149,$CB$2:$CB$149,Table1[[#This Row],[BAĞLANTI]])</f>
        <v>50.705921653592064</v>
      </c>
      <c r="AB164" s="8">
        <f>+SUMIFS(AB$2:AB$149,$CB$2:$CB$149,Table1[[#This Row],[BAĞLANTI]])</f>
        <v>35.575317759527778</v>
      </c>
      <c r="AC164" s="8">
        <f>+SUMIFS(AC$2:AC$149,$CB$2:$CB$149,Table1[[#This Row],[BAĞLANTI]])</f>
        <v>45.47665008356455</v>
      </c>
      <c r="AD164" s="8">
        <f>+SUMIFS(AD$2:AD$149,$CB$2:$CB$149,Table1[[#This Row],[BAĞLANTI]])</f>
        <v>98.000729101570684</v>
      </c>
      <c r="AE164" s="8">
        <f>+SUMIFS(AE$2:AE$149,$CB$2:$CB$149,Table1[[#This Row],[BAĞLANTI]])</f>
        <v>86.56175290142825</v>
      </c>
      <c r="AF164" s="8">
        <f>+SUMIFS(AF$2:AF$149,$CB$2:$CB$149,Table1[[#This Row],[BAĞLANTI]])</f>
        <v>74.30241499152541</v>
      </c>
      <c r="AG164" s="8">
        <f>+SUMIFS(AG$2:AG$149,$CB$2:$CB$149,Table1[[#This Row],[BAĞLANTI]])</f>
        <v>83.527643581621604</v>
      </c>
      <c r="AH164" s="8">
        <f>+SUMIFS(AH$2:AH$149,$CB$2:$CB$149,Table1[[#This Row],[BAĞLANTI]])</f>
        <v>83.527643581621604</v>
      </c>
      <c r="AI164" s="8">
        <f>+SUMIFS(AI$2:AI$149,$CB$2:$CB$149,Table1[[#This Row],[BAĞLANTI]])</f>
        <v>71.268305671718565</v>
      </c>
      <c r="AJ164" s="8">
        <f>+SUMIFS(AJ$2:AJ$149,$CB$2:$CB$149,Table1[[#This Row],[BAĞLANTI]])</f>
        <v>71.268305671718565</v>
      </c>
      <c r="AK164" s="8">
        <f>+SUMIFS(AK$2:AK$149,$CB$2:$CB$149,Table1[[#This Row],[BAĞLANTI]])</f>
        <v>87.535431707714565</v>
      </c>
      <c r="AL164" s="8">
        <f>+SUMIFS(AL$2:AL$149,$CB$2:$CB$149,Table1[[#This Row],[BAĞLANTI]])</f>
        <v>67.253561177896813</v>
      </c>
      <c r="AM164" s="8">
        <f>+SUMIFS(AM$2:AM$149,$CB$2:$CB$149,Table1[[#This Row],[BAĞLANTI]])</f>
        <v>63.537737422310741</v>
      </c>
      <c r="AN164" s="8">
        <f>+SUMIFS(AN$2:AN$149,$CB$2:$CB$149,Table1[[#This Row],[BAĞLANTI]])</f>
        <v>48.407133528246248</v>
      </c>
      <c r="AO164" s="8">
        <f>+SUMIFS(AO$2:AO$149,$CB$2:$CB$149,Table1[[#This Row],[BAĞLANTI]])</f>
        <v>50.382390544144208</v>
      </c>
      <c r="AP164" s="8">
        <f>+SUMIFS(AP$2:AP$149,$CB$2:$CB$149,Table1[[#This Row],[BAĞLANTI]])</f>
        <v>92.902936242175628</v>
      </c>
      <c r="AQ164" s="8">
        <f>+SUMIFS(AQ$2:AQ$149,$CB$2:$CB$149,Table1[[#This Row],[BAĞLANTI]])</f>
        <v>205.162274152078</v>
      </c>
      <c r="AR164" s="8">
        <f>+SUMIFS(AR$2:AR$149,$CB$2:$CB$149,Table1[[#This Row],[BAĞLANTI]])</f>
        <v>205.162274152078</v>
      </c>
      <c r="AS164" s="8">
        <f>+SUMIFS(AS$2:AS$149,$CB$2:$CB$149,Table1[[#This Row],[BAĞLANTI]])</f>
        <v>224.34615977466001</v>
      </c>
      <c r="AT164" s="8">
        <f>+SUMIFS(AT$2:AT$149,$CB$2:$CB$149,Table1[[#This Row],[BAĞLANTI]])</f>
        <v>92.902936242175628</v>
      </c>
      <c r="AU164" s="8">
        <f>+SUMIFS(AU$2:AU$149,$CB$2:$CB$149,Table1[[#This Row],[BAĞLANTI]])</f>
        <v>80.643598332272802</v>
      </c>
      <c r="AV164" s="8">
        <f>+SUMIFS(AV$2:AV$149,$CB$2:$CB$149,Table1[[#This Row],[BAĞLANTI]])</f>
        <v>80.643598332272802</v>
      </c>
      <c r="AW164" s="8">
        <f>+SUMIFS(AW$2:AW$149,$CB$2:$CB$149,Table1[[#This Row],[BAĞLANTI]])</f>
        <v>0</v>
      </c>
      <c r="AX164" s="8">
        <f>+SUMIFS(AX$2:AX$149,$CB$2:$CB$149,Table1[[#This Row],[BAĞLANTI]])</f>
        <v>0</v>
      </c>
      <c r="AY164" s="8">
        <f>+SUMIFS(AY$2:AY$149,$CB$2:$CB$149,Table1[[#This Row],[BAĞLANTI]])</f>
        <v>0</v>
      </c>
      <c r="AZ164" s="8">
        <f>+SUMIFS(AZ$2:AZ$149,$CB$2:$CB$149,Table1[[#This Row],[BAĞLANTI]])</f>
        <v>0</v>
      </c>
      <c r="BA164" s="8">
        <f>+SUMIFS(BA$2:BA$149,$CB$2:$CB$149,Table1[[#This Row],[BAĞLANTI]])</f>
        <v>0</v>
      </c>
      <c r="BB164" s="8">
        <f>+SUMIFS(BB$2:BB$149,$CB$2:$CB$149,Table1[[#This Row],[BAĞLANTI]])</f>
        <v>0</v>
      </c>
      <c r="BC164" s="8">
        <f>+SUMIFS(BC$2:BC$149,$CB$2:$CB$149,Table1[[#This Row],[BAĞLANTI]])</f>
        <v>0</v>
      </c>
      <c r="BD164" s="8">
        <f>+SUMIFS(BD$2:BD$149,$CB$2:$CB$149,Table1[[#This Row],[BAĞLANTI]])</f>
        <v>0</v>
      </c>
      <c r="BE164" s="8">
        <f>+SUMIFS(BE$2:BE$149,$CB$2:$CB$149,Table1[[#This Row],[BAĞLANTI]])</f>
        <v>0</v>
      </c>
      <c r="BF164" s="8">
        <f>+SUMIFS(BF$2:BF$149,$CB$2:$CB$149,Table1[[#This Row],[BAĞLANTI]])</f>
        <v>0</v>
      </c>
      <c r="BG164" s="8">
        <f>+SUMIFS(BG$2:BG$149,$CB$2:$CB$149,Table1[[#This Row],[BAĞLANTI]])</f>
        <v>0</v>
      </c>
      <c r="BH164" s="8">
        <f>+SUMIFS(BH$2:BH$149,$CB$2:$CB$149,Table1[[#This Row],[BAĞLANTI]])</f>
        <v>0</v>
      </c>
      <c r="BI164" s="8">
        <f>+SUMIFS(BI$2:BI$149,$CB$2:$CB$149,Table1[[#This Row],[BAĞLANTI]])</f>
        <v>0</v>
      </c>
      <c r="BJ164" s="8">
        <f>+SUMIFS(BJ$2:BJ$149,$CB$2:$CB$149,Table1[[#This Row],[BAĞLANTI]])</f>
        <v>0</v>
      </c>
      <c r="BK164" s="8">
        <f>+SUMIFS(BK$2:BK$149,$CB$2:$CB$149,Table1[[#This Row],[BAĞLANTI]])</f>
        <v>0</v>
      </c>
      <c r="BL164" s="8">
        <f>+SUMIFS(BL$2:BL$149,$CB$2:$CB$149,Table1[[#This Row],[BAĞLANTI]])</f>
        <v>0</v>
      </c>
      <c r="BM164" s="8">
        <f>+SUMIFS(BM$2:BM$149,$CB$2:$CB$149,Table1[[#This Row],[BAĞLANTI]])</f>
        <v>0</v>
      </c>
      <c r="BN164" s="8">
        <f>+SUMIFS(BN$2:BN$149,$CB$2:$CB$149,Table1[[#This Row],[BAĞLANTI]])</f>
        <v>0</v>
      </c>
      <c r="BO164" s="8">
        <f>+SUMIFS(BO$2:BO$149,$CB$2:$CB$149,Table1[[#This Row],[BAĞLANTI]])</f>
        <v>0</v>
      </c>
      <c r="BP164" s="8">
        <f>+SUMIFS(BP$2:BP$149,$CB$2:$CB$149,Table1[[#This Row],[BAĞLANTI]])</f>
        <v>0</v>
      </c>
      <c r="BQ164" s="8">
        <f>+SUMIFS(BQ$2:BQ$149,$CB$2:$CB$149,Table1[[#This Row],[BAĞLANTI]])</f>
        <v>0</v>
      </c>
      <c r="BR164" s="8">
        <f>+SUMIFS(BR$2:BR$149,$CB$2:$CB$149,Table1[[#This Row],[BAĞLANTI]])</f>
        <v>0</v>
      </c>
      <c r="BS164" s="8">
        <f>+SUMIFS(BS$2:BS$149,$CB$2:$CB$149,Table1[[#This Row],[BAĞLANTI]])</f>
        <v>0</v>
      </c>
      <c r="BT164" s="8">
        <f>+SUMIFS(BT$2:BT$149,$CB$2:$CB$149,Table1[[#This Row],[BAĞLANTI]])</f>
        <v>0</v>
      </c>
      <c r="BU164" s="8">
        <f>+SUMIFS(BU$2:BU$149,$CB$2:$CB$149,Table1[[#This Row],[BAĞLANTI]])</f>
        <v>0</v>
      </c>
      <c r="BV164" s="8">
        <f>+SUMIFS(BV$2:BV$149,$CB$2:$CB$149,Table1[[#This Row],[BAĞLANTI]])</f>
        <v>0</v>
      </c>
      <c r="BW164" s="8">
        <f>+SUMIFS(BW$2:BW$149,$CB$2:$CB$149,Table1[[#This Row],[BAĞLANTI]])</f>
        <v>0</v>
      </c>
      <c r="BX164" s="8">
        <f>+SUMIFS(BX$2:BX$149,$CB$2:$CB$149,Table1[[#This Row],[BAĞLANTI]])</f>
        <v>0</v>
      </c>
      <c r="BY164" s="8">
        <f>+SUMIFS(BY$2:BY$149,$CB$2:$CB$149,Table1[[#This Row],[BAĞLANTI]])</f>
        <v>0</v>
      </c>
      <c r="BZ164" s="8">
        <f>+SUMIFS(BZ$2:BZ$149,$CB$2:$CB$149,Table1[[#This Row],[BAĞLANTI]])</f>
        <v>0</v>
      </c>
      <c r="CA164" s="8">
        <f>+SUMIFS(CA$2:CA$149,$CB$2:$CB$149,Table1[[#This Row],[BAĞLANTI]])</f>
        <v>0</v>
      </c>
      <c r="CB164" s="8" t="s">
        <v>5339</v>
      </c>
    </row>
    <row r="165" spans="1:80">
      <c r="A165" s="3" t="s">
        <v>5444</v>
      </c>
      <c r="B165" t="s">
        <v>8</v>
      </c>
      <c r="C165" t="s">
        <v>164</v>
      </c>
      <c r="D165" t="s">
        <v>71</v>
      </c>
      <c r="E165" t="s">
        <v>4974</v>
      </c>
      <c r="F165" s="77" t="s">
        <v>4973</v>
      </c>
      <c r="G165" t="s">
        <v>4983</v>
      </c>
      <c r="H165" s="3" t="s">
        <v>4984</v>
      </c>
      <c r="I165" s="3" t="s">
        <v>5194</v>
      </c>
      <c r="J165" s="78"/>
      <c r="K165" s="78"/>
      <c r="M165" s="78"/>
      <c r="N165" s="8">
        <f>+SUMIFS(N$2:N$149,$CB$2:$CB$149,Table1[[#This Row],[BAĞLANTI]])</f>
        <v>0</v>
      </c>
      <c r="O165" s="8">
        <f>+SUMIFS(O$2:O$149,$CB$2:$CB$149,Table1[[#This Row],[BAĞLANTI]])</f>
        <v>0</v>
      </c>
      <c r="P165" s="8">
        <f>+SUMIFS(P$2:P$149,$CB$2:$CB$149,Table1[[#This Row],[BAĞLANTI]])</f>
        <v>0</v>
      </c>
      <c r="Q165" s="8">
        <f>+SUMIFS(Q$2:Q$149,$CB$2:$CB$149,Table1[[#This Row],[BAĞLANTI]])</f>
        <v>0</v>
      </c>
      <c r="R165" s="8">
        <f>+SUMIFS(R$2:R$149,$CB$2:$CB$149,Table1[[#This Row],[BAĞLANTI]])</f>
        <v>0</v>
      </c>
      <c r="S165" s="8">
        <f>+SUMIFS(S$2:S$149,$CB$2:$CB$149,Table1[[#This Row],[BAĞLANTI]])</f>
        <v>0</v>
      </c>
      <c r="T165" s="8">
        <f>+SUMIFS(T$2:T$149,$CB$2:$CB$149,Table1[[#This Row],[BAĞLANTI]])</f>
        <v>1.954</v>
      </c>
      <c r="U165" s="8">
        <f>+SUMIFS(U$2:U$149,$CB$2:$CB$149,Table1[[#This Row],[BAĞLANTI]])</f>
        <v>12.275138200000002</v>
      </c>
      <c r="V165" s="8">
        <f>+SUMIFS(V$2:V$149,$CB$2:$CB$149,Table1[[#This Row],[BAĞLANTI]])</f>
        <v>26.611166600000036</v>
      </c>
      <c r="W165" s="8">
        <f>+SUMIFS(W$2:W$149,$CB$2:$CB$149,Table1[[#This Row],[BAĞLANTI]])</f>
        <v>3.172654990795472</v>
      </c>
      <c r="X165" s="10">
        <f>+SUMIFS(X$2:X$149,$CB$2:$CB$149,Table1[[#This Row],[BAĞLANTI]])</f>
        <v>12.927046852258755</v>
      </c>
      <c r="Y165" s="8">
        <f>+SUMIFS(Y$2:Y$149,$CB$2:$CB$149,Table1[[#This Row],[BAĞLANTI]])</f>
        <v>9.4296348460465946</v>
      </c>
      <c r="Z165" s="8">
        <f>+SUMIFS(Z$2:Z$149,$CB$2:$CB$149,Table1[[#This Row],[BAĞLANTI]])</f>
        <v>21.764132348326008</v>
      </c>
      <c r="AA165" s="8">
        <f>+SUMIFS(AA$2:AA$149,$CB$2:$CB$149,Table1[[#This Row],[BAĞLANTI]])</f>
        <v>24.396423709120288</v>
      </c>
      <c r="AB165" s="8">
        <f>+SUMIFS(AB$2:AB$149,$CB$2:$CB$149,Table1[[#This Row],[BAĞLANTI]])</f>
        <v>22.460912240707604</v>
      </c>
      <c r="AC165" s="8">
        <f>+SUMIFS(AC$2:AC$149,$CB$2:$CB$149,Table1[[#This Row],[BAĞLANTI]])</f>
        <v>27.584270407848202</v>
      </c>
      <c r="AD165" s="8">
        <f>+SUMIFS(AD$2:AD$149,$CB$2:$CB$149,Table1[[#This Row],[BAĞLANTI]])</f>
        <v>47.893004607752594</v>
      </c>
      <c r="AE165" s="8">
        <f>+SUMIFS(AE$2:AE$149,$CB$2:$CB$149,Table1[[#This Row],[BAĞLANTI]])</f>
        <v>29.308489764979115</v>
      </c>
      <c r="AF165" s="8">
        <f>+SUMIFS(AF$2:AF$149,$CB$2:$CB$149,Table1[[#This Row],[BAĞLANTI]])</f>
        <v>27.756209767025524</v>
      </c>
      <c r="AG165" s="8">
        <f>+SUMIFS(AG$2:AG$149,$CB$2:$CB$149,Table1[[#This Row],[BAĞLANTI]])</f>
        <v>42.245933469256038</v>
      </c>
      <c r="AH165" s="8">
        <f>+SUMIFS(AH$2:AH$149,$CB$2:$CB$149,Table1[[#This Row],[BAĞLANTI]])</f>
        <v>56.358550876323534</v>
      </c>
      <c r="AI165" s="8">
        <f>+SUMIFS(AI$2:AI$149,$CB$2:$CB$149,Table1[[#This Row],[BAĞLANTI]])</f>
        <v>54.806270878369943</v>
      </c>
      <c r="AJ165" s="8">
        <f>+SUMIFS(AJ$2:AJ$149,$CB$2:$CB$149,Table1[[#This Row],[BAĞLANTI]])</f>
        <v>54.806270878369943</v>
      </c>
      <c r="AK165" s="8">
        <f>+SUMIFS(AK$2:AK$149,$CB$2:$CB$149,Table1[[#This Row],[BAĞLANTI]])</f>
        <v>48.596989019822537</v>
      </c>
      <c r="AL165" s="8">
        <f>+SUMIFS(AL$2:AL$149,$CB$2:$CB$149,Table1[[#This Row],[BAĞLANTI]])</f>
        <v>34.873066583712358</v>
      </c>
      <c r="AM165" s="8">
        <f>+SUMIFS(AM$2:AM$149,$CB$2:$CB$149,Table1[[#This Row],[BAĞLANTI]])</f>
        <v>25.767438485954454</v>
      </c>
      <c r="AN165" s="8">
        <f>+SUMIFS(AN$2:AN$149,$CB$2:$CB$149,Table1[[#This Row],[BAĞLANTI]])</f>
        <v>22.635942491519049</v>
      </c>
      <c r="AO165" s="8">
        <f>+SUMIFS(AO$2:AO$149,$CB$2:$CB$149,Table1[[#This Row],[BAĞLANTI]])</f>
        <v>23.237490144763154</v>
      </c>
      <c r="AP165" s="8">
        <f>+SUMIFS(AP$2:AP$149,$CB$2:$CB$149,Table1[[#This Row],[BAĞLANTI]])</f>
        <v>28.660793079542191</v>
      </c>
      <c r="AQ165" s="8">
        <f>+SUMIFS(AQ$2:AQ$149,$CB$2:$CB$149,Table1[[#This Row],[BAĞLANTI]])</f>
        <v>30.213073077495778</v>
      </c>
      <c r="AR165" s="8">
        <f>+SUMIFS(AR$2:AR$149,$CB$2:$CB$149,Table1[[#This Row],[BAĞLANTI]])</f>
        <v>30.213073077495778</v>
      </c>
      <c r="AS165" s="8">
        <f>+SUMIFS(AS$2:AS$149,$CB$2:$CB$149,Table1[[#This Row],[BAĞLANTI]])</f>
        <v>30.213073077495778</v>
      </c>
      <c r="AT165" s="8">
        <f>+SUMIFS(AT$2:AT$149,$CB$2:$CB$149,Table1[[#This Row],[BAĞLANTI]])</f>
        <v>34.602636459222531</v>
      </c>
      <c r="AU165" s="8">
        <f>+SUMIFS(AU$2:AU$149,$CB$2:$CB$149,Table1[[#This Row],[BAĞLANTI]])</f>
        <v>27.108513081588601</v>
      </c>
      <c r="AV165" s="8">
        <f>+SUMIFS(AV$2:AV$149,$CB$2:$CB$149,Table1[[#This Row],[BAĞLANTI]])</f>
        <v>27.108513081588601</v>
      </c>
      <c r="AW165" s="8">
        <f>+SUMIFS(AW$2:AW$149,$CB$2:$CB$149,Table1[[#This Row],[BAĞLANTI]])</f>
        <v>7.7420458736508637</v>
      </c>
      <c r="AX165" s="8">
        <f>+SUMIFS(AX$2:AX$149,$CB$2:$CB$149,Table1[[#This Row],[BAĞLANTI]])</f>
        <v>9.7645980776589116</v>
      </c>
      <c r="AY165" s="8">
        <f>+SUMIFS(AY$2:AY$149,$CB$2:$CB$149,Table1[[#This Row],[BAĞLANTI]])</f>
        <v>9.7645980776589116</v>
      </c>
      <c r="AZ165" s="8">
        <f>+SUMIFS(AZ$2:AZ$149,$CB$2:$CB$149,Table1[[#This Row],[BAĞLANTI]])</f>
        <v>7.7420458736508637</v>
      </c>
      <c r="BA165" s="8">
        <f>+SUMIFS(BA$2:BA$149,$CB$2:$CB$149,Table1[[#This Row],[BAĞLANTI]])</f>
        <v>0</v>
      </c>
      <c r="BB165" s="8">
        <f>+SUMIFS(BB$2:BB$149,$CB$2:$CB$149,Table1[[#This Row],[BAĞLANTI]])</f>
        <v>0</v>
      </c>
      <c r="BC165" s="8">
        <f>+SUMIFS(BC$2:BC$149,$CB$2:$CB$149,Table1[[#This Row],[BAĞLANTI]])</f>
        <v>0</v>
      </c>
      <c r="BD165" s="8">
        <f>+SUMIFS(BD$2:BD$149,$CB$2:$CB$149,Table1[[#This Row],[BAĞLANTI]])</f>
        <v>0</v>
      </c>
      <c r="BE165" s="8">
        <f>+SUMIFS(BE$2:BE$149,$CB$2:$CB$149,Table1[[#This Row],[BAĞLANTI]])</f>
        <v>0</v>
      </c>
      <c r="BF165" s="8">
        <f>+SUMIFS(BF$2:BF$149,$CB$2:$CB$149,Table1[[#This Row],[BAĞLANTI]])</f>
        <v>0</v>
      </c>
      <c r="BG165" s="8">
        <f>+SUMIFS(BG$2:BG$149,$CB$2:$CB$149,Table1[[#This Row],[BAĞLANTI]])</f>
        <v>0</v>
      </c>
      <c r="BH165" s="8">
        <f>+SUMIFS(BH$2:BH$149,$CB$2:$CB$149,Table1[[#This Row],[BAĞLANTI]])</f>
        <v>0</v>
      </c>
      <c r="BI165" s="8">
        <f>+SUMIFS(BI$2:BI$149,$CB$2:$CB$149,Table1[[#This Row],[BAĞLANTI]])</f>
        <v>0</v>
      </c>
      <c r="BJ165" s="8">
        <f>+SUMIFS(BJ$2:BJ$149,$CB$2:$CB$149,Table1[[#This Row],[BAĞLANTI]])</f>
        <v>0</v>
      </c>
      <c r="BK165" s="8">
        <f>+SUMIFS(BK$2:BK$149,$CB$2:$CB$149,Table1[[#This Row],[BAĞLANTI]])</f>
        <v>0</v>
      </c>
      <c r="BL165" s="8">
        <f>+SUMIFS(BL$2:BL$149,$CB$2:$CB$149,Table1[[#This Row],[BAĞLANTI]])</f>
        <v>0</v>
      </c>
      <c r="BM165" s="8">
        <f>+SUMIFS(BM$2:BM$149,$CB$2:$CB$149,Table1[[#This Row],[BAĞLANTI]])</f>
        <v>0</v>
      </c>
      <c r="BN165" s="8">
        <f>+SUMIFS(BN$2:BN$149,$CB$2:$CB$149,Table1[[#This Row],[BAĞLANTI]])</f>
        <v>0</v>
      </c>
      <c r="BO165" s="8">
        <f>+SUMIFS(BO$2:BO$149,$CB$2:$CB$149,Table1[[#This Row],[BAĞLANTI]])</f>
        <v>0</v>
      </c>
      <c r="BP165" s="8">
        <f>+SUMIFS(BP$2:BP$149,$CB$2:$CB$149,Table1[[#This Row],[BAĞLANTI]])</f>
        <v>0</v>
      </c>
      <c r="BQ165" s="8">
        <f>+SUMIFS(BQ$2:BQ$149,$CB$2:$CB$149,Table1[[#This Row],[BAĞLANTI]])</f>
        <v>0</v>
      </c>
      <c r="BR165" s="8">
        <f>+SUMIFS(BR$2:BR$149,$CB$2:$CB$149,Table1[[#This Row],[BAĞLANTI]])</f>
        <v>0</v>
      </c>
      <c r="BS165" s="8">
        <f>+SUMIFS(BS$2:BS$149,$CB$2:$CB$149,Table1[[#This Row],[BAĞLANTI]])</f>
        <v>0</v>
      </c>
      <c r="BT165" s="8">
        <f>+SUMIFS(BT$2:BT$149,$CB$2:$CB$149,Table1[[#This Row],[BAĞLANTI]])</f>
        <v>0</v>
      </c>
      <c r="BU165" s="8">
        <f>+SUMIFS(BU$2:BU$149,$CB$2:$CB$149,Table1[[#This Row],[BAĞLANTI]])</f>
        <v>0</v>
      </c>
      <c r="BV165" s="8">
        <f>+SUMIFS(BV$2:BV$149,$CB$2:$CB$149,Table1[[#This Row],[BAĞLANTI]])</f>
        <v>0</v>
      </c>
      <c r="BW165" s="8">
        <f>+SUMIFS(BW$2:BW$149,$CB$2:$CB$149,Table1[[#This Row],[BAĞLANTI]])</f>
        <v>0</v>
      </c>
      <c r="BX165" s="8">
        <f>+SUMIFS(BX$2:BX$149,$CB$2:$CB$149,Table1[[#This Row],[BAĞLANTI]])</f>
        <v>0</v>
      </c>
      <c r="BY165" s="8">
        <f>+SUMIFS(BY$2:BY$149,$CB$2:$CB$149,Table1[[#This Row],[BAĞLANTI]])</f>
        <v>0</v>
      </c>
      <c r="BZ165" s="8">
        <f>+SUMIFS(BZ$2:BZ$149,$CB$2:$CB$149,Table1[[#This Row],[BAĞLANTI]])</f>
        <v>0</v>
      </c>
      <c r="CA165" s="8">
        <f>+SUMIFS(CA$2:CA$149,$CB$2:$CB$149,Table1[[#This Row],[BAĞLANTI]])</f>
        <v>0</v>
      </c>
      <c r="CB165" s="8" t="s">
        <v>5368</v>
      </c>
    </row>
    <row r="166" spans="1:80">
      <c r="A166" s="3" t="s">
        <v>5444</v>
      </c>
      <c r="B166" t="s">
        <v>8</v>
      </c>
      <c r="C166" t="s">
        <v>164</v>
      </c>
      <c r="D166" t="s">
        <v>73</v>
      </c>
      <c r="E166" t="s">
        <v>4975</v>
      </c>
      <c r="F166" s="77" t="s">
        <v>4973</v>
      </c>
      <c r="G166" t="s">
        <v>4983</v>
      </c>
      <c r="H166" s="3" t="s">
        <v>4984</v>
      </c>
      <c r="I166" s="3" t="s">
        <v>5194</v>
      </c>
      <c r="J166" s="78"/>
      <c r="K166" s="78"/>
      <c r="M166" s="78"/>
      <c r="N166" s="8">
        <f>+SUMIFS(N$2:N$149,$CB$2:$CB$149,Table1[[#This Row],[BAĞLANTI]])</f>
        <v>0</v>
      </c>
      <c r="O166" s="8">
        <f>+SUMIFS(O$2:O$149,$CB$2:$CB$149,Table1[[#This Row],[BAĞLANTI]])</f>
        <v>0</v>
      </c>
      <c r="P166" s="8">
        <f>+SUMIFS(P$2:P$149,$CB$2:$CB$149,Table1[[#This Row],[BAĞLANTI]])</f>
        <v>0</v>
      </c>
      <c r="Q166" s="8">
        <f>+SUMIFS(Q$2:Q$149,$CB$2:$CB$149,Table1[[#This Row],[BAĞLANTI]])</f>
        <v>0</v>
      </c>
      <c r="R166" s="8">
        <f>+SUMIFS(R$2:R$149,$CB$2:$CB$149,Table1[[#This Row],[BAĞLANTI]])</f>
        <v>3.6120000000000001</v>
      </c>
      <c r="S166" s="8">
        <f>+SUMIFS(S$2:S$149,$CB$2:$CB$149,Table1[[#This Row],[BAĞLANTI]])</f>
        <v>-3.61</v>
      </c>
      <c r="T166" s="8">
        <f>+SUMIFS(T$2:T$149,$CB$2:$CB$149,Table1[[#This Row],[BAĞLANTI]])</f>
        <v>17.600000000000001</v>
      </c>
      <c r="U166" s="8">
        <f>+SUMIFS(U$2:U$149,$CB$2:$CB$149,Table1[[#This Row],[BAĞLANTI]])</f>
        <v>50.87</v>
      </c>
      <c r="V166" s="8">
        <f>+SUMIFS(V$2:V$149,$CB$2:$CB$149,Table1[[#This Row],[BAĞLANTI]])</f>
        <v>13.96</v>
      </c>
      <c r="W166" s="8">
        <f>+SUMIFS(W$2:W$149,$CB$2:$CB$149,Table1[[#This Row],[BAĞLANTI]])</f>
        <v>-4.72</v>
      </c>
      <c r="X166" s="10">
        <f>+SUMIFS(X$2:X$149,$CB$2:$CB$149,Table1[[#This Row],[BAĞLANTI]])</f>
        <v>10.18</v>
      </c>
      <c r="Y166" s="8">
        <f>+SUMIFS(Y$2:Y$149,$CB$2:$CB$149,Table1[[#This Row],[BAĞLANTI]])</f>
        <v>6.8630163882019994</v>
      </c>
      <c r="Z166" s="8">
        <f>+SUMIFS(Z$2:Z$149,$CB$2:$CB$149,Table1[[#This Row],[BAĞLANTI]])</f>
        <v>15.84023129423527</v>
      </c>
      <c r="AA166" s="8">
        <f>+SUMIFS(AA$2:AA$149,$CB$2:$CB$149,Table1[[#This Row],[BAĞLANTI]])</f>
        <v>17.756048719045488</v>
      </c>
      <c r="AB166" s="8">
        <f>+SUMIFS(AB$2:AB$149,$CB$2:$CB$149,Table1[[#This Row],[BAĞLANTI]])</f>
        <v>16.347357169039363</v>
      </c>
      <c r="AC166" s="8">
        <f>+SUMIFS(AC$2:AC$149,$CB$2:$CB$149,Table1[[#This Row],[BAĞLANTI]])</f>
        <v>20.076206868713165</v>
      </c>
      <c r="AD166" s="8">
        <f>+SUMIFS(AD$2:AD$149,$CB$2:$CB$149,Table1[[#This Row],[BAĞLANTI]])</f>
        <v>34.857179611896051</v>
      </c>
      <c r="AE166" s="8">
        <f>+SUMIFS(AE$2:AE$149,$CB$2:$CB$149,Table1[[#This Row],[BAĞLANTI]])</f>
        <v>21.331117148701978</v>
      </c>
      <c r="AF166" s="8">
        <f>+SUMIFS(AF$2:AF$149,$CB$2:$CB$149,Table1[[#This Row],[BAĞLANTI]])</f>
        <v>24.525901031396234</v>
      </c>
      <c r="AG166" s="8">
        <f>+SUMIFS(AG$2:AG$149,$CB$2:$CB$149,Table1[[#This Row],[BAĞLANTI]])</f>
        <v>30.747164494492761</v>
      </c>
      <c r="AH166" s="8">
        <f>+SUMIFS(AH$2:AH$149,$CB$2:$CB$149,Table1[[#This Row],[BAĞLANTI]])</f>
        <v>41.018519231599662</v>
      </c>
      <c r="AI166" s="8">
        <f>+SUMIFS(AI$2:AI$149,$CB$2:$CB$149,Table1[[#This Row],[BAĞLANTI]])</f>
        <v>39.888748753848866</v>
      </c>
      <c r="AJ166" s="8">
        <f>+SUMIFS(AJ$2:AJ$149,$CB$2:$CB$149,Table1[[#This Row],[BAĞLANTI]])</f>
        <v>39.888748753848866</v>
      </c>
      <c r="AK166" s="8">
        <f>+SUMIFS(AK$2:AK$149,$CB$2:$CB$149,Table1[[#This Row],[BAĞLANTI]])</f>
        <v>35.369549034037604</v>
      </c>
      <c r="AL166" s="8">
        <f>+SUMIFS(AL$2:AL$149,$CB$2:$CB$149,Table1[[#This Row],[BAĞLANTI]])</f>
        <v>25.381091779096746</v>
      </c>
      <c r="AM166" s="8">
        <f>+SUMIFS(AM$2:AM$149,$CB$2:$CB$149,Table1[[#This Row],[BAĞLANTI]])</f>
        <v>18.753891905499827</v>
      </c>
      <c r="AN166" s="8">
        <f>+SUMIFS(AN$2:AN$149,$CB$2:$CB$149,Table1[[#This Row],[BAĞLANTI]])</f>
        <v>16.474746564213415</v>
      </c>
      <c r="AO166" s="8">
        <f>+SUMIFS(AO$2:AO$149,$CB$2:$CB$149,Table1[[#This Row],[BAĞLANTI]])</f>
        <v>16.91256112118214</v>
      </c>
      <c r="AP166" s="8">
        <f>+SUMIFS(AP$2:AP$149,$CB$2:$CB$149,Table1[[#This Row],[BAĞLANTI]])</f>
        <v>20.859714698945254</v>
      </c>
      <c r="AQ166" s="8">
        <f>+SUMIFS(AQ$2:AQ$149,$CB$2:$CB$149,Table1[[#This Row],[BAĞLANTI]])</f>
        <v>21.989485176696054</v>
      </c>
      <c r="AR166" s="8">
        <f>+SUMIFS(AR$2:AR$149,$CB$2:$CB$149,Table1[[#This Row],[BAĞLANTI]])</f>
        <v>21.989485176696054</v>
      </c>
      <c r="AS166" s="8">
        <f>+SUMIFS(AS$2:AS$149,$CB$2:$CB$149,Table1[[#This Row],[BAĞLANTI]])</f>
        <v>21.989485176696054</v>
      </c>
      <c r="AT166" s="8">
        <f>+SUMIFS(AT$2:AT$149,$CB$2:$CB$149,Table1[[#This Row],[BAĞLANTI]])</f>
        <v>20.859714698945254</v>
      </c>
      <c r="AU166" s="8">
        <f>+SUMIFS(AU$2:AU$149,$CB$2:$CB$149,Table1[[#This Row],[BAĞLANTI]])</f>
        <v>19.729944221194451</v>
      </c>
      <c r="AV166" s="8">
        <f>+SUMIFS(AV$2:AV$149,$CB$2:$CB$149,Table1[[#This Row],[BAĞLANTI]])</f>
        <v>19.729944221194451</v>
      </c>
      <c r="AW166" s="8">
        <f>+SUMIFS(AW$2:AW$149,$CB$2:$CB$149,Table1[[#This Row],[BAĞLANTI]])</f>
        <v>5.6347662000246022</v>
      </c>
      <c r="AX166" s="8">
        <f>+SUMIFS(AX$2:AX$149,$CB$2:$CB$149,Table1[[#This Row],[BAĞLANTI]])</f>
        <v>7.1068071802668946</v>
      </c>
      <c r="AY166" s="8">
        <f>+SUMIFS(AY$2:AY$149,$CB$2:$CB$149,Table1[[#This Row],[BAĞLANTI]])</f>
        <v>7.1068071802668946</v>
      </c>
      <c r="AZ166" s="8">
        <f>+SUMIFS(AZ$2:AZ$149,$CB$2:$CB$149,Table1[[#This Row],[BAĞLANTI]])</f>
        <v>5.6347662000246022</v>
      </c>
      <c r="BA166" s="8">
        <f>+SUMIFS(BA$2:BA$149,$CB$2:$CB$149,Table1[[#This Row],[BAĞLANTI]])</f>
        <v>0</v>
      </c>
      <c r="BB166" s="8">
        <f>+SUMIFS(BB$2:BB$149,$CB$2:$CB$149,Table1[[#This Row],[BAĞLANTI]])</f>
        <v>0</v>
      </c>
      <c r="BC166" s="8">
        <f>+SUMIFS(BC$2:BC$149,$CB$2:$CB$149,Table1[[#This Row],[BAĞLANTI]])</f>
        <v>0</v>
      </c>
      <c r="BD166" s="8">
        <f>+SUMIFS(BD$2:BD$149,$CB$2:$CB$149,Table1[[#This Row],[BAĞLANTI]])</f>
        <v>0</v>
      </c>
      <c r="BE166" s="8">
        <f>+SUMIFS(BE$2:BE$149,$CB$2:$CB$149,Table1[[#This Row],[BAĞLANTI]])</f>
        <v>0</v>
      </c>
      <c r="BF166" s="8">
        <f>+SUMIFS(BF$2:BF$149,$CB$2:$CB$149,Table1[[#This Row],[BAĞLANTI]])</f>
        <v>0</v>
      </c>
      <c r="BG166" s="8">
        <f>+SUMIFS(BG$2:BG$149,$CB$2:$CB$149,Table1[[#This Row],[BAĞLANTI]])</f>
        <v>0</v>
      </c>
      <c r="BH166" s="8">
        <f>+SUMIFS(BH$2:BH$149,$CB$2:$CB$149,Table1[[#This Row],[BAĞLANTI]])</f>
        <v>0</v>
      </c>
      <c r="BI166" s="8">
        <f>+SUMIFS(BI$2:BI$149,$CB$2:$CB$149,Table1[[#This Row],[BAĞLANTI]])</f>
        <v>0</v>
      </c>
      <c r="BJ166" s="8">
        <f>+SUMIFS(BJ$2:BJ$149,$CB$2:$CB$149,Table1[[#This Row],[BAĞLANTI]])</f>
        <v>0</v>
      </c>
      <c r="BK166" s="8">
        <f>+SUMIFS(BK$2:BK$149,$CB$2:$CB$149,Table1[[#This Row],[BAĞLANTI]])</f>
        <v>0</v>
      </c>
      <c r="BL166" s="8">
        <f>+SUMIFS(BL$2:BL$149,$CB$2:$CB$149,Table1[[#This Row],[BAĞLANTI]])</f>
        <v>0</v>
      </c>
      <c r="BM166" s="8">
        <f>+SUMIFS(BM$2:BM$149,$CB$2:$CB$149,Table1[[#This Row],[BAĞLANTI]])</f>
        <v>0</v>
      </c>
      <c r="BN166" s="8">
        <f>+SUMIFS(BN$2:BN$149,$CB$2:$CB$149,Table1[[#This Row],[BAĞLANTI]])</f>
        <v>0</v>
      </c>
      <c r="BO166" s="8">
        <f>+SUMIFS(BO$2:BO$149,$CB$2:$CB$149,Table1[[#This Row],[BAĞLANTI]])</f>
        <v>0</v>
      </c>
      <c r="BP166" s="8">
        <f>+SUMIFS(BP$2:BP$149,$CB$2:$CB$149,Table1[[#This Row],[BAĞLANTI]])</f>
        <v>0</v>
      </c>
      <c r="BQ166" s="8">
        <f>+SUMIFS(BQ$2:BQ$149,$CB$2:$CB$149,Table1[[#This Row],[BAĞLANTI]])</f>
        <v>0</v>
      </c>
      <c r="BR166" s="8">
        <f>+SUMIFS(BR$2:BR$149,$CB$2:$CB$149,Table1[[#This Row],[BAĞLANTI]])</f>
        <v>0</v>
      </c>
      <c r="BS166" s="8">
        <f>+SUMIFS(BS$2:BS$149,$CB$2:$CB$149,Table1[[#This Row],[BAĞLANTI]])</f>
        <v>0</v>
      </c>
      <c r="BT166" s="8">
        <f>+SUMIFS(BT$2:BT$149,$CB$2:$CB$149,Table1[[#This Row],[BAĞLANTI]])</f>
        <v>0</v>
      </c>
      <c r="BU166" s="8">
        <f>+SUMIFS(BU$2:BU$149,$CB$2:$CB$149,Table1[[#This Row],[BAĞLANTI]])</f>
        <v>0</v>
      </c>
      <c r="BV166" s="8">
        <f>+SUMIFS(BV$2:BV$149,$CB$2:$CB$149,Table1[[#This Row],[BAĞLANTI]])</f>
        <v>0</v>
      </c>
      <c r="BW166" s="8">
        <f>+SUMIFS(BW$2:BW$149,$CB$2:$CB$149,Table1[[#This Row],[BAĞLANTI]])</f>
        <v>0</v>
      </c>
      <c r="BX166" s="8">
        <f>+SUMIFS(BX$2:BX$149,$CB$2:$CB$149,Table1[[#This Row],[BAĞLANTI]])</f>
        <v>0</v>
      </c>
      <c r="BY166" s="8">
        <f>+SUMIFS(BY$2:BY$149,$CB$2:$CB$149,Table1[[#This Row],[BAĞLANTI]])</f>
        <v>0</v>
      </c>
      <c r="BZ166" s="8">
        <f>+SUMIFS(BZ$2:BZ$149,$CB$2:$CB$149,Table1[[#This Row],[BAĞLANTI]])</f>
        <v>0</v>
      </c>
      <c r="CA166" s="8">
        <f>+SUMIFS(CA$2:CA$149,$CB$2:$CB$149,Table1[[#This Row],[BAĞLANTI]])</f>
        <v>0</v>
      </c>
      <c r="CB166" s="8" t="s">
        <v>5369</v>
      </c>
    </row>
    <row r="167" spans="1:80">
      <c r="A167" s="3" t="s">
        <v>5444</v>
      </c>
      <c r="B167" t="s">
        <v>8</v>
      </c>
      <c r="C167" t="s">
        <v>164</v>
      </c>
      <c r="D167" t="s">
        <v>5181</v>
      </c>
      <c r="E167" t="s">
        <v>5183</v>
      </c>
      <c r="F167" s="77" t="s">
        <v>4973</v>
      </c>
      <c r="G167" t="s">
        <v>4983</v>
      </c>
      <c r="H167" s="3" t="s">
        <v>4984</v>
      </c>
      <c r="I167" s="3" t="s">
        <v>5194</v>
      </c>
      <c r="J167" s="78"/>
      <c r="K167" s="78"/>
      <c r="M167" s="78"/>
      <c r="N167" s="8">
        <f>+SUMIFS(N$2:N$149,$CB$2:$CB$149,Table1[[#This Row],[BAĞLANTI]])</f>
        <v>0</v>
      </c>
      <c r="O167" s="8">
        <f>+SUMIFS(O$2:O$149,$CB$2:$CB$149,Table1[[#This Row],[BAĞLANTI]])</f>
        <v>0</v>
      </c>
      <c r="P167" s="8">
        <f>+SUMIFS(P$2:P$149,$CB$2:$CB$149,Table1[[#This Row],[BAĞLANTI]])</f>
        <v>0</v>
      </c>
      <c r="Q167" s="8">
        <f>+SUMIFS(Q$2:Q$149,$CB$2:$CB$149,Table1[[#This Row],[BAĞLANTI]])</f>
        <v>0</v>
      </c>
      <c r="R167" s="8">
        <f>+SUMIFS(R$2:R$149,$CB$2:$CB$149,Table1[[#This Row],[BAĞLANTI]])</f>
        <v>0</v>
      </c>
      <c r="S167" s="8">
        <f>+SUMIFS(S$2:S$149,$CB$2:$CB$149,Table1[[#This Row],[BAĞLANTI]])</f>
        <v>0</v>
      </c>
      <c r="T167" s="8">
        <f>+SUMIFS(T$2:T$149,$CB$2:$CB$149,Table1[[#This Row],[BAĞLANTI]])</f>
        <v>14.398000000000001</v>
      </c>
      <c r="U167" s="8">
        <f>+SUMIFS(U$2:U$149,$CB$2:$CB$149,Table1[[#This Row],[BAĞLANTI]])</f>
        <v>14.916716975321973</v>
      </c>
      <c r="V167" s="8">
        <f>+SUMIFS(V$2:V$149,$CB$2:$CB$149,Table1[[#This Row],[BAĞLANTI]])</f>
        <v>28.845283024678004</v>
      </c>
      <c r="W167" s="8">
        <f>+SUMIFS(W$2:W$149,$CB$2:$CB$149,Table1[[#This Row],[BAĞLANTI]])</f>
        <v>2.8359999999999985</v>
      </c>
      <c r="X167" s="10">
        <f>+SUMIFS(X$2:X$149,$CB$2:$CB$149,Table1[[#This Row],[BAĞLANTI]])</f>
        <v>-14.254000000000005</v>
      </c>
      <c r="Y167" s="8">
        <f>+SUMIFS(Y$2:Y$149,$CB$2:$CB$149,Table1[[#This Row],[BAĞLANTI]])</f>
        <v>10.857347195540431</v>
      </c>
      <c r="Z167" s="8">
        <f>+SUMIFS(Z$2:Z$149,$CB$2:$CB$149,Table1[[#This Row],[BAĞLANTI]])</f>
        <v>7.4113229788435673</v>
      </c>
      <c r="AA167" s="8">
        <f>+SUMIFS(AA$2:AA$149,$CB$2:$CB$149,Table1[[#This Row],[BAĞLANTI]])</f>
        <v>11.548371444497327</v>
      </c>
      <c r="AB167" s="8">
        <f>+SUMIFS(AB$2:AB$149,$CB$2:$CB$149,Table1[[#This Row],[BAĞLANTI]])</f>
        <v>8.1023472278004647</v>
      </c>
      <c r="AC167" s="8">
        <f>+SUMIFS(AC$2:AC$149,$CB$2:$CB$149,Table1[[#This Row],[BAĞLANTI]])</f>
        <v>10.357394759616394</v>
      </c>
      <c r="AD167" s="8">
        <f>+SUMIFS(AD$2:AD$149,$CB$2:$CB$149,Table1[[#This Row],[BAĞLANTI]])</f>
        <v>22.319855050230071</v>
      </c>
      <c r="AE167" s="8">
        <f>+SUMIFS(AE$2:AE$149,$CB$2:$CB$149,Table1[[#This Row],[BAĞLANTI]])</f>
        <v>19.714606160238713</v>
      </c>
      <c r="AF167" s="8">
        <f>+SUMIFS(AF$2:AF$149,$CB$2:$CB$149,Table1[[#This Row],[BAĞLANTI]])</f>
        <v>16.922518308757247</v>
      </c>
      <c r="AG167" s="8">
        <f>+SUMIFS(AG$2:AG$149,$CB$2:$CB$149,Table1[[#This Row],[BAĞLANTI]])</f>
        <v>19.023581911281862</v>
      </c>
      <c r="AH167" s="8">
        <f>+SUMIFS(AH$2:AH$149,$CB$2:$CB$149,Table1[[#This Row],[BAĞLANTI]])</f>
        <v>19.023581911281862</v>
      </c>
      <c r="AI167" s="8">
        <f>+SUMIFS(AI$2:AI$149,$CB$2:$CB$149,Table1[[#This Row],[BAĞLANTI]])</f>
        <v>16.231494059800351</v>
      </c>
      <c r="AJ167" s="8">
        <f>+SUMIFS(AJ$2:AJ$149,$CB$2:$CB$149,Table1[[#This Row],[BAĞLANTI]])</f>
        <v>16.231494059800351</v>
      </c>
      <c r="AK167" s="8">
        <f>+SUMIFS(AK$2:AK$149,$CB$2:$CB$149,Table1[[#This Row],[BAĞLANTI]])</f>
        <v>19.936363386139146</v>
      </c>
      <c r="AL167" s="8">
        <f>+SUMIFS(AL$2:AL$149,$CB$2:$CB$149,Table1[[#This Row],[BAĞLANTI]])</f>
        <v>15.317128258777199</v>
      </c>
      <c r="AM167" s="8">
        <f>+SUMIFS(AM$2:AM$149,$CB$2:$CB$149,Table1[[#This Row],[BAĞLANTI]])</f>
        <v>14.470842232364836</v>
      </c>
      <c r="AN167" s="8">
        <f>+SUMIFS(AN$2:AN$149,$CB$2:$CB$149,Table1[[#This Row],[BAĞLANTI]])</f>
        <v>11.024818015667925</v>
      </c>
      <c r="AO167" s="8">
        <f>+SUMIFS(AO$2:AO$149,$CB$2:$CB$149,Table1[[#This Row],[BAĞLANTI]])</f>
        <v>11.474686610381125</v>
      </c>
      <c r="AP167" s="8">
        <f>+SUMIFS(AP$2:AP$149,$CB$2:$CB$149,Table1[[#This Row],[BAĞLANTI]])</f>
        <v>21.158822895256318</v>
      </c>
      <c r="AQ167" s="8">
        <f>+SUMIFS(AQ$2:AQ$149,$CB$2:$CB$149,Table1[[#This Row],[BAĞLANTI]])</f>
        <v>23.950910746737787</v>
      </c>
      <c r="AR167" s="8">
        <f>+SUMIFS(AR$2:AR$149,$CB$2:$CB$149,Table1[[#This Row],[BAĞLANTI]])</f>
        <v>23.950910746737787</v>
      </c>
      <c r="AS167" s="8">
        <f>+SUMIFS(AS$2:AS$149,$CB$2:$CB$149,Table1[[#This Row],[BAĞLANTI]])</f>
        <v>23.950910746737787</v>
      </c>
      <c r="AT167" s="8">
        <f>+SUMIFS(AT$2:AT$149,$CB$2:$CB$149,Table1[[#This Row],[BAĞLANTI]])</f>
        <v>21.158822895256318</v>
      </c>
      <c r="AU167" s="8">
        <f>+SUMIFS(AU$2:AU$149,$CB$2:$CB$149,Table1[[#This Row],[BAĞLANTI]])</f>
        <v>18.366735043774852</v>
      </c>
      <c r="AV167" s="8">
        <f>+SUMIFS(AV$2:AV$149,$CB$2:$CB$149,Table1[[#This Row],[BAĞLANTI]])</f>
        <v>18.366735043774852</v>
      </c>
      <c r="AW167" s="8">
        <f>+SUMIFS(AW$2:AW$149,$CB$2:$CB$149,Table1[[#This Row],[BAĞLANTI]])</f>
        <v>13.784096866787456</v>
      </c>
      <c r="AX167" s="8">
        <f>+SUMIFS(AX$2:AX$149,$CB$2:$CB$149,Table1[[#This Row],[BAĞLANTI]])</f>
        <v>17.134602288565237</v>
      </c>
      <c r="AY167" s="8">
        <f>+SUMIFS(AY$2:AY$149,$CB$2:$CB$149,Table1[[#This Row],[BAĞLANTI]])</f>
        <v>17.134602288565237</v>
      </c>
      <c r="AZ167" s="8">
        <f>+SUMIFS(AZ$2:AZ$149,$CB$2:$CB$149,Table1[[#This Row],[BAĞLANTI]])</f>
        <v>13.784096866787456</v>
      </c>
      <c r="BA167" s="8">
        <f>+SUMIFS(BA$2:BA$149,$CB$2:$CB$149,Table1[[#This Row],[BAĞLANTI]])</f>
        <v>0</v>
      </c>
      <c r="BB167" s="8">
        <f>+SUMIFS(BB$2:BB$149,$CB$2:$CB$149,Table1[[#This Row],[BAĞLANTI]])</f>
        <v>0</v>
      </c>
      <c r="BC167" s="8">
        <f>+SUMIFS(BC$2:BC$149,$CB$2:$CB$149,Table1[[#This Row],[BAĞLANTI]])</f>
        <v>0</v>
      </c>
      <c r="BD167" s="8">
        <f>+SUMIFS(BD$2:BD$149,$CB$2:$CB$149,Table1[[#This Row],[BAĞLANTI]])</f>
        <v>0</v>
      </c>
      <c r="BE167" s="8">
        <f>+SUMIFS(BE$2:BE$149,$CB$2:$CB$149,Table1[[#This Row],[BAĞLANTI]])</f>
        <v>0</v>
      </c>
      <c r="BF167" s="8">
        <f>+SUMIFS(BF$2:BF$149,$CB$2:$CB$149,Table1[[#This Row],[BAĞLANTI]])</f>
        <v>0</v>
      </c>
      <c r="BG167" s="8">
        <f>+SUMIFS(BG$2:BG$149,$CB$2:$CB$149,Table1[[#This Row],[BAĞLANTI]])</f>
        <v>0</v>
      </c>
      <c r="BH167" s="8">
        <f>+SUMIFS(BH$2:BH$149,$CB$2:$CB$149,Table1[[#This Row],[BAĞLANTI]])</f>
        <v>0</v>
      </c>
      <c r="BI167" s="8">
        <f>+SUMIFS(BI$2:BI$149,$CB$2:$CB$149,Table1[[#This Row],[BAĞLANTI]])</f>
        <v>0</v>
      </c>
      <c r="BJ167" s="8">
        <f>+SUMIFS(BJ$2:BJ$149,$CB$2:$CB$149,Table1[[#This Row],[BAĞLANTI]])</f>
        <v>0</v>
      </c>
      <c r="BK167" s="8">
        <f>+SUMIFS(BK$2:BK$149,$CB$2:$CB$149,Table1[[#This Row],[BAĞLANTI]])</f>
        <v>0</v>
      </c>
      <c r="BL167" s="8">
        <f>+SUMIFS(BL$2:BL$149,$CB$2:$CB$149,Table1[[#This Row],[BAĞLANTI]])</f>
        <v>0</v>
      </c>
      <c r="BM167" s="8">
        <f>+SUMIFS(BM$2:BM$149,$CB$2:$CB$149,Table1[[#This Row],[BAĞLANTI]])</f>
        <v>0</v>
      </c>
      <c r="BN167" s="8">
        <f>+SUMIFS(BN$2:BN$149,$CB$2:$CB$149,Table1[[#This Row],[BAĞLANTI]])</f>
        <v>0</v>
      </c>
      <c r="BO167" s="8">
        <f>+SUMIFS(BO$2:BO$149,$CB$2:$CB$149,Table1[[#This Row],[BAĞLANTI]])</f>
        <v>0</v>
      </c>
      <c r="BP167" s="8">
        <f>+SUMIFS(BP$2:BP$149,$CB$2:$CB$149,Table1[[#This Row],[BAĞLANTI]])</f>
        <v>0</v>
      </c>
      <c r="BQ167" s="8">
        <f>+SUMIFS(BQ$2:BQ$149,$CB$2:$CB$149,Table1[[#This Row],[BAĞLANTI]])</f>
        <v>0</v>
      </c>
      <c r="BR167" s="8">
        <f>+SUMIFS(BR$2:BR$149,$CB$2:$CB$149,Table1[[#This Row],[BAĞLANTI]])</f>
        <v>0</v>
      </c>
      <c r="BS167" s="8">
        <f>+SUMIFS(BS$2:BS$149,$CB$2:$CB$149,Table1[[#This Row],[BAĞLANTI]])</f>
        <v>0</v>
      </c>
      <c r="BT167" s="8">
        <f>+SUMIFS(BT$2:BT$149,$CB$2:$CB$149,Table1[[#This Row],[BAĞLANTI]])</f>
        <v>0</v>
      </c>
      <c r="BU167" s="8">
        <f>+SUMIFS(BU$2:BU$149,$CB$2:$CB$149,Table1[[#This Row],[BAĞLANTI]])</f>
        <v>0</v>
      </c>
      <c r="BV167" s="8">
        <f>+SUMIFS(BV$2:BV$149,$CB$2:$CB$149,Table1[[#This Row],[BAĞLANTI]])</f>
        <v>0</v>
      </c>
      <c r="BW167" s="8">
        <f>+SUMIFS(BW$2:BW$149,$CB$2:$CB$149,Table1[[#This Row],[BAĞLANTI]])</f>
        <v>0</v>
      </c>
      <c r="BX167" s="8">
        <f>+SUMIFS(BX$2:BX$149,$CB$2:$CB$149,Table1[[#This Row],[BAĞLANTI]])</f>
        <v>0</v>
      </c>
      <c r="BY167" s="8">
        <f>+SUMIFS(BY$2:BY$149,$CB$2:$CB$149,Table1[[#This Row],[BAĞLANTI]])</f>
        <v>0</v>
      </c>
      <c r="BZ167" s="8">
        <f>+SUMIFS(BZ$2:BZ$149,$CB$2:$CB$149,Table1[[#This Row],[BAĞLANTI]])</f>
        <v>0</v>
      </c>
      <c r="CA167" s="8">
        <f>+SUMIFS(CA$2:CA$149,$CB$2:$CB$149,Table1[[#This Row],[BAĞLANTI]])</f>
        <v>0</v>
      </c>
      <c r="CB167" s="8" t="s">
        <v>5370</v>
      </c>
    </row>
    <row r="168" spans="1:80">
      <c r="A168" s="3" t="s">
        <v>5444</v>
      </c>
      <c r="B168" t="s">
        <v>9</v>
      </c>
      <c r="C168" t="s">
        <v>173</v>
      </c>
      <c r="D168" t="s">
        <v>71</v>
      </c>
      <c r="E168" t="s">
        <v>4974</v>
      </c>
      <c r="F168" s="77" t="s">
        <v>4973</v>
      </c>
      <c r="G168" t="s">
        <v>4983</v>
      </c>
      <c r="H168" s="3" t="s">
        <v>4984</v>
      </c>
      <c r="I168" s="3" t="s">
        <v>5194</v>
      </c>
      <c r="J168" s="78"/>
      <c r="K168" s="78"/>
      <c r="M168" s="78"/>
      <c r="N168" s="8">
        <f>+SUMIFS(N$2:N$149,$CB$2:$CB$149,Table1[[#This Row],[BAĞLANTI]])</f>
        <v>0</v>
      </c>
      <c r="O168" s="8">
        <f>+SUMIFS(O$2:O$149,$CB$2:$CB$149,Table1[[#This Row],[BAĞLANTI]])</f>
        <v>0</v>
      </c>
      <c r="P168" s="8">
        <f>+SUMIFS(P$2:P$149,$CB$2:$CB$149,Table1[[#This Row],[BAĞLANTI]])</f>
        <v>0</v>
      </c>
      <c r="Q168" s="8">
        <f>+SUMIFS(Q$2:Q$149,$CB$2:$CB$149,Table1[[#This Row],[BAĞLANTI]])</f>
        <v>0</v>
      </c>
      <c r="R168" s="8">
        <f>+SUMIFS(R$2:R$149,$CB$2:$CB$149,Table1[[#This Row],[BAĞLANTI]])</f>
        <v>0</v>
      </c>
      <c r="S168" s="8">
        <f>+SUMIFS(S$2:S$149,$CB$2:$CB$149,Table1[[#This Row],[BAĞLANTI]])</f>
        <v>0</v>
      </c>
      <c r="T168" s="8">
        <f>+SUMIFS(T$2:T$149,$CB$2:$CB$149,Table1[[#This Row],[BAĞLANTI]])</f>
        <v>0</v>
      </c>
      <c r="U168" s="8">
        <f>+SUMIFS(U$2:U$149,$CB$2:$CB$149,Table1[[#This Row],[BAĞLANTI]])</f>
        <v>0</v>
      </c>
      <c r="V168" s="8">
        <f>+SUMIFS(V$2:V$149,$CB$2:$CB$149,Table1[[#This Row],[BAĞLANTI]])</f>
        <v>0</v>
      </c>
      <c r="W168" s="8">
        <f>+SUMIFS(W$2:W$149,$CB$2:$CB$149,Table1[[#This Row],[BAĞLANTI]])</f>
        <v>0</v>
      </c>
      <c r="X168" s="10">
        <f>+SUMIFS(X$2:X$149,$CB$2:$CB$149,Table1[[#This Row],[BAĞLANTI]])</f>
        <v>0</v>
      </c>
      <c r="Y168" s="8">
        <f>+SUMIFS(Y$2:Y$149,$CB$2:$CB$149,Table1[[#This Row],[BAĞLANTI]])</f>
        <v>0</v>
      </c>
      <c r="Z168" s="8">
        <f>+SUMIFS(Z$2:Z$149,$CB$2:$CB$149,Table1[[#This Row],[BAĞLANTI]])</f>
        <v>55.307789873778503</v>
      </c>
      <c r="AA168" s="8">
        <f>+SUMIFS(AA$2:AA$149,$CB$2:$CB$149,Table1[[#This Row],[BAĞLANTI]])</f>
        <v>55.307789873778503</v>
      </c>
      <c r="AB168" s="8">
        <f>+SUMIFS(AB$2:AB$149,$CB$2:$CB$149,Table1[[#This Row],[BAĞLANTI]])</f>
        <v>55.307789873778503</v>
      </c>
      <c r="AC168" s="8">
        <f>+SUMIFS(AC$2:AC$149,$CB$2:$CB$149,Table1[[#This Row],[BAĞLANTI]])</f>
        <v>55.307789873778503</v>
      </c>
      <c r="AD168" s="8">
        <f>+SUMIFS(AD$2:AD$149,$CB$2:$CB$149,Table1[[#This Row],[BAĞLANTI]])</f>
        <v>108.49905414693626</v>
      </c>
      <c r="AE168" s="8">
        <f>+SUMIFS(AE$2:AE$149,$CB$2:$CB$149,Table1[[#This Row],[BAĞLANTI]])</f>
        <v>53.191264273157771</v>
      </c>
      <c r="AF168" s="8">
        <f>+SUMIFS(AF$2:AF$149,$CB$2:$CB$149,Table1[[#This Row],[BAĞLANTI]])</f>
        <v>53.191264273157771</v>
      </c>
      <c r="AG168" s="8">
        <f>+SUMIFS(AG$2:AG$149,$CB$2:$CB$149,Table1[[#This Row],[BAĞLANTI]])</f>
        <v>106.03487322426874</v>
      </c>
      <c r="AH168" s="8">
        <f>+SUMIFS(AH$2:AH$149,$CB$2:$CB$149,Table1[[#This Row],[BAĞLANTI]])</f>
        <v>160.73264389296253</v>
      </c>
      <c r="AI168" s="8">
        <f>+SUMIFS(AI$2:AI$149,$CB$2:$CB$149,Table1[[#This Row],[BAĞLANTI]])</f>
        <v>160.73264389296253</v>
      </c>
      <c r="AJ168" s="8">
        <f>+SUMIFS(AJ$2:AJ$149,$CB$2:$CB$149,Table1[[#This Row],[BAĞLANTI]])</f>
        <v>160.73264389296253</v>
      </c>
      <c r="AK168" s="8">
        <f>+SUMIFS(AK$2:AK$149,$CB$2:$CB$149,Table1[[#This Row],[BAĞLANTI]])</f>
        <v>139.87332457015557</v>
      </c>
      <c r="AL168" s="8">
        <f>+SUMIFS(AL$2:AL$149,$CB$2:$CB$149,Table1[[#This Row],[BAĞLANTI]])</f>
        <v>86.68206029699779</v>
      </c>
      <c r="AM168" s="8">
        <f>+SUMIFS(AM$2:AM$149,$CB$2:$CB$149,Table1[[#This Row],[BAĞLANTI]])</f>
        <v>54.697770668693799</v>
      </c>
      <c r="AN168" s="8">
        <f>+SUMIFS(AN$2:AN$149,$CB$2:$CB$149,Table1[[#This Row],[BAĞLANTI]])</f>
        <v>50.062366374736712</v>
      </c>
      <c r="AO168" s="8">
        <f>+SUMIFS(AO$2:AO$149,$CB$2:$CB$149,Table1[[#This Row],[BAĞLANTI]])</f>
        <v>50.062366374736712</v>
      </c>
      <c r="AP168" s="8">
        <f>+SUMIFS(AP$2:AP$149,$CB$2:$CB$149,Table1[[#This Row],[BAĞLANTI]])</f>
        <v>50.062366374736712</v>
      </c>
      <c r="AQ168" s="8">
        <f>+SUMIFS(AQ$2:AQ$149,$CB$2:$CB$149,Table1[[#This Row],[BAĞLANTI]])</f>
        <v>50.062366374736712</v>
      </c>
      <c r="AR168" s="8">
        <f>+SUMIFS(AR$2:AR$149,$CB$2:$CB$149,Table1[[#This Row],[BAĞLANTI]])</f>
        <v>50.062366374736712</v>
      </c>
      <c r="AS168" s="8">
        <f>+SUMIFS(AS$2:AS$149,$CB$2:$CB$149,Table1[[#This Row],[BAĞLANTI]])</f>
        <v>50.062366374736712</v>
      </c>
      <c r="AT168" s="8">
        <f>+SUMIFS(AT$2:AT$149,$CB$2:$CB$149,Table1[[#This Row],[BAĞLANTI]])</f>
        <v>50.062366374736712</v>
      </c>
      <c r="AU168" s="8">
        <f>+SUMIFS(AU$2:AU$149,$CB$2:$CB$149,Table1[[#This Row],[BAĞLANTI]])</f>
        <v>50.062366374736712</v>
      </c>
      <c r="AV168" s="8">
        <f>+SUMIFS(AV$2:AV$149,$CB$2:$CB$149,Table1[[#This Row],[BAĞLANTI]])</f>
        <v>50.062366374736712</v>
      </c>
      <c r="AW168" s="8">
        <f>+SUMIFS(AW$2:AW$149,$CB$2:$CB$149,Table1[[#This Row],[BAĞLANTI]])</f>
        <v>0</v>
      </c>
      <c r="AX168" s="8">
        <f>+SUMIFS(AX$2:AX$149,$CB$2:$CB$149,Table1[[#This Row],[BAĞLANTI]])</f>
        <v>0</v>
      </c>
      <c r="AY168" s="8">
        <f>+SUMIFS(AY$2:AY$149,$CB$2:$CB$149,Table1[[#This Row],[BAĞLANTI]])</f>
        <v>0</v>
      </c>
      <c r="AZ168" s="8">
        <f>+SUMIFS(AZ$2:AZ$149,$CB$2:$CB$149,Table1[[#This Row],[BAĞLANTI]])</f>
        <v>0</v>
      </c>
      <c r="BA168" s="8">
        <f>+SUMIFS(BA$2:BA$149,$CB$2:$CB$149,Table1[[#This Row],[BAĞLANTI]])</f>
        <v>0</v>
      </c>
      <c r="BB168" s="8">
        <f>+SUMIFS(BB$2:BB$149,$CB$2:$CB$149,Table1[[#This Row],[BAĞLANTI]])</f>
        <v>0</v>
      </c>
      <c r="BC168" s="8">
        <f>+SUMIFS(BC$2:BC$149,$CB$2:$CB$149,Table1[[#This Row],[BAĞLANTI]])</f>
        <v>0</v>
      </c>
      <c r="BD168" s="8">
        <f>+SUMIFS(BD$2:BD$149,$CB$2:$CB$149,Table1[[#This Row],[BAĞLANTI]])</f>
        <v>0</v>
      </c>
      <c r="BE168" s="8">
        <f>+SUMIFS(BE$2:BE$149,$CB$2:$CB$149,Table1[[#This Row],[BAĞLANTI]])</f>
        <v>0</v>
      </c>
      <c r="BF168" s="8">
        <f>+SUMIFS(BF$2:BF$149,$CB$2:$CB$149,Table1[[#This Row],[BAĞLANTI]])</f>
        <v>0</v>
      </c>
      <c r="BG168" s="8">
        <f>+SUMIFS(BG$2:BG$149,$CB$2:$CB$149,Table1[[#This Row],[BAĞLANTI]])</f>
        <v>0</v>
      </c>
      <c r="BH168" s="8">
        <f>+SUMIFS(BH$2:BH$149,$CB$2:$CB$149,Table1[[#This Row],[BAĞLANTI]])</f>
        <v>0</v>
      </c>
      <c r="BI168" s="8">
        <f>+SUMIFS(BI$2:BI$149,$CB$2:$CB$149,Table1[[#This Row],[BAĞLANTI]])</f>
        <v>0</v>
      </c>
      <c r="BJ168" s="8">
        <f>+SUMIFS(BJ$2:BJ$149,$CB$2:$CB$149,Table1[[#This Row],[BAĞLANTI]])</f>
        <v>0</v>
      </c>
      <c r="BK168" s="8">
        <f>+SUMIFS(BK$2:BK$149,$CB$2:$CB$149,Table1[[#This Row],[BAĞLANTI]])</f>
        <v>0</v>
      </c>
      <c r="BL168" s="8">
        <f>+SUMIFS(BL$2:BL$149,$CB$2:$CB$149,Table1[[#This Row],[BAĞLANTI]])</f>
        <v>0</v>
      </c>
      <c r="BM168" s="8">
        <f>+SUMIFS(BM$2:BM$149,$CB$2:$CB$149,Table1[[#This Row],[BAĞLANTI]])</f>
        <v>0</v>
      </c>
      <c r="BN168" s="8">
        <f>+SUMIFS(BN$2:BN$149,$CB$2:$CB$149,Table1[[#This Row],[BAĞLANTI]])</f>
        <v>0</v>
      </c>
      <c r="BO168" s="8">
        <f>+SUMIFS(BO$2:BO$149,$CB$2:$CB$149,Table1[[#This Row],[BAĞLANTI]])</f>
        <v>0</v>
      </c>
      <c r="BP168" s="8">
        <f>+SUMIFS(BP$2:BP$149,$CB$2:$CB$149,Table1[[#This Row],[BAĞLANTI]])</f>
        <v>0</v>
      </c>
      <c r="BQ168" s="8">
        <f>+SUMIFS(BQ$2:BQ$149,$CB$2:$CB$149,Table1[[#This Row],[BAĞLANTI]])</f>
        <v>0</v>
      </c>
      <c r="BR168" s="8">
        <f>+SUMIFS(BR$2:BR$149,$CB$2:$CB$149,Table1[[#This Row],[BAĞLANTI]])</f>
        <v>0</v>
      </c>
      <c r="BS168" s="8">
        <f>+SUMIFS(BS$2:BS$149,$CB$2:$CB$149,Table1[[#This Row],[BAĞLANTI]])</f>
        <v>0</v>
      </c>
      <c r="BT168" s="8">
        <f>+SUMIFS(BT$2:BT$149,$CB$2:$CB$149,Table1[[#This Row],[BAĞLANTI]])</f>
        <v>0</v>
      </c>
      <c r="BU168" s="8">
        <f>+SUMIFS(BU$2:BU$149,$CB$2:$CB$149,Table1[[#This Row],[BAĞLANTI]])</f>
        <v>0</v>
      </c>
      <c r="BV168" s="8">
        <f>+SUMIFS(BV$2:BV$149,$CB$2:$CB$149,Table1[[#This Row],[BAĞLANTI]])</f>
        <v>0</v>
      </c>
      <c r="BW168" s="8">
        <f>+SUMIFS(BW$2:BW$149,$CB$2:$CB$149,Table1[[#This Row],[BAĞLANTI]])</f>
        <v>0</v>
      </c>
      <c r="BX168" s="8">
        <f>+SUMIFS(BX$2:BX$149,$CB$2:$CB$149,Table1[[#This Row],[BAĞLANTI]])</f>
        <v>0</v>
      </c>
      <c r="BY168" s="8">
        <f>+SUMIFS(BY$2:BY$149,$CB$2:$CB$149,Table1[[#This Row],[BAĞLANTI]])</f>
        <v>0</v>
      </c>
      <c r="BZ168" s="8">
        <f>+SUMIFS(BZ$2:BZ$149,$CB$2:$CB$149,Table1[[#This Row],[BAĞLANTI]])</f>
        <v>0</v>
      </c>
      <c r="CA168" s="8">
        <f>+SUMIFS(CA$2:CA$149,$CB$2:$CB$149,Table1[[#This Row],[BAĞLANTI]])</f>
        <v>0</v>
      </c>
      <c r="CB168" s="8" t="s">
        <v>5348</v>
      </c>
    </row>
    <row r="169" spans="1:80">
      <c r="A169" s="3" t="s">
        <v>5444</v>
      </c>
      <c r="B169" t="s">
        <v>9</v>
      </c>
      <c r="C169" t="s">
        <v>173</v>
      </c>
      <c r="D169" t="s">
        <v>73</v>
      </c>
      <c r="E169" t="s">
        <v>4975</v>
      </c>
      <c r="F169" s="77" t="s">
        <v>4973</v>
      </c>
      <c r="G169" t="s">
        <v>4983</v>
      </c>
      <c r="H169" s="3" t="s">
        <v>4984</v>
      </c>
      <c r="I169" s="3" t="s">
        <v>5194</v>
      </c>
      <c r="J169" s="78"/>
      <c r="K169" s="78"/>
      <c r="M169" s="78"/>
      <c r="N169" s="8">
        <f>+SUMIFS(N$2:N$149,$CB$2:$CB$149,Table1[[#This Row],[BAĞLANTI]])</f>
        <v>0</v>
      </c>
      <c r="O169" s="8">
        <f>+SUMIFS(O$2:O$149,$CB$2:$CB$149,Table1[[#This Row],[BAĞLANTI]])</f>
        <v>0</v>
      </c>
      <c r="P169" s="8">
        <f>+SUMIFS(P$2:P$149,$CB$2:$CB$149,Table1[[#This Row],[BAĞLANTI]])</f>
        <v>0</v>
      </c>
      <c r="Q169" s="8">
        <f>+SUMIFS(Q$2:Q$149,$CB$2:$CB$149,Table1[[#This Row],[BAĞLANTI]])</f>
        <v>0</v>
      </c>
      <c r="R169" s="8">
        <f>+SUMIFS(R$2:R$149,$CB$2:$CB$149,Table1[[#This Row],[BAĞLANTI]])</f>
        <v>0</v>
      </c>
      <c r="S169" s="8">
        <f>+SUMIFS(S$2:S$149,$CB$2:$CB$149,Table1[[#This Row],[BAĞLANTI]])</f>
        <v>0</v>
      </c>
      <c r="T169" s="8">
        <f>+SUMIFS(T$2:T$149,$CB$2:$CB$149,Table1[[#This Row],[BAĞLANTI]])</f>
        <v>0</v>
      </c>
      <c r="U169" s="8">
        <f>+SUMIFS(U$2:U$149,$CB$2:$CB$149,Table1[[#This Row],[BAĞLANTI]])</f>
        <v>0</v>
      </c>
      <c r="V169" s="8">
        <f>+SUMIFS(V$2:V$149,$CB$2:$CB$149,Table1[[#This Row],[BAĞLANTI]])</f>
        <v>0</v>
      </c>
      <c r="W169" s="8">
        <f>+SUMIFS(W$2:W$149,$CB$2:$CB$149,Table1[[#This Row],[BAĞLANTI]])</f>
        <v>0</v>
      </c>
      <c r="X169" s="10">
        <f>+SUMIFS(X$2:X$149,$CB$2:$CB$149,Table1[[#This Row],[BAĞLANTI]])</f>
        <v>0</v>
      </c>
      <c r="Y169" s="8">
        <f>+SUMIFS(Y$2:Y$149,$CB$2:$CB$149,Table1[[#This Row],[BAĞLANTI]])</f>
        <v>0</v>
      </c>
      <c r="Z169" s="8">
        <f>+SUMIFS(Z$2:Z$149,$CB$2:$CB$149,Table1[[#This Row],[BAĞLANTI]])</f>
        <v>15.890502221940654</v>
      </c>
      <c r="AA169" s="8">
        <f>+SUMIFS(AA$2:AA$149,$CB$2:$CB$149,Table1[[#This Row],[BAĞLANTI]])</f>
        <v>15.890502221940654</v>
      </c>
      <c r="AB169" s="8">
        <f>+SUMIFS(AB$2:AB$149,$CB$2:$CB$149,Table1[[#This Row],[BAĞLANTI]])</f>
        <v>15.890502221940654</v>
      </c>
      <c r="AC169" s="8">
        <f>+SUMIFS(AC$2:AC$149,$CB$2:$CB$149,Table1[[#This Row],[BAĞLANTI]])</f>
        <v>15.890502221940654</v>
      </c>
      <c r="AD169" s="8">
        <f>+SUMIFS(AD$2:AD$149,$CB$2:$CB$149,Table1[[#This Row],[BAĞLANTI]])</f>
        <v>31.172904665600285</v>
      </c>
      <c r="AE169" s="8">
        <f>+SUMIFS(AE$2:AE$149,$CB$2:$CB$149,Table1[[#This Row],[BAĞLANTI]])</f>
        <v>15.282402443659633</v>
      </c>
      <c r="AF169" s="8">
        <f>+SUMIFS(AF$2:AF$149,$CB$2:$CB$149,Table1[[#This Row],[BAĞLANTI]])</f>
        <v>15.282402443659633</v>
      </c>
      <c r="AG169" s="8">
        <f>+SUMIFS(AG$2:AG$149,$CB$2:$CB$149,Table1[[#This Row],[BAĞLANTI]])</f>
        <v>30.464919904027369</v>
      </c>
      <c r="AH169" s="8">
        <f>+SUMIFS(AH$2:AH$149,$CB$2:$CB$149,Table1[[#This Row],[BAĞLANTI]])</f>
        <v>46.180157275285197</v>
      </c>
      <c r="AI169" s="8">
        <f>+SUMIFS(AI$2:AI$149,$CB$2:$CB$149,Table1[[#This Row],[BAĞLANTI]])</f>
        <v>46.180157275285197</v>
      </c>
      <c r="AJ169" s="8">
        <f>+SUMIFS(AJ$2:AJ$149,$CB$2:$CB$149,Table1[[#This Row],[BAĞLANTI]])</f>
        <v>46.180157275285197</v>
      </c>
      <c r="AK169" s="8">
        <f>+SUMIFS(AK$2:AK$149,$CB$2:$CB$149,Table1[[#This Row],[BAĞLANTI]])</f>
        <v>40.187058277771612</v>
      </c>
      <c r="AL169" s="8">
        <f>+SUMIFS(AL$2:AL$149,$CB$2:$CB$149,Table1[[#This Row],[BAĞLANTI]])</f>
        <v>24.904655834111978</v>
      </c>
      <c r="AM169" s="8">
        <f>+SUMIFS(AM$2:AM$149,$CB$2:$CB$149,Table1[[#This Row],[BAĞLANTI]])</f>
        <v>15.715237371257828</v>
      </c>
      <c r="AN169" s="8">
        <f>+SUMIFS(AN$2:AN$149,$CB$2:$CB$149,Table1[[#This Row],[BAĞLANTI]])</f>
        <v>14.383437594032593</v>
      </c>
      <c r="AO169" s="8">
        <f>+SUMIFS(AO$2:AO$149,$CB$2:$CB$149,Table1[[#This Row],[BAĞLANTI]])</f>
        <v>14.383437594032593</v>
      </c>
      <c r="AP169" s="8">
        <f>+SUMIFS(AP$2:AP$149,$CB$2:$CB$149,Table1[[#This Row],[BAĞLANTI]])</f>
        <v>14.383437594032593</v>
      </c>
      <c r="AQ169" s="8">
        <f>+SUMIFS(AQ$2:AQ$149,$CB$2:$CB$149,Table1[[#This Row],[BAĞLANTI]])</f>
        <v>14.383437594032593</v>
      </c>
      <c r="AR169" s="8">
        <f>+SUMIFS(AR$2:AR$149,$CB$2:$CB$149,Table1[[#This Row],[BAĞLANTI]])</f>
        <v>14.383437594032593</v>
      </c>
      <c r="AS169" s="8">
        <f>+SUMIFS(AS$2:AS$149,$CB$2:$CB$149,Table1[[#This Row],[BAĞLANTI]])</f>
        <v>14.383437594032593</v>
      </c>
      <c r="AT169" s="8">
        <f>+SUMIFS(AT$2:AT$149,$CB$2:$CB$149,Table1[[#This Row],[BAĞLANTI]])</f>
        <v>14.383437594032593</v>
      </c>
      <c r="AU169" s="8">
        <f>+SUMIFS(AU$2:AU$149,$CB$2:$CB$149,Table1[[#This Row],[BAĞLANTI]])</f>
        <v>14.383437594032593</v>
      </c>
      <c r="AV169" s="8">
        <f>+SUMIFS(AV$2:AV$149,$CB$2:$CB$149,Table1[[#This Row],[BAĞLANTI]])</f>
        <v>14.383437594032593</v>
      </c>
      <c r="AW169" s="8">
        <f>+SUMIFS(AW$2:AW$149,$CB$2:$CB$149,Table1[[#This Row],[BAĞLANTI]])</f>
        <v>0</v>
      </c>
      <c r="AX169" s="8">
        <f>+SUMIFS(AX$2:AX$149,$CB$2:$CB$149,Table1[[#This Row],[BAĞLANTI]])</f>
        <v>0</v>
      </c>
      <c r="AY169" s="8">
        <f>+SUMIFS(AY$2:AY$149,$CB$2:$CB$149,Table1[[#This Row],[BAĞLANTI]])</f>
        <v>0</v>
      </c>
      <c r="AZ169" s="8">
        <f>+SUMIFS(AZ$2:AZ$149,$CB$2:$CB$149,Table1[[#This Row],[BAĞLANTI]])</f>
        <v>0</v>
      </c>
      <c r="BA169" s="8">
        <f>+SUMIFS(BA$2:BA$149,$CB$2:$CB$149,Table1[[#This Row],[BAĞLANTI]])</f>
        <v>0</v>
      </c>
      <c r="BB169" s="8">
        <f>+SUMIFS(BB$2:BB$149,$CB$2:$CB$149,Table1[[#This Row],[BAĞLANTI]])</f>
        <v>0</v>
      </c>
      <c r="BC169" s="8">
        <f>+SUMIFS(BC$2:BC$149,$CB$2:$CB$149,Table1[[#This Row],[BAĞLANTI]])</f>
        <v>0</v>
      </c>
      <c r="BD169" s="8">
        <f>+SUMIFS(BD$2:BD$149,$CB$2:$CB$149,Table1[[#This Row],[BAĞLANTI]])</f>
        <v>0</v>
      </c>
      <c r="BE169" s="8">
        <f>+SUMIFS(BE$2:BE$149,$CB$2:$CB$149,Table1[[#This Row],[BAĞLANTI]])</f>
        <v>0</v>
      </c>
      <c r="BF169" s="8">
        <f>+SUMIFS(BF$2:BF$149,$CB$2:$CB$149,Table1[[#This Row],[BAĞLANTI]])</f>
        <v>0</v>
      </c>
      <c r="BG169" s="8">
        <f>+SUMIFS(BG$2:BG$149,$CB$2:$CB$149,Table1[[#This Row],[BAĞLANTI]])</f>
        <v>0</v>
      </c>
      <c r="BH169" s="8">
        <f>+SUMIFS(BH$2:BH$149,$CB$2:$CB$149,Table1[[#This Row],[BAĞLANTI]])</f>
        <v>0</v>
      </c>
      <c r="BI169" s="8">
        <f>+SUMIFS(BI$2:BI$149,$CB$2:$CB$149,Table1[[#This Row],[BAĞLANTI]])</f>
        <v>0</v>
      </c>
      <c r="BJ169" s="8">
        <f>+SUMIFS(BJ$2:BJ$149,$CB$2:$CB$149,Table1[[#This Row],[BAĞLANTI]])</f>
        <v>0</v>
      </c>
      <c r="BK169" s="8">
        <f>+SUMIFS(BK$2:BK$149,$CB$2:$CB$149,Table1[[#This Row],[BAĞLANTI]])</f>
        <v>0</v>
      </c>
      <c r="BL169" s="8">
        <f>+SUMIFS(BL$2:BL$149,$CB$2:$CB$149,Table1[[#This Row],[BAĞLANTI]])</f>
        <v>0</v>
      </c>
      <c r="BM169" s="8">
        <f>+SUMIFS(BM$2:BM$149,$CB$2:$CB$149,Table1[[#This Row],[BAĞLANTI]])</f>
        <v>0</v>
      </c>
      <c r="BN169" s="8">
        <f>+SUMIFS(BN$2:BN$149,$CB$2:$CB$149,Table1[[#This Row],[BAĞLANTI]])</f>
        <v>0</v>
      </c>
      <c r="BO169" s="8">
        <f>+SUMIFS(BO$2:BO$149,$CB$2:$CB$149,Table1[[#This Row],[BAĞLANTI]])</f>
        <v>0</v>
      </c>
      <c r="BP169" s="8">
        <f>+SUMIFS(BP$2:BP$149,$CB$2:$CB$149,Table1[[#This Row],[BAĞLANTI]])</f>
        <v>0</v>
      </c>
      <c r="BQ169" s="8">
        <f>+SUMIFS(BQ$2:BQ$149,$CB$2:$CB$149,Table1[[#This Row],[BAĞLANTI]])</f>
        <v>0</v>
      </c>
      <c r="BR169" s="8">
        <f>+SUMIFS(BR$2:BR$149,$CB$2:$CB$149,Table1[[#This Row],[BAĞLANTI]])</f>
        <v>0</v>
      </c>
      <c r="BS169" s="8">
        <f>+SUMIFS(BS$2:BS$149,$CB$2:$CB$149,Table1[[#This Row],[BAĞLANTI]])</f>
        <v>0</v>
      </c>
      <c r="BT169" s="8">
        <f>+SUMIFS(BT$2:BT$149,$CB$2:$CB$149,Table1[[#This Row],[BAĞLANTI]])</f>
        <v>0</v>
      </c>
      <c r="BU169" s="8">
        <f>+SUMIFS(BU$2:BU$149,$CB$2:$CB$149,Table1[[#This Row],[BAĞLANTI]])</f>
        <v>0</v>
      </c>
      <c r="BV169" s="8">
        <f>+SUMIFS(BV$2:BV$149,$CB$2:$CB$149,Table1[[#This Row],[BAĞLANTI]])</f>
        <v>0</v>
      </c>
      <c r="BW169" s="8">
        <f>+SUMIFS(BW$2:BW$149,$CB$2:$CB$149,Table1[[#This Row],[BAĞLANTI]])</f>
        <v>0</v>
      </c>
      <c r="BX169" s="8">
        <f>+SUMIFS(BX$2:BX$149,$CB$2:$CB$149,Table1[[#This Row],[BAĞLANTI]])</f>
        <v>0</v>
      </c>
      <c r="BY169" s="8">
        <f>+SUMIFS(BY$2:BY$149,$CB$2:$CB$149,Table1[[#This Row],[BAĞLANTI]])</f>
        <v>0</v>
      </c>
      <c r="BZ169" s="8">
        <f>+SUMIFS(BZ$2:BZ$149,$CB$2:$CB$149,Table1[[#This Row],[BAĞLANTI]])</f>
        <v>0</v>
      </c>
      <c r="CA169" s="8">
        <f>+SUMIFS(CA$2:CA$149,$CB$2:$CB$149,Table1[[#This Row],[BAĞLANTI]])</f>
        <v>0</v>
      </c>
      <c r="CB169" s="8" t="s">
        <v>5355</v>
      </c>
    </row>
    <row r="170" spans="1:80">
      <c r="A170" s="3" t="s">
        <v>5444</v>
      </c>
      <c r="B170" t="s">
        <v>9</v>
      </c>
      <c r="C170" t="s">
        <v>173</v>
      </c>
      <c r="D170" t="s">
        <v>5181</v>
      </c>
      <c r="E170" t="s">
        <v>5183</v>
      </c>
      <c r="F170" s="77" t="s">
        <v>4973</v>
      </c>
      <c r="G170" t="s">
        <v>4983</v>
      </c>
      <c r="H170" s="3" t="s">
        <v>4984</v>
      </c>
      <c r="I170" s="3" t="s">
        <v>5194</v>
      </c>
      <c r="J170" s="78"/>
      <c r="K170" s="78"/>
      <c r="M170" s="78"/>
      <c r="N170" s="8">
        <f>+SUMIFS(N$2:N$149,$CB$2:$CB$149,Table1[[#This Row],[BAĞLANTI]])</f>
        <v>0</v>
      </c>
      <c r="O170" s="8">
        <f>+SUMIFS(O$2:O$149,$CB$2:$CB$149,Table1[[#This Row],[BAĞLANTI]])</f>
        <v>0</v>
      </c>
      <c r="P170" s="8">
        <f>+SUMIFS(P$2:P$149,$CB$2:$CB$149,Table1[[#This Row],[BAĞLANTI]])</f>
        <v>0</v>
      </c>
      <c r="Q170" s="8">
        <f>+SUMIFS(Q$2:Q$149,$CB$2:$CB$149,Table1[[#This Row],[BAĞLANTI]])</f>
        <v>0</v>
      </c>
      <c r="R170" s="8">
        <f>+SUMIFS(R$2:R$149,$CB$2:$CB$149,Table1[[#This Row],[BAĞLANTI]])</f>
        <v>0</v>
      </c>
      <c r="S170" s="8">
        <f>+SUMIFS(S$2:S$149,$CB$2:$CB$149,Table1[[#This Row],[BAĞLANTI]])</f>
        <v>0</v>
      </c>
      <c r="T170" s="8">
        <f>+SUMIFS(T$2:T$149,$CB$2:$CB$149,Table1[[#This Row],[BAĞLANTI]])</f>
        <v>0</v>
      </c>
      <c r="U170" s="8">
        <f>+SUMIFS(U$2:U$149,$CB$2:$CB$149,Table1[[#This Row],[BAĞLANTI]])</f>
        <v>0</v>
      </c>
      <c r="V170" s="8">
        <f>+SUMIFS(V$2:V$149,$CB$2:$CB$149,Table1[[#This Row],[BAĞLANTI]])</f>
        <v>0</v>
      </c>
      <c r="W170" s="8">
        <f>+SUMIFS(W$2:W$149,$CB$2:$CB$149,Table1[[#This Row],[BAĞLANTI]])</f>
        <v>0</v>
      </c>
      <c r="X170" s="10">
        <f>+SUMIFS(X$2:X$149,$CB$2:$CB$149,Table1[[#This Row],[BAĞLANTI]])</f>
        <v>0</v>
      </c>
      <c r="Y170" s="8">
        <f>+SUMIFS(Y$2:Y$149,$CB$2:$CB$149,Table1[[#This Row],[BAĞLANTI]])</f>
        <v>0</v>
      </c>
      <c r="Z170" s="8">
        <f>+SUMIFS(Z$2:Z$149,$CB$2:$CB$149,Table1[[#This Row],[BAĞLANTI]])</f>
        <v>32.188952359068296</v>
      </c>
      <c r="AA170" s="8">
        <f>+SUMIFS(AA$2:AA$149,$CB$2:$CB$149,Table1[[#This Row],[BAĞLANTI]])</f>
        <v>20.347949506088426</v>
      </c>
      <c r="AB170" s="8">
        <f>+SUMIFS(AB$2:AB$149,$CB$2:$CB$149,Table1[[#This Row],[BAĞLANTI]])</f>
        <v>14.276138680197745</v>
      </c>
      <c r="AC170" s="8">
        <f>+SUMIFS(AC$2:AC$149,$CB$2:$CB$149,Table1[[#This Row],[BAĞLANTI]])</f>
        <v>18.249477564537479</v>
      </c>
      <c r="AD170" s="8">
        <f>+SUMIFS(AD$2:AD$149,$CB$2:$CB$149,Table1[[#This Row],[BAĞLANTI]])</f>
        <v>39.327041542441734</v>
      </c>
      <c r="AE170" s="8">
        <f>+SUMIFS(AE$2:AE$149,$CB$2:$CB$149,Table1[[#This Row],[BAĞLANTI]])</f>
        <v>34.736656385615447</v>
      </c>
      <c r="AF170" s="8">
        <f>+SUMIFS(AF$2:AF$149,$CB$2:$CB$149,Table1[[#This Row],[BAĞLANTI]])</f>
        <v>29.817065524552632</v>
      </c>
      <c r="AG170" s="8">
        <f>+SUMIFS(AG$2:AG$149,$CB$2:$CB$149,Table1[[#This Row],[BAĞLANTI]])</f>
        <v>33.519088472006594</v>
      </c>
      <c r="AH170" s="8">
        <f>+SUMIFS(AH$2:AH$149,$CB$2:$CB$149,Table1[[#This Row],[BAĞLANTI]])</f>
        <v>33.519088472006594</v>
      </c>
      <c r="AI170" s="8">
        <f>+SUMIFS(AI$2:AI$149,$CB$2:$CB$149,Table1[[#This Row],[BAĞLANTI]])</f>
        <v>28.599497610943704</v>
      </c>
      <c r="AJ170" s="8">
        <f>+SUMIFS(AJ$2:AJ$149,$CB$2:$CB$149,Table1[[#This Row],[BAĞLANTI]])</f>
        <v>28.599497610943704</v>
      </c>
      <c r="AK170" s="8">
        <f>+SUMIFS(AK$2:AK$149,$CB$2:$CB$149,Table1[[#This Row],[BAĞLANTI]])</f>
        <v>35.127387222159939</v>
      </c>
      <c r="AL170" s="8">
        <f>+SUMIFS(AL$2:AL$149,$CB$2:$CB$149,Table1[[#This Row],[BAĞLANTI]])</f>
        <v>26.988407316633978</v>
      </c>
      <c r="AM170" s="8">
        <f>+SUMIFS(AM$2:AM$149,$CB$2:$CB$149,Table1[[#This Row],[BAĞLANTI]])</f>
        <v>25.497271928764874</v>
      </c>
      <c r="AN170" s="8">
        <f>+SUMIFS(AN$2:AN$149,$CB$2:$CB$149,Table1[[#This Row],[BAĞLANTI]])</f>
        <v>19.425461102874113</v>
      </c>
      <c r="AO170" s="8">
        <f>+SUMIFS(AO$2:AO$149,$CB$2:$CB$149,Table1[[#This Row],[BAĞLANTI]])</f>
        <v>20.218118621173875</v>
      </c>
      <c r="AP170" s="8">
        <f>+SUMIFS(AP$2:AP$149,$CB$2:$CB$149,Table1[[#This Row],[BAĞLANTI]])</f>
        <v>37.281331134018053</v>
      </c>
      <c r="AQ170" s="8">
        <f>+SUMIFS(AQ$2:AQ$149,$CB$2:$CB$149,Table1[[#This Row],[BAĞLANTI]])</f>
        <v>42.200921995080868</v>
      </c>
      <c r="AR170" s="8">
        <f>+SUMIFS(AR$2:AR$149,$CB$2:$CB$149,Table1[[#This Row],[BAĞLANTI]])</f>
        <v>42.200921995080868</v>
      </c>
      <c r="AS170" s="8">
        <f>+SUMIFS(AS$2:AS$149,$CB$2:$CB$149,Table1[[#This Row],[BAĞLANTI]])</f>
        <v>66.488165298643594</v>
      </c>
      <c r="AT170" s="8">
        <f>+SUMIFS(AT$2:AT$149,$CB$2:$CB$149,Table1[[#This Row],[BAĞLANTI]])</f>
        <v>67.472083470856205</v>
      </c>
      <c r="AU170" s="8">
        <f>+SUMIFS(AU$2:AU$149,$CB$2:$CB$149,Table1[[#This Row],[BAĞLANTI]])</f>
        <v>62.55249260979339</v>
      </c>
      <c r="AV170" s="8">
        <f>+SUMIFS(AV$2:AV$149,$CB$2:$CB$149,Table1[[#This Row],[BAĞLANTI]])</f>
        <v>56.648983576517978</v>
      </c>
      <c r="AW170" s="8">
        <f>+SUMIFS(AW$2:AW$149,$CB$2:$CB$149,Table1[[#This Row],[BAĞLANTI]])</f>
        <v>0</v>
      </c>
      <c r="AX170" s="8">
        <f>+SUMIFS(AX$2:AX$149,$CB$2:$CB$149,Table1[[#This Row],[BAĞLANTI]])</f>
        <v>0</v>
      </c>
      <c r="AY170" s="8">
        <f>+SUMIFS(AY$2:AY$149,$CB$2:$CB$149,Table1[[#This Row],[BAĞLANTI]])</f>
        <v>0</v>
      </c>
      <c r="AZ170" s="8">
        <f>+SUMIFS(AZ$2:AZ$149,$CB$2:$CB$149,Table1[[#This Row],[BAĞLANTI]])</f>
        <v>0</v>
      </c>
      <c r="BA170" s="8">
        <f>+SUMIFS(BA$2:BA$149,$CB$2:$CB$149,Table1[[#This Row],[BAĞLANTI]])</f>
        <v>0</v>
      </c>
      <c r="BB170" s="8">
        <f>+SUMIFS(BB$2:BB$149,$CB$2:$CB$149,Table1[[#This Row],[BAĞLANTI]])</f>
        <v>0</v>
      </c>
      <c r="BC170" s="8">
        <f>+SUMIFS(BC$2:BC$149,$CB$2:$CB$149,Table1[[#This Row],[BAĞLANTI]])</f>
        <v>0</v>
      </c>
      <c r="BD170" s="8">
        <f>+SUMIFS(BD$2:BD$149,$CB$2:$CB$149,Table1[[#This Row],[BAĞLANTI]])</f>
        <v>0</v>
      </c>
      <c r="BE170" s="8">
        <f>+SUMIFS(BE$2:BE$149,$CB$2:$CB$149,Table1[[#This Row],[BAĞLANTI]])</f>
        <v>0</v>
      </c>
      <c r="BF170" s="8">
        <f>+SUMIFS(BF$2:BF$149,$CB$2:$CB$149,Table1[[#This Row],[BAĞLANTI]])</f>
        <v>0</v>
      </c>
      <c r="BG170" s="8">
        <f>+SUMIFS(BG$2:BG$149,$CB$2:$CB$149,Table1[[#This Row],[BAĞLANTI]])</f>
        <v>0</v>
      </c>
      <c r="BH170" s="8">
        <f>+SUMIFS(BH$2:BH$149,$CB$2:$CB$149,Table1[[#This Row],[BAĞLANTI]])</f>
        <v>0</v>
      </c>
      <c r="BI170" s="8">
        <f>+SUMIFS(BI$2:BI$149,$CB$2:$CB$149,Table1[[#This Row],[BAĞLANTI]])</f>
        <v>0</v>
      </c>
      <c r="BJ170" s="8">
        <f>+SUMIFS(BJ$2:BJ$149,$CB$2:$CB$149,Table1[[#This Row],[BAĞLANTI]])</f>
        <v>0</v>
      </c>
      <c r="BK170" s="8">
        <f>+SUMIFS(BK$2:BK$149,$CB$2:$CB$149,Table1[[#This Row],[BAĞLANTI]])</f>
        <v>0</v>
      </c>
      <c r="BL170" s="8">
        <f>+SUMIFS(BL$2:BL$149,$CB$2:$CB$149,Table1[[#This Row],[BAĞLANTI]])</f>
        <v>0</v>
      </c>
      <c r="BM170" s="8">
        <f>+SUMIFS(BM$2:BM$149,$CB$2:$CB$149,Table1[[#This Row],[BAĞLANTI]])</f>
        <v>0</v>
      </c>
      <c r="BN170" s="8">
        <f>+SUMIFS(BN$2:BN$149,$CB$2:$CB$149,Table1[[#This Row],[BAĞLANTI]])</f>
        <v>0</v>
      </c>
      <c r="BO170" s="8">
        <f>+SUMIFS(BO$2:BO$149,$CB$2:$CB$149,Table1[[#This Row],[BAĞLANTI]])</f>
        <v>0</v>
      </c>
      <c r="BP170" s="8">
        <f>+SUMIFS(BP$2:BP$149,$CB$2:$CB$149,Table1[[#This Row],[BAĞLANTI]])</f>
        <v>0</v>
      </c>
      <c r="BQ170" s="8">
        <f>+SUMIFS(BQ$2:BQ$149,$CB$2:$CB$149,Table1[[#This Row],[BAĞLANTI]])</f>
        <v>0</v>
      </c>
      <c r="BR170" s="8">
        <f>+SUMIFS(BR$2:BR$149,$CB$2:$CB$149,Table1[[#This Row],[BAĞLANTI]])</f>
        <v>0</v>
      </c>
      <c r="BS170" s="8">
        <f>+SUMIFS(BS$2:BS$149,$CB$2:$CB$149,Table1[[#This Row],[BAĞLANTI]])</f>
        <v>0</v>
      </c>
      <c r="BT170" s="8">
        <f>+SUMIFS(BT$2:BT$149,$CB$2:$CB$149,Table1[[#This Row],[BAĞLANTI]])</f>
        <v>0</v>
      </c>
      <c r="BU170" s="8">
        <f>+SUMIFS(BU$2:BU$149,$CB$2:$CB$149,Table1[[#This Row],[BAĞLANTI]])</f>
        <v>0</v>
      </c>
      <c r="BV170" s="8">
        <f>+SUMIFS(BV$2:BV$149,$CB$2:$CB$149,Table1[[#This Row],[BAĞLANTI]])</f>
        <v>0</v>
      </c>
      <c r="BW170" s="8">
        <f>+SUMIFS(BW$2:BW$149,$CB$2:$CB$149,Table1[[#This Row],[BAĞLANTI]])</f>
        <v>0</v>
      </c>
      <c r="BX170" s="8">
        <f>+SUMIFS(BX$2:BX$149,$CB$2:$CB$149,Table1[[#This Row],[BAĞLANTI]])</f>
        <v>0</v>
      </c>
      <c r="BY170" s="8">
        <f>+SUMIFS(BY$2:BY$149,$CB$2:$CB$149,Table1[[#This Row],[BAĞLANTI]])</f>
        <v>0</v>
      </c>
      <c r="BZ170" s="8">
        <f>+SUMIFS(BZ$2:BZ$149,$CB$2:$CB$149,Table1[[#This Row],[BAĞLANTI]])</f>
        <v>0</v>
      </c>
      <c r="CA170" s="8">
        <f>+SUMIFS(CA$2:CA$149,$CB$2:$CB$149,Table1[[#This Row],[BAĞLANTI]])</f>
        <v>0</v>
      </c>
      <c r="CB170" s="8" t="s">
        <v>5356</v>
      </c>
    </row>
    <row r="171" spans="1:80">
      <c r="A171" s="3" t="s">
        <v>5444</v>
      </c>
      <c r="B171" t="s">
        <v>10</v>
      </c>
      <c r="C171" t="s">
        <v>178</v>
      </c>
      <c r="D171" t="s">
        <v>71</v>
      </c>
      <c r="E171" t="s">
        <v>4974</v>
      </c>
      <c r="F171" s="77" t="s">
        <v>4973</v>
      </c>
      <c r="G171" t="s">
        <v>4983</v>
      </c>
      <c r="H171" s="3" t="s">
        <v>4984</v>
      </c>
      <c r="I171" s="3" t="s">
        <v>5194</v>
      </c>
      <c r="J171" s="78"/>
      <c r="K171" s="78"/>
      <c r="M171" s="78"/>
      <c r="N171" s="8">
        <f>+SUMIFS(N$2:N$149,$CB$2:$CB$149,Table1[[#This Row],[BAĞLANTI]])</f>
        <v>0</v>
      </c>
      <c r="O171" s="8">
        <f>+SUMIFS(O$2:O$149,$CB$2:$CB$149,Table1[[#This Row],[BAĞLANTI]])</f>
        <v>0</v>
      </c>
      <c r="P171" s="8">
        <f>+SUMIFS(P$2:P$149,$CB$2:$CB$149,Table1[[#This Row],[BAĞLANTI]])</f>
        <v>0</v>
      </c>
      <c r="Q171" s="8">
        <f>+SUMIFS(Q$2:Q$149,$CB$2:$CB$149,Table1[[#This Row],[BAĞLANTI]])</f>
        <v>0</v>
      </c>
      <c r="R171" s="8">
        <f>+SUMIFS(R$2:R$149,$CB$2:$CB$149,Table1[[#This Row],[BAĞLANTI]])</f>
        <v>0</v>
      </c>
      <c r="S171" s="8">
        <f>+SUMIFS(S$2:S$149,$CB$2:$CB$149,Table1[[#This Row],[BAĞLANTI]])</f>
        <v>0</v>
      </c>
      <c r="T171" s="8">
        <f>+SUMIFS(T$2:T$149,$CB$2:$CB$149,Table1[[#This Row],[BAĞLANTI]])</f>
        <v>0</v>
      </c>
      <c r="U171" s="8">
        <f>+SUMIFS(U$2:U$149,$CB$2:$CB$149,Table1[[#This Row],[BAĞLANTI]])</f>
        <v>0</v>
      </c>
      <c r="V171" s="8">
        <f>+SUMIFS(V$2:V$149,$CB$2:$CB$149,Table1[[#This Row],[BAĞLANTI]])</f>
        <v>0</v>
      </c>
      <c r="W171" s="8">
        <f>+SUMIFS(W$2:W$149,$CB$2:$CB$149,Table1[[#This Row],[BAĞLANTI]])</f>
        <v>0</v>
      </c>
      <c r="X171" s="10">
        <f>+SUMIFS(X$2:X$149,$CB$2:$CB$149,Table1[[#This Row],[BAĞLANTI]])</f>
        <v>0</v>
      </c>
      <c r="Y171" s="8">
        <f>+SUMIFS(Y$2:Y$149,$CB$2:$CB$149,Table1[[#This Row],[BAĞLANTI]])</f>
        <v>23.100000000000019</v>
      </c>
      <c r="Z171" s="8">
        <f>+SUMIFS(Z$2:Z$149,$CB$2:$CB$149,Table1[[#This Row],[BAĞLANTI]])</f>
        <v>99.430000000000049</v>
      </c>
      <c r="AA171" s="8">
        <f>+SUMIFS(AA$2:AA$149,$CB$2:$CB$149,Table1[[#This Row],[BAĞLANTI]])</f>
        <v>122.53000000000007</v>
      </c>
      <c r="AB171" s="8">
        <f>+SUMIFS(AB$2:AB$149,$CB$2:$CB$149,Table1[[#This Row],[BAĞLANTI]])</f>
        <v>99.430000000000049</v>
      </c>
      <c r="AC171" s="8">
        <f>+SUMIFS(AC$2:AC$149,$CB$2:$CB$149,Table1[[#This Row],[BAĞLANTI]])</f>
        <v>99.430000000000049</v>
      </c>
      <c r="AD171" s="8">
        <f>+SUMIFS(AD$2:AD$149,$CB$2:$CB$149,Table1[[#This Row],[BAĞLANTI]])</f>
        <v>264.35500000000008</v>
      </c>
      <c r="AE171" s="8">
        <f>+SUMIFS(AE$2:AE$149,$CB$2:$CB$149,Table1[[#This Row],[BAĞLANTI]])</f>
        <v>164.92500000000007</v>
      </c>
      <c r="AF171" s="8">
        <f>+SUMIFS(AF$2:AF$149,$CB$2:$CB$149,Table1[[#This Row],[BAĞLANTI]])</f>
        <v>164.92500000000007</v>
      </c>
      <c r="AG171" s="8">
        <f>+SUMIFS(AG$2:AG$149,$CB$2:$CB$149,Table1[[#This Row],[BAĞLANTI]])</f>
        <v>259.9250000000003</v>
      </c>
      <c r="AH171" s="8">
        <f>+SUMIFS(AH$2:AH$149,$CB$2:$CB$149,Table1[[#This Row],[BAĞLANTI]])</f>
        <v>358.25833333333372</v>
      </c>
      <c r="AI171" s="8">
        <f>+SUMIFS(AI$2:AI$149,$CB$2:$CB$149,Table1[[#This Row],[BAĞLANTI]])</f>
        <v>358.25833333333372</v>
      </c>
      <c r="AJ171" s="8">
        <f>+SUMIFS(AJ$2:AJ$149,$CB$2:$CB$149,Table1[[#This Row],[BAĞLANTI]])</f>
        <v>358.25833333333372</v>
      </c>
      <c r="AK171" s="8">
        <f>+SUMIFS(AK$2:AK$149,$CB$2:$CB$149,Table1[[#This Row],[BAĞLANTI]])</f>
        <v>320.75833333333361</v>
      </c>
      <c r="AL171" s="8">
        <f>+SUMIFS(AL$2:AL$149,$CB$2:$CB$149,Table1[[#This Row],[BAĞLANTI]])</f>
        <v>225.13333333333361</v>
      </c>
      <c r="AM171" s="8">
        <f>+SUMIFS(AM$2:AM$149,$CB$2:$CB$149,Table1[[#This Row],[BAĞLANTI]])</f>
        <v>167.6333333333335</v>
      </c>
      <c r="AN171" s="8">
        <f>+SUMIFS(AN$2:AN$149,$CB$2:$CB$149,Table1[[#This Row],[BAĞLANTI]])</f>
        <v>136.20000000000027</v>
      </c>
      <c r="AO171" s="8">
        <f>+SUMIFS(AO$2:AO$149,$CB$2:$CB$149,Table1[[#This Row],[BAĞLANTI]])</f>
        <v>136.20000000000027</v>
      </c>
      <c r="AP171" s="8">
        <f>+SUMIFS(AP$2:AP$149,$CB$2:$CB$149,Table1[[#This Row],[BAĞLANTI]])</f>
        <v>182.40000000000032</v>
      </c>
      <c r="AQ171" s="8">
        <f>+SUMIFS(AQ$2:AQ$149,$CB$2:$CB$149,Table1[[#This Row],[BAĞLANTI]])</f>
        <v>182.40000000000032</v>
      </c>
      <c r="AR171" s="8">
        <f>+SUMIFS(AR$2:AR$149,$CB$2:$CB$149,Table1[[#This Row],[BAĞLANTI]])</f>
        <v>182.40000000000032</v>
      </c>
      <c r="AS171" s="8">
        <f>+SUMIFS(AS$2:AS$149,$CB$2:$CB$149,Table1[[#This Row],[BAĞLANTI]])</f>
        <v>182.40000000000032</v>
      </c>
      <c r="AT171" s="8">
        <f>+SUMIFS(AT$2:AT$149,$CB$2:$CB$149,Table1[[#This Row],[BAĞLANTI]])</f>
        <v>182.40000000000032</v>
      </c>
      <c r="AU171" s="8">
        <f>+SUMIFS(AU$2:AU$149,$CB$2:$CB$149,Table1[[#This Row],[BAĞLANTI]])</f>
        <v>182.40000000000032</v>
      </c>
      <c r="AV171" s="8">
        <f>+SUMIFS(AV$2:AV$149,$CB$2:$CB$149,Table1[[#This Row],[BAĞLANTI]])</f>
        <v>182.40000000000032</v>
      </c>
      <c r="AW171" s="8">
        <f>+SUMIFS(AW$2:AW$149,$CB$2:$CB$149,Table1[[#This Row],[BAĞLANTI]])</f>
        <v>92.400000000000077</v>
      </c>
      <c r="AX171" s="8">
        <f>+SUMIFS(AX$2:AX$149,$CB$2:$CB$149,Table1[[#This Row],[BAĞLANTI]])</f>
        <v>92.400000000000077</v>
      </c>
      <c r="AY171" s="8">
        <f>+SUMIFS(AY$2:AY$149,$CB$2:$CB$149,Table1[[#This Row],[BAĞLANTI]])</f>
        <v>92.400000000000077</v>
      </c>
      <c r="AZ171" s="8">
        <f>+SUMIFS(AZ$2:AZ$149,$CB$2:$CB$149,Table1[[#This Row],[BAĞLANTI]])</f>
        <v>92.400000000000077</v>
      </c>
      <c r="BA171" s="8">
        <f>+SUMIFS(BA$2:BA$149,$CB$2:$CB$149,Table1[[#This Row],[BAĞLANTI]])</f>
        <v>0</v>
      </c>
      <c r="BB171" s="8">
        <f>+SUMIFS(BB$2:BB$149,$CB$2:$CB$149,Table1[[#This Row],[BAĞLANTI]])</f>
        <v>0</v>
      </c>
      <c r="BC171" s="8">
        <f>+SUMIFS(BC$2:BC$149,$CB$2:$CB$149,Table1[[#This Row],[BAĞLANTI]])</f>
        <v>0</v>
      </c>
      <c r="BD171" s="8">
        <f>+SUMIFS(BD$2:BD$149,$CB$2:$CB$149,Table1[[#This Row],[BAĞLANTI]])</f>
        <v>0</v>
      </c>
      <c r="BE171" s="8">
        <f>+SUMIFS(BE$2:BE$149,$CB$2:$CB$149,Table1[[#This Row],[BAĞLANTI]])</f>
        <v>0</v>
      </c>
      <c r="BF171" s="8">
        <f>+SUMIFS(BF$2:BF$149,$CB$2:$CB$149,Table1[[#This Row],[BAĞLANTI]])</f>
        <v>0</v>
      </c>
      <c r="BG171" s="8">
        <f>+SUMIFS(BG$2:BG$149,$CB$2:$CB$149,Table1[[#This Row],[BAĞLANTI]])</f>
        <v>0</v>
      </c>
      <c r="BH171" s="8">
        <f>+SUMIFS(BH$2:BH$149,$CB$2:$CB$149,Table1[[#This Row],[BAĞLANTI]])</f>
        <v>0</v>
      </c>
      <c r="BI171" s="8">
        <f>+SUMIFS(BI$2:BI$149,$CB$2:$CB$149,Table1[[#This Row],[BAĞLANTI]])</f>
        <v>0</v>
      </c>
      <c r="BJ171" s="8">
        <f>+SUMIFS(BJ$2:BJ$149,$CB$2:$CB$149,Table1[[#This Row],[BAĞLANTI]])</f>
        <v>0</v>
      </c>
      <c r="BK171" s="8">
        <f>+SUMIFS(BK$2:BK$149,$CB$2:$CB$149,Table1[[#This Row],[BAĞLANTI]])</f>
        <v>0</v>
      </c>
      <c r="BL171" s="8">
        <f>+SUMIFS(BL$2:BL$149,$CB$2:$CB$149,Table1[[#This Row],[BAĞLANTI]])</f>
        <v>0</v>
      </c>
      <c r="BM171" s="8">
        <f>+SUMIFS(BM$2:BM$149,$CB$2:$CB$149,Table1[[#This Row],[BAĞLANTI]])</f>
        <v>0</v>
      </c>
      <c r="BN171" s="8">
        <f>+SUMIFS(BN$2:BN$149,$CB$2:$CB$149,Table1[[#This Row],[BAĞLANTI]])</f>
        <v>0</v>
      </c>
      <c r="BO171" s="8">
        <f>+SUMIFS(BO$2:BO$149,$CB$2:$CB$149,Table1[[#This Row],[BAĞLANTI]])</f>
        <v>0</v>
      </c>
      <c r="BP171" s="8">
        <f>+SUMIFS(BP$2:BP$149,$CB$2:$CB$149,Table1[[#This Row],[BAĞLANTI]])</f>
        <v>0</v>
      </c>
      <c r="BQ171" s="8">
        <f>+SUMIFS(BQ$2:BQ$149,$CB$2:$CB$149,Table1[[#This Row],[BAĞLANTI]])</f>
        <v>0</v>
      </c>
      <c r="BR171" s="8">
        <f>+SUMIFS(BR$2:BR$149,$CB$2:$CB$149,Table1[[#This Row],[BAĞLANTI]])</f>
        <v>0</v>
      </c>
      <c r="BS171" s="8">
        <f>+SUMIFS(BS$2:BS$149,$CB$2:$CB$149,Table1[[#This Row],[BAĞLANTI]])</f>
        <v>0</v>
      </c>
      <c r="BT171" s="8">
        <f>+SUMIFS(BT$2:BT$149,$CB$2:$CB$149,Table1[[#This Row],[BAĞLANTI]])</f>
        <v>0</v>
      </c>
      <c r="BU171" s="8">
        <f>+SUMIFS(BU$2:BU$149,$CB$2:$CB$149,Table1[[#This Row],[BAĞLANTI]])</f>
        <v>0</v>
      </c>
      <c r="BV171" s="8">
        <f>+SUMIFS(BV$2:BV$149,$CB$2:$CB$149,Table1[[#This Row],[BAĞLANTI]])</f>
        <v>0</v>
      </c>
      <c r="BW171" s="8">
        <f>+SUMIFS(BW$2:BW$149,$CB$2:$CB$149,Table1[[#This Row],[BAĞLANTI]])</f>
        <v>0</v>
      </c>
      <c r="BX171" s="8">
        <f>+SUMIFS(BX$2:BX$149,$CB$2:$CB$149,Table1[[#This Row],[BAĞLANTI]])</f>
        <v>0</v>
      </c>
      <c r="BY171" s="8">
        <f>+SUMIFS(BY$2:BY$149,$CB$2:$CB$149,Table1[[#This Row],[BAĞLANTI]])</f>
        <v>0</v>
      </c>
      <c r="BZ171" s="8">
        <f>+SUMIFS(BZ$2:BZ$149,$CB$2:$CB$149,Table1[[#This Row],[BAĞLANTI]])</f>
        <v>0</v>
      </c>
      <c r="CA171" s="8">
        <f>+SUMIFS(CA$2:CA$149,$CB$2:$CB$149,Table1[[#This Row],[BAĞLANTI]])</f>
        <v>0</v>
      </c>
      <c r="CB171" s="8" t="s">
        <v>5374</v>
      </c>
    </row>
    <row r="172" spans="1:80">
      <c r="A172" s="3" t="s">
        <v>5444</v>
      </c>
      <c r="B172" t="s">
        <v>10</v>
      </c>
      <c r="C172" t="s">
        <v>178</v>
      </c>
      <c r="D172" t="s">
        <v>73</v>
      </c>
      <c r="E172" t="s">
        <v>4975</v>
      </c>
      <c r="F172" s="77" t="s">
        <v>4973</v>
      </c>
      <c r="G172" t="s">
        <v>4983</v>
      </c>
      <c r="H172" s="3" t="s">
        <v>4984</v>
      </c>
      <c r="I172" s="3" t="s">
        <v>5194</v>
      </c>
      <c r="J172" s="78"/>
      <c r="K172" s="78"/>
      <c r="M172" s="78"/>
      <c r="N172" s="8">
        <f>+SUMIFS(N$2:N$149,$CB$2:$CB$149,Table1[[#This Row],[BAĞLANTI]])</f>
        <v>0</v>
      </c>
      <c r="O172" s="8">
        <f>+SUMIFS(O$2:O$149,$CB$2:$CB$149,Table1[[#This Row],[BAĞLANTI]])</f>
        <v>0</v>
      </c>
      <c r="P172" s="8">
        <f>+SUMIFS(P$2:P$149,$CB$2:$CB$149,Table1[[#This Row],[BAĞLANTI]])</f>
        <v>0</v>
      </c>
      <c r="Q172" s="8">
        <f>+SUMIFS(Q$2:Q$149,$CB$2:$CB$149,Table1[[#This Row],[BAĞLANTI]])</f>
        <v>0</v>
      </c>
      <c r="R172" s="8">
        <f>+SUMIFS(R$2:R$149,$CB$2:$CB$149,Table1[[#This Row],[BAĞLANTI]])</f>
        <v>0</v>
      </c>
      <c r="S172" s="8">
        <f>+SUMIFS(S$2:S$149,$CB$2:$CB$149,Table1[[#This Row],[BAĞLANTI]])</f>
        <v>0</v>
      </c>
      <c r="T172" s="8">
        <f>+SUMIFS(T$2:T$149,$CB$2:$CB$149,Table1[[#This Row],[BAĞLANTI]])</f>
        <v>0</v>
      </c>
      <c r="U172" s="8">
        <f>+SUMIFS(U$2:U$149,$CB$2:$CB$149,Table1[[#This Row],[BAĞLANTI]])</f>
        <v>0</v>
      </c>
      <c r="V172" s="8">
        <f>+SUMIFS(V$2:V$149,$CB$2:$CB$149,Table1[[#This Row],[BAĞLANTI]])</f>
        <v>0</v>
      </c>
      <c r="W172" s="8">
        <f>+SUMIFS(W$2:W$149,$CB$2:$CB$149,Table1[[#This Row],[BAĞLANTI]])</f>
        <v>0</v>
      </c>
      <c r="X172" s="10">
        <f>+SUMIFS(X$2:X$149,$CB$2:$CB$149,Table1[[#This Row],[BAĞLANTI]])</f>
        <v>0</v>
      </c>
      <c r="Y172" s="8">
        <f>+SUMIFS(Y$2:Y$149,$CB$2:$CB$149,Table1[[#This Row],[BAĞLANTI]])</f>
        <v>23.100000000000019</v>
      </c>
      <c r="Z172" s="8">
        <f>+SUMIFS(Z$2:Z$149,$CB$2:$CB$149,Table1[[#This Row],[BAĞLANTI]])</f>
        <v>99.430000000000049</v>
      </c>
      <c r="AA172" s="8">
        <f>+SUMIFS(AA$2:AA$149,$CB$2:$CB$149,Table1[[#This Row],[BAĞLANTI]])</f>
        <v>122.53000000000007</v>
      </c>
      <c r="AB172" s="8">
        <f>+SUMIFS(AB$2:AB$149,$CB$2:$CB$149,Table1[[#This Row],[BAĞLANTI]])</f>
        <v>99.430000000000049</v>
      </c>
      <c r="AC172" s="8">
        <f>+SUMIFS(AC$2:AC$149,$CB$2:$CB$149,Table1[[#This Row],[BAĞLANTI]])</f>
        <v>99.430000000000049</v>
      </c>
      <c r="AD172" s="8">
        <f>+SUMIFS(AD$2:AD$149,$CB$2:$CB$149,Table1[[#This Row],[BAĞLANTI]])</f>
        <v>264.35500000000008</v>
      </c>
      <c r="AE172" s="8">
        <f>+SUMIFS(AE$2:AE$149,$CB$2:$CB$149,Table1[[#This Row],[BAĞLANTI]])</f>
        <v>164.92500000000007</v>
      </c>
      <c r="AF172" s="8">
        <f>+SUMIFS(AF$2:AF$149,$CB$2:$CB$149,Table1[[#This Row],[BAĞLANTI]])</f>
        <v>164.92500000000007</v>
      </c>
      <c r="AG172" s="8">
        <f>+SUMIFS(AG$2:AG$149,$CB$2:$CB$149,Table1[[#This Row],[BAĞLANTI]])</f>
        <v>259.9250000000003</v>
      </c>
      <c r="AH172" s="8">
        <f>+SUMIFS(AH$2:AH$149,$CB$2:$CB$149,Table1[[#This Row],[BAĞLANTI]])</f>
        <v>358.25833333333372</v>
      </c>
      <c r="AI172" s="8">
        <f>+SUMIFS(AI$2:AI$149,$CB$2:$CB$149,Table1[[#This Row],[BAĞLANTI]])</f>
        <v>358.25833333333372</v>
      </c>
      <c r="AJ172" s="8">
        <f>+SUMIFS(AJ$2:AJ$149,$CB$2:$CB$149,Table1[[#This Row],[BAĞLANTI]])</f>
        <v>358.25833333333372</v>
      </c>
      <c r="AK172" s="8">
        <f>+SUMIFS(AK$2:AK$149,$CB$2:$CB$149,Table1[[#This Row],[BAĞLANTI]])</f>
        <v>320.75833333333361</v>
      </c>
      <c r="AL172" s="8">
        <f>+SUMIFS(AL$2:AL$149,$CB$2:$CB$149,Table1[[#This Row],[BAĞLANTI]])</f>
        <v>225.13333333333361</v>
      </c>
      <c r="AM172" s="8">
        <f>+SUMIFS(AM$2:AM$149,$CB$2:$CB$149,Table1[[#This Row],[BAĞLANTI]])</f>
        <v>167.6333333333335</v>
      </c>
      <c r="AN172" s="8">
        <f>+SUMIFS(AN$2:AN$149,$CB$2:$CB$149,Table1[[#This Row],[BAĞLANTI]])</f>
        <v>136.20000000000027</v>
      </c>
      <c r="AO172" s="8">
        <f>+SUMIFS(AO$2:AO$149,$CB$2:$CB$149,Table1[[#This Row],[BAĞLANTI]])</f>
        <v>136.20000000000027</v>
      </c>
      <c r="AP172" s="8">
        <f>+SUMIFS(AP$2:AP$149,$CB$2:$CB$149,Table1[[#This Row],[BAĞLANTI]])</f>
        <v>182.40000000000032</v>
      </c>
      <c r="AQ172" s="8">
        <f>+SUMIFS(AQ$2:AQ$149,$CB$2:$CB$149,Table1[[#This Row],[BAĞLANTI]])</f>
        <v>182.40000000000032</v>
      </c>
      <c r="AR172" s="8">
        <f>+SUMIFS(AR$2:AR$149,$CB$2:$CB$149,Table1[[#This Row],[BAĞLANTI]])</f>
        <v>182.40000000000032</v>
      </c>
      <c r="AS172" s="8">
        <f>+SUMIFS(AS$2:AS$149,$CB$2:$CB$149,Table1[[#This Row],[BAĞLANTI]])</f>
        <v>182.40000000000032</v>
      </c>
      <c r="AT172" s="8">
        <f>+SUMIFS(AT$2:AT$149,$CB$2:$CB$149,Table1[[#This Row],[BAĞLANTI]])</f>
        <v>182.40000000000032</v>
      </c>
      <c r="AU172" s="8">
        <f>+SUMIFS(AU$2:AU$149,$CB$2:$CB$149,Table1[[#This Row],[BAĞLANTI]])</f>
        <v>182.40000000000032</v>
      </c>
      <c r="AV172" s="8">
        <f>+SUMIFS(AV$2:AV$149,$CB$2:$CB$149,Table1[[#This Row],[BAĞLANTI]])</f>
        <v>182.40000000000032</v>
      </c>
      <c r="AW172" s="8">
        <f>+SUMIFS(AW$2:AW$149,$CB$2:$CB$149,Table1[[#This Row],[BAĞLANTI]])</f>
        <v>92.400000000000077</v>
      </c>
      <c r="AX172" s="8">
        <f>+SUMIFS(AX$2:AX$149,$CB$2:$CB$149,Table1[[#This Row],[BAĞLANTI]])</f>
        <v>92.400000000000077</v>
      </c>
      <c r="AY172" s="8">
        <f>+SUMIFS(AY$2:AY$149,$CB$2:$CB$149,Table1[[#This Row],[BAĞLANTI]])</f>
        <v>92.400000000000077</v>
      </c>
      <c r="AZ172" s="8">
        <f>+SUMIFS(AZ$2:AZ$149,$CB$2:$CB$149,Table1[[#This Row],[BAĞLANTI]])</f>
        <v>92.400000000000077</v>
      </c>
      <c r="BA172" s="8">
        <f>+SUMIFS(BA$2:BA$149,$CB$2:$CB$149,Table1[[#This Row],[BAĞLANTI]])</f>
        <v>0</v>
      </c>
      <c r="BB172" s="8">
        <f>+SUMIFS(BB$2:BB$149,$CB$2:$CB$149,Table1[[#This Row],[BAĞLANTI]])</f>
        <v>0</v>
      </c>
      <c r="BC172" s="8">
        <f>+SUMIFS(BC$2:BC$149,$CB$2:$CB$149,Table1[[#This Row],[BAĞLANTI]])</f>
        <v>0</v>
      </c>
      <c r="BD172" s="8">
        <f>+SUMIFS(BD$2:BD$149,$CB$2:$CB$149,Table1[[#This Row],[BAĞLANTI]])</f>
        <v>0</v>
      </c>
      <c r="BE172" s="8">
        <f>+SUMIFS(BE$2:BE$149,$CB$2:$CB$149,Table1[[#This Row],[BAĞLANTI]])</f>
        <v>0</v>
      </c>
      <c r="BF172" s="8">
        <f>+SUMIFS(BF$2:BF$149,$CB$2:$CB$149,Table1[[#This Row],[BAĞLANTI]])</f>
        <v>0</v>
      </c>
      <c r="BG172" s="8">
        <f>+SUMIFS(BG$2:BG$149,$CB$2:$CB$149,Table1[[#This Row],[BAĞLANTI]])</f>
        <v>0</v>
      </c>
      <c r="BH172" s="8">
        <f>+SUMIFS(BH$2:BH$149,$CB$2:$CB$149,Table1[[#This Row],[BAĞLANTI]])</f>
        <v>0</v>
      </c>
      <c r="BI172" s="8">
        <f>+SUMIFS(BI$2:BI$149,$CB$2:$CB$149,Table1[[#This Row],[BAĞLANTI]])</f>
        <v>0</v>
      </c>
      <c r="BJ172" s="8">
        <f>+SUMIFS(BJ$2:BJ$149,$CB$2:$CB$149,Table1[[#This Row],[BAĞLANTI]])</f>
        <v>0</v>
      </c>
      <c r="BK172" s="8">
        <f>+SUMIFS(BK$2:BK$149,$CB$2:$CB$149,Table1[[#This Row],[BAĞLANTI]])</f>
        <v>0</v>
      </c>
      <c r="BL172" s="8">
        <f>+SUMIFS(BL$2:BL$149,$CB$2:$CB$149,Table1[[#This Row],[BAĞLANTI]])</f>
        <v>0</v>
      </c>
      <c r="BM172" s="8">
        <f>+SUMIFS(BM$2:BM$149,$CB$2:$CB$149,Table1[[#This Row],[BAĞLANTI]])</f>
        <v>0</v>
      </c>
      <c r="BN172" s="8">
        <f>+SUMIFS(BN$2:BN$149,$CB$2:$CB$149,Table1[[#This Row],[BAĞLANTI]])</f>
        <v>0</v>
      </c>
      <c r="BO172" s="8">
        <f>+SUMIFS(BO$2:BO$149,$CB$2:$CB$149,Table1[[#This Row],[BAĞLANTI]])</f>
        <v>0</v>
      </c>
      <c r="BP172" s="8">
        <f>+SUMIFS(BP$2:BP$149,$CB$2:$CB$149,Table1[[#This Row],[BAĞLANTI]])</f>
        <v>0</v>
      </c>
      <c r="BQ172" s="8">
        <f>+SUMIFS(BQ$2:BQ$149,$CB$2:$CB$149,Table1[[#This Row],[BAĞLANTI]])</f>
        <v>0</v>
      </c>
      <c r="BR172" s="8">
        <f>+SUMIFS(BR$2:BR$149,$CB$2:$CB$149,Table1[[#This Row],[BAĞLANTI]])</f>
        <v>0</v>
      </c>
      <c r="BS172" s="8">
        <f>+SUMIFS(BS$2:BS$149,$CB$2:$CB$149,Table1[[#This Row],[BAĞLANTI]])</f>
        <v>0</v>
      </c>
      <c r="BT172" s="8">
        <f>+SUMIFS(BT$2:BT$149,$CB$2:$CB$149,Table1[[#This Row],[BAĞLANTI]])</f>
        <v>0</v>
      </c>
      <c r="BU172" s="8">
        <f>+SUMIFS(BU$2:BU$149,$CB$2:$CB$149,Table1[[#This Row],[BAĞLANTI]])</f>
        <v>0</v>
      </c>
      <c r="BV172" s="8">
        <f>+SUMIFS(BV$2:BV$149,$CB$2:$CB$149,Table1[[#This Row],[BAĞLANTI]])</f>
        <v>0</v>
      </c>
      <c r="BW172" s="8">
        <f>+SUMIFS(BW$2:BW$149,$CB$2:$CB$149,Table1[[#This Row],[BAĞLANTI]])</f>
        <v>0</v>
      </c>
      <c r="BX172" s="8">
        <f>+SUMIFS(BX$2:BX$149,$CB$2:$CB$149,Table1[[#This Row],[BAĞLANTI]])</f>
        <v>0</v>
      </c>
      <c r="BY172" s="8">
        <f>+SUMIFS(BY$2:BY$149,$CB$2:$CB$149,Table1[[#This Row],[BAĞLANTI]])</f>
        <v>0</v>
      </c>
      <c r="BZ172" s="8">
        <f>+SUMIFS(BZ$2:BZ$149,$CB$2:$CB$149,Table1[[#This Row],[BAĞLANTI]])</f>
        <v>0</v>
      </c>
      <c r="CA172" s="8">
        <f>+SUMIFS(CA$2:CA$149,$CB$2:$CB$149,Table1[[#This Row],[BAĞLANTI]])</f>
        <v>0</v>
      </c>
      <c r="CB172" s="8" t="s">
        <v>5375</v>
      </c>
    </row>
    <row r="173" spans="1:80">
      <c r="A173" s="3" t="s">
        <v>5444</v>
      </c>
      <c r="B173" t="s">
        <v>10</v>
      </c>
      <c r="C173" t="s">
        <v>178</v>
      </c>
      <c r="D173" t="s">
        <v>5181</v>
      </c>
      <c r="E173" t="s">
        <v>5183</v>
      </c>
      <c r="F173" s="77" t="s">
        <v>4973</v>
      </c>
      <c r="G173" t="s">
        <v>4983</v>
      </c>
      <c r="H173" s="3" t="s">
        <v>4984</v>
      </c>
      <c r="I173" s="3" t="s">
        <v>5194</v>
      </c>
      <c r="J173" s="78"/>
      <c r="K173" s="78"/>
      <c r="M173" s="78"/>
      <c r="N173" s="8">
        <f>+SUMIFS(N$2:N$149,$CB$2:$CB$149,Table1[[#This Row],[BAĞLANTI]])</f>
        <v>0</v>
      </c>
      <c r="O173" s="8">
        <f>+SUMIFS(O$2:O$149,$CB$2:$CB$149,Table1[[#This Row],[BAĞLANTI]])</f>
        <v>0</v>
      </c>
      <c r="P173" s="8">
        <f>+SUMIFS(P$2:P$149,$CB$2:$CB$149,Table1[[#This Row],[BAĞLANTI]])</f>
        <v>0</v>
      </c>
      <c r="Q173" s="8">
        <f>+SUMIFS(Q$2:Q$149,$CB$2:$CB$149,Table1[[#This Row],[BAĞLANTI]])</f>
        <v>0</v>
      </c>
      <c r="R173" s="8">
        <f>+SUMIFS(R$2:R$149,$CB$2:$CB$149,Table1[[#This Row],[BAĞLANTI]])</f>
        <v>0</v>
      </c>
      <c r="S173" s="8">
        <f>+SUMIFS(S$2:S$149,$CB$2:$CB$149,Table1[[#This Row],[BAĞLANTI]])</f>
        <v>0</v>
      </c>
      <c r="T173" s="8">
        <f>+SUMIFS(T$2:T$149,$CB$2:$CB$149,Table1[[#This Row],[BAĞLANTI]])</f>
        <v>0</v>
      </c>
      <c r="U173" s="8">
        <f>+SUMIFS(U$2:U$149,$CB$2:$CB$149,Table1[[#This Row],[BAĞLANTI]])</f>
        <v>0</v>
      </c>
      <c r="V173" s="8">
        <f>+SUMIFS(V$2:V$149,$CB$2:$CB$149,Table1[[#This Row],[BAĞLANTI]])</f>
        <v>0</v>
      </c>
      <c r="W173" s="8">
        <f>+SUMIFS(W$2:W$149,$CB$2:$CB$149,Table1[[#This Row],[BAĞLANTI]])</f>
        <v>0</v>
      </c>
      <c r="X173" s="10">
        <f>+SUMIFS(X$2:X$149,$CB$2:$CB$149,Table1[[#This Row],[BAĞLANTI]])</f>
        <v>0</v>
      </c>
      <c r="Y173" s="8">
        <f>+SUMIFS(Y$2:Y$149,$CB$2:$CB$149,Table1[[#This Row],[BAĞLANTI]])</f>
        <v>0</v>
      </c>
      <c r="Z173" s="8">
        <f>+SUMIFS(Z$2:Z$149,$CB$2:$CB$149,Table1[[#This Row],[BAĞLANTI]])</f>
        <v>0</v>
      </c>
      <c r="AA173" s="8">
        <f>+SUMIFS(AA$2:AA$149,$CB$2:$CB$149,Table1[[#This Row],[BAĞLANTI]])</f>
        <v>0</v>
      </c>
      <c r="AB173" s="8">
        <f>+SUMIFS(AB$2:AB$149,$CB$2:$CB$149,Table1[[#This Row],[BAĞLANTI]])</f>
        <v>0</v>
      </c>
      <c r="AC173" s="8">
        <f>+SUMIFS(AC$2:AC$149,$CB$2:$CB$149,Table1[[#This Row],[BAĞLANTI]])</f>
        <v>0</v>
      </c>
      <c r="AD173" s="8">
        <f>+SUMIFS(AD$2:AD$149,$CB$2:$CB$149,Table1[[#This Row],[BAĞLANTI]])</f>
        <v>0</v>
      </c>
      <c r="AE173" s="8">
        <f>+SUMIFS(AE$2:AE$149,$CB$2:$CB$149,Table1[[#This Row],[BAĞLANTI]])</f>
        <v>0</v>
      </c>
      <c r="AF173" s="8">
        <f>+SUMIFS(AF$2:AF$149,$CB$2:$CB$149,Table1[[#This Row],[BAĞLANTI]])</f>
        <v>0</v>
      </c>
      <c r="AG173" s="8">
        <f>+SUMIFS(AG$2:AG$149,$CB$2:$CB$149,Table1[[#This Row],[BAĞLANTI]])</f>
        <v>0</v>
      </c>
      <c r="AH173" s="8">
        <f>+SUMIFS(AH$2:AH$149,$CB$2:$CB$149,Table1[[#This Row],[BAĞLANTI]])</f>
        <v>0</v>
      </c>
      <c r="AI173" s="8">
        <f>+SUMIFS(AI$2:AI$149,$CB$2:$CB$149,Table1[[#This Row],[BAĞLANTI]])</f>
        <v>0</v>
      </c>
      <c r="AJ173" s="8">
        <f>+SUMIFS(AJ$2:AJ$149,$CB$2:$CB$149,Table1[[#This Row],[BAĞLANTI]])</f>
        <v>0</v>
      </c>
      <c r="AK173" s="8">
        <f>+SUMIFS(AK$2:AK$149,$CB$2:$CB$149,Table1[[#This Row],[BAĞLANTI]])</f>
        <v>0</v>
      </c>
      <c r="AL173" s="8">
        <f>+SUMIFS(AL$2:AL$149,$CB$2:$CB$149,Table1[[#This Row],[BAĞLANTI]])</f>
        <v>0</v>
      </c>
      <c r="AM173" s="8">
        <f>+SUMIFS(AM$2:AM$149,$CB$2:$CB$149,Table1[[#This Row],[BAĞLANTI]])</f>
        <v>0</v>
      </c>
      <c r="AN173" s="8">
        <f>+SUMIFS(AN$2:AN$149,$CB$2:$CB$149,Table1[[#This Row],[BAĞLANTI]])</f>
        <v>0</v>
      </c>
      <c r="AO173" s="8">
        <f>+SUMIFS(AO$2:AO$149,$CB$2:$CB$149,Table1[[#This Row],[BAĞLANTI]])</f>
        <v>0</v>
      </c>
      <c r="AP173" s="8">
        <f>+SUMIFS(AP$2:AP$149,$CB$2:$CB$149,Table1[[#This Row],[BAĞLANTI]])</f>
        <v>0</v>
      </c>
      <c r="AQ173" s="8">
        <f>+SUMIFS(AQ$2:AQ$149,$CB$2:$CB$149,Table1[[#This Row],[BAĞLANTI]])</f>
        <v>0</v>
      </c>
      <c r="AR173" s="8">
        <f>+SUMIFS(AR$2:AR$149,$CB$2:$CB$149,Table1[[#This Row],[BAĞLANTI]])</f>
        <v>0</v>
      </c>
      <c r="AS173" s="8">
        <f>+SUMIFS(AS$2:AS$149,$CB$2:$CB$149,Table1[[#This Row],[BAĞLANTI]])</f>
        <v>0</v>
      </c>
      <c r="AT173" s="8">
        <f>+SUMIFS(AT$2:AT$149,$CB$2:$CB$149,Table1[[#This Row],[BAĞLANTI]])</f>
        <v>0</v>
      </c>
      <c r="AU173" s="8">
        <f>+SUMIFS(AU$2:AU$149,$CB$2:$CB$149,Table1[[#This Row],[BAĞLANTI]])</f>
        <v>0</v>
      </c>
      <c r="AV173" s="8">
        <f>+SUMIFS(AV$2:AV$149,$CB$2:$CB$149,Table1[[#This Row],[BAĞLANTI]])</f>
        <v>0</v>
      </c>
      <c r="AW173" s="8">
        <f>+SUMIFS(AW$2:AW$149,$CB$2:$CB$149,Table1[[#This Row],[BAĞLANTI]])</f>
        <v>0</v>
      </c>
      <c r="AX173" s="8">
        <f>+SUMIFS(AX$2:AX$149,$CB$2:$CB$149,Table1[[#This Row],[BAĞLANTI]])</f>
        <v>0</v>
      </c>
      <c r="AY173" s="8">
        <f>+SUMIFS(AY$2:AY$149,$CB$2:$CB$149,Table1[[#This Row],[BAĞLANTI]])</f>
        <v>0</v>
      </c>
      <c r="AZ173" s="8">
        <f>+SUMIFS(AZ$2:AZ$149,$CB$2:$CB$149,Table1[[#This Row],[BAĞLANTI]])</f>
        <v>0</v>
      </c>
      <c r="BA173" s="8">
        <f>+SUMIFS(BA$2:BA$149,$CB$2:$CB$149,Table1[[#This Row],[BAĞLANTI]])</f>
        <v>0</v>
      </c>
      <c r="BB173" s="8">
        <f>+SUMIFS(BB$2:BB$149,$CB$2:$CB$149,Table1[[#This Row],[BAĞLANTI]])</f>
        <v>0</v>
      </c>
      <c r="BC173" s="8">
        <f>+SUMIFS(BC$2:BC$149,$CB$2:$CB$149,Table1[[#This Row],[BAĞLANTI]])</f>
        <v>0</v>
      </c>
      <c r="BD173" s="8">
        <f>+SUMIFS(BD$2:BD$149,$CB$2:$CB$149,Table1[[#This Row],[BAĞLANTI]])</f>
        <v>0</v>
      </c>
      <c r="BE173" s="8">
        <f>+SUMIFS(BE$2:BE$149,$CB$2:$CB$149,Table1[[#This Row],[BAĞLANTI]])</f>
        <v>0</v>
      </c>
      <c r="BF173" s="8">
        <f>+SUMIFS(BF$2:BF$149,$CB$2:$CB$149,Table1[[#This Row],[BAĞLANTI]])</f>
        <v>0</v>
      </c>
      <c r="BG173" s="8">
        <f>+SUMIFS(BG$2:BG$149,$CB$2:$CB$149,Table1[[#This Row],[BAĞLANTI]])</f>
        <v>0</v>
      </c>
      <c r="BH173" s="8">
        <f>+SUMIFS(BH$2:BH$149,$CB$2:$CB$149,Table1[[#This Row],[BAĞLANTI]])</f>
        <v>0</v>
      </c>
      <c r="BI173" s="8">
        <f>+SUMIFS(BI$2:BI$149,$CB$2:$CB$149,Table1[[#This Row],[BAĞLANTI]])</f>
        <v>0</v>
      </c>
      <c r="BJ173" s="8">
        <f>+SUMIFS(BJ$2:BJ$149,$CB$2:$CB$149,Table1[[#This Row],[BAĞLANTI]])</f>
        <v>0</v>
      </c>
      <c r="BK173" s="8">
        <f>+SUMIFS(BK$2:BK$149,$CB$2:$CB$149,Table1[[#This Row],[BAĞLANTI]])</f>
        <v>0</v>
      </c>
      <c r="BL173" s="8">
        <f>+SUMIFS(BL$2:BL$149,$CB$2:$CB$149,Table1[[#This Row],[BAĞLANTI]])</f>
        <v>0</v>
      </c>
      <c r="BM173" s="8">
        <f>+SUMIFS(BM$2:BM$149,$CB$2:$CB$149,Table1[[#This Row],[BAĞLANTI]])</f>
        <v>0</v>
      </c>
      <c r="BN173" s="8">
        <f>+SUMIFS(BN$2:BN$149,$CB$2:$CB$149,Table1[[#This Row],[BAĞLANTI]])</f>
        <v>0</v>
      </c>
      <c r="BO173" s="8">
        <f>+SUMIFS(BO$2:BO$149,$CB$2:$CB$149,Table1[[#This Row],[BAĞLANTI]])</f>
        <v>0</v>
      </c>
      <c r="BP173" s="8">
        <f>+SUMIFS(BP$2:BP$149,$CB$2:$CB$149,Table1[[#This Row],[BAĞLANTI]])</f>
        <v>0</v>
      </c>
      <c r="BQ173" s="8">
        <f>+SUMIFS(BQ$2:BQ$149,$CB$2:$CB$149,Table1[[#This Row],[BAĞLANTI]])</f>
        <v>0</v>
      </c>
      <c r="BR173" s="8">
        <f>+SUMIFS(BR$2:BR$149,$CB$2:$CB$149,Table1[[#This Row],[BAĞLANTI]])</f>
        <v>0</v>
      </c>
      <c r="BS173" s="8">
        <f>+SUMIFS(BS$2:BS$149,$CB$2:$CB$149,Table1[[#This Row],[BAĞLANTI]])</f>
        <v>0</v>
      </c>
      <c r="BT173" s="8">
        <f>+SUMIFS(BT$2:BT$149,$CB$2:$CB$149,Table1[[#This Row],[BAĞLANTI]])</f>
        <v>0</v>
      </c>
      <c r="BU173" s="8">
        <f>+SUMIFS(BU$2:BU$149,$CB$2:$CB$149,Table1[[#This Row],[BAĞLANTI]])</f>
        <v>0</v>
      </c>
      <c r="BV173" s="8">
        <f>+SUMIFS(BV$2:BV$149,$CB$2:$CB$149,Table1[[#This Row],[BAĞLANTI]])</f>
        <v>0</v>
      </c>
      <c r="BW173" s="8">
        <f>+SUMIFS(BW$2:BW$149,$CB$2:$CB$149,Table1[[#This Row],[BAĞLANTI]])</f>
        <v>0</v>
      </c>
      <c r="BX173" s="8">
        <f>+SUMIFS(BX$2:BX$149,$CB$2:$CB$149,Table1[[#This Row],[BAĞLANTI]])</f>
        <v>0</v>
      </c>
      <c r="BY173" s="8">
        <f>+SUMIFS(BY$2:BY$149,$CB$2:$CB$149,Table1[[#This Row],[BAĞLANTI]])</f>
        <v>0</v>
      </c>
      <c r="BZ173" s="8">
        <f>+SUMIFS(BZ$2:BZ$149,$CB$2:$CB$149,Table1[[#This Row],[BAĞLANTI]])</f>
        <v>0</v>
      </c>
      <c r="CA173" s="8">
        <f>+SUMIFS(CA$2:CA$149,$CB$2:$CB$149,Table1[[#This Row],[BAĞLANTI]])</f>
        <v>0</v>
      </c>
      <c r="CB173" s="8" t="s">
        <v>5376</v>
      </c>
    </row>
    <row r="174" spans="1:80">
      <c r="A174" s="3" t="s">
        <v>5444</v>
      </c>
      <c r="B174" t="s">
        <v>11</v>
      </c>
      <c r="C174" t="s">
        <v>189</v>
      </c>
      <c r="D174" t="s">
        <v>71</v>
      </c>
      <c r="E174" t="s">
        <v>4974</v>
      </c>
      <c r="F174" s="77" t="s">
        <v>4973</v>
      </c>
      <c r="G174" t="s">
        <v>4983</v>
      </c>
      <c r="H174" s="3" t="s">
        <v>4984</v>
      </c>
      <c r="I174" s="3" t="s">
        <v>5194</v>
      </c>
      <c r="J174" s="78"/>
      <c r="K174" s="78"/>
      <c r="M174" s="78"/>
      <c r="N174" s="8">
        <f>+SUMIFS(N$2:N$149,$CB$2:$CB$149,Table1[[#This Row],[BAĞLANTI]])</f>
        <v>0</v>
      </c>
      <c r="O174" s="8">
        <f>+SUMIFS(O$2:O$149,$CB$2:$CB$149,Table1[[#This Row],[BAĞLANTI]])</f>
        <v>0</v>
      </c>
      <c r="P174" s="8">
        <f>+SUMIFS(P$2:P$149,$CB$2:$CB$149,Table1[[#This Row],[BAĞLANTI]])</f>
        <v>0</v>
      </c>
      <c r="Q174" s="8">
        <f>+SUMIFS(Q$2:Q$149,$CB$2:$CB$149,Table1[[#This Row],[BAĞLANTI]])</f>
        <v>0</v>
      </c>
      <c r="R174" s="8">
        <f>+SUMIFS(R$2:R$149,$CB$2:$CB$149,Table1[[#This Row],[BAĞLANTI]])</f>
        <v>0</v>
      </c>
      <c r="S174" s="8">
        <f>+SUMIFS(S$2:S$149,$CB$2:$CB$149,Table1[[#This Row],[BAĞLANTI]])</f>
        <v>0</v>
      </c>
      <c r="T174" s="8">
        <f>+SUMIFS(T$2:T$149,$CB$2:$CB$149,Table1[[#This Row],[BAĞLANTI]])</f>
        <v>0</v>
      </c>
      <c r="U174" s="8">
        <f>+SUMIFS(U$2:U$149,$CB$2:$CB$149,Table1[[#This Row],[BAĞLANTI]])</f>
        <v>0</v>
      </c>
      <c r="V174" s="8">
        <f>+SUMIFS(V$2:V$149,$CB$2:$CB$149,Table1[[#This Row],[BAĞLANTI]])</f>
        <v>0</v>
      </c>
      <c r="W174" s="8">
        <f>+SUMIFS(W$2:W$149,$CB$2:$CB$149,Table1[[#This Row],[BAĞLANTI]])</f>
        <v>0</v>
      </c>
      <c r="X174" s="10">
        <f>+SUMIFS(X$2:X$149,$CB$2:$CB$149,Table1[[#This Row],[BAĞLANTI]])</f>
        <v>0</v>
      </c>
      <c r="Y174" s="8">
        <f>+SUMIFS(Y$2:Y$149,$CB$2:$CB$149,Table1[[#This Row],[BAĞLANTI]])</f>
        <v>0</v>
      </c>
      <c r="Z174" s="8">
        <f>+SUMIFS(Z$2:Z$149,$CB$2:$CB$149,Table1[[#This Row],[BAĞLANTI]])</f>
        <v>0</v>
      </c>
      <c r="AA174" s="8">
        <f>+SUMIFS(AA$2:AA$149,$CB$2:$CB$149,Table1[[#This Row],[BAĞLANTI]])</f>
        <v>0</v>
      </c>
      <c r="AB174" s="8">
        <f>+SUMIFS(AB$2:AB$149,$CB$2:$CB$149,Table1[[#This Row],[BAĞLANTI]])</f>
        <v>0</v>
      </c>
      <c r="AC174" s="8">
        <f>+SUMIFS(AC$2:AC$149,$CB$2:$CB$149,Table1[[#This Row],[BAĞLANTI]])</f>
        <v>0</v>
      </c>
      <c r="AD174" s="8">
        <f>+SUMIFS(AD$2:AD$149,$CB$2:$CB$149,Table1[[#This Row],[BAĞLANTI]])</f>
        <v>0</v>
      </c>
      <c r="AE174" s="8">
        <f>+SUMIFS(AE$2:AE$149,$CB$2:$CB$149,Table1[[#This Row],[BAĞLANTI]])</f>
        <v>103.125</v>
      </c>
      <c r="AF174" s="8">
        <f>+SUMIFS(AF$2:AF$149,$CB$2:$CB$149,Table1[[#This Row],[BAĞLANTI]])</f>
        <v>103.125</v>
      </c>
      <c r="AG174" s="8">
        <f>+SUMIFS(AG$2:AG$149,$CB$2:$CB$149,Table1[[#This Row],[BAĞLANTI]])</f>
        <v>103.125</v>
      </c>
      <c r="AH174" s="8">
        <f>+SUMIFS(AH$2:AH$149,$CB$2:$CB$149,Table1[[#This Row],[BAĞLANTI]])</f>
        <v>103.125</v>
      </c>
      <c r="AI174" s="8">
        <f>+SUMIFS(AI$2:AI$149,$CB$2:$CB$149,Table1[[#This Row],[BAĞLANTI]])</f>
        <v>103.125</v>
      </c>
      <c r="AJ174" s="8">
        <f>+SUMIFS(AJ$2:AJ$149,$CB$2:$CB$149,Table1[[#This Row],[BAĞLANTI]])</f>
        <v>103.125</v>
      </c>
      <c r="AK174" s="8">
        <f>+SUMIFS(AK$2:AK$149,$CB$2:$CB$149,Table1[[#This Row],[BAĞLANTI]])</f>
        <v>103.125</v>
      </c>
      <c r="AL174" s="8">
        <f>+SUMIFS(AL$2:AL$149,$CB$2:$CB$149,Table1[[#This Row],[BAĞLANTI]])</f>
        <v>103.125</v>
      </c>
      <c r="AM174" s="8">
        <f>+SUMIFS(AM$2:AM$149,$CB$2:$CB$149,Table1[[#This Row],[BAĞLANTI]])</f>
        <v>0</v>
      </c>
      <c r="AN174" s="8">
        <f>+SUMIFS(AN$2:AN$149,$CB$2:$CB$149,Table1[[#This Row],[BAĞLANTI]])</f>
        <v>0</v>
      </c>
      <c r="AO174" s="8">
        <f>+SUMIFS(AO$2:AO$149,$CB$2:$CB$149,Table1[[#This Row],[BAĞLANTI]])</f>
        <v>0</v>
      </c>
      <c r="AP174" s="8">
        <f>+SUMIFS(AP$2:AP$149,$CB$2:$CB$149,Table1[[#This Row],[BAĞLANTI]])</f>
        <v>0</v>
      </c>
      <c r="AQ174" s="8">
        <f>+SUMIFS(AQ$2:AQ$149,$CB$2:$CB$149,Table1[[#This Row],[BAĞLANTI]])</f>
        <v>103.125</v>
      </c>
      <c r="AR174" s="8">
        <f>+SUMIFS(AR$2:AR$149,$CB$2:$CB$149,Table1[[#This Row],[BAĞLANTI]])</f>
        <v>103.125</v>
      </c>
      <c r="AS174" s="8">
        <f>+SUMIFS(AS$2:AS$149,$CB$2:$CB$149,Table1[[#This Row],[BAĞLANTI]])</f>
        <v>103.125</v>
      </c>
      <c r="AT174" s="8">
        <f>+SUMIFS(AT$2:AT$149,$CB$2:$CB$149,Table1[[#This Row],[BAĞLANTI]])</f>
        <v>103.125</v>
      </c>
      <c r="AU174" s="8">
        <f>+SUMIFS(AU$2:AU$149,$CB$2:$CB$149,Table1[[#This Row],[BAĞLANTI]])</f>
        <v>103.125</v>
      </c>
      <c r="AV174" s="8">
        <f>+SUMIFS(AV$2:AV$149,$CB$2:$CB$149,Table1[[#This Row],[BAĞLANTI]])</f>
        <v>103.125</v>
      </c>
      <c r="AW174" s="8">
        <f>+SUMIFS(AW$2:AW$149,$CB$2:$CB$149,Table1[[#This Row],[BAĞLANTI]])</f>
        <v>103.125</v>
      </c>
      <c r="AX174" s="8">
        <f>+SUMIFS(AX$2:AX$149,$CB$2:$CB$149,Table1[[#This Row],[BAĞLANTI]])</f>
        <v>103.125</v>
      </c>
      <c r="AY174" s="8">
        <f>+SUMIFS(AY$2:AY$149,$CB$2:$CB$149,Table1[[#This Row],[BAĞLANTI]])</f>
        <v>0</v>
      </c>
      <c r="AZ174" s="8">
        <f>+SUMIFS(AZ$2:AZ$149,$CB$2:$CB$149,Table1[[#This Row],[BAĞLANTI]])</f>
        <v>0</v>
      </c>
      <c r="BA174" s="8">
        <f>+SUMIFS(BA$2:BA$149,$CB$2:$CB$149,Table1[[#This Row],[BAĞLANTI]])</f>
        <v>0</v>
      </c>
      <c r="BB174" s="8">
        <f>+SUMIFS(BB$2:BB$149,$CB$2:$CB$149,Table1[[#This Row],[BAĞLANTI]])</f>
        <v>0</v>
      </c>
      <c r="BC174" s="8">
        <f>+SUMIFS(BC$2:BC$149,$CB$2:$CB$149,Table1[[#This Row],[BAĞLANTI]])</f>
        <v>0</v>
      </c>
      <c r="BD174" s="8">
        <f>+SUMIFS(BD$2:BD$149,$CB$2:$CB$149,Table1[[#This Row],[BAĞLANTI]])</f>
        <v>0</v>
      </c>
      <c r="BE174" s="8">
        <f>+SUMIFS(BE$2:BE$149,$CB$2:$CB$149,Table1[[#This Row],[BAĞLANTI]])</f>
        <v>0</v>
      </c>
      <c r="BF174" s="8">
        <f>+SUMIFS(BF$2:BF$149,$CB$2:$CB$149,Table1[[#This Row],[BAĞLANTI]])</f>
        <v>0</v>
      </c>
      <c r="BG174" s="8">
        <f>+SUMIFS(BG$2:BG$149,$CB$2:$CB$149,Table1[[#This Row],[BAĞLANTI]])</f>
        <v>0</v>
      </c>
      <c r="BH174" s="8">
        <f>+SUMIFS(BH$2:BH$149,$CB$2:$CB$149,Table1[[#This Row],[BAĞLANTI]])</f>
        <v>0</v>
      </c>
      <c r="BI174" s="8">
        <f>+SUMIFS(BI$2:BI$149,$CB$2:$CB$149,Table1[[#This Row],[BAĞLANTI]])</f>
        <v>0</v>
      </c>
      <c r="BJ174" s="8">
        <f>+SUMIFS(BJ$2:BJ$149,$CB$2:$CB$149,Table1[[#This Row],[BAĞLANTI]])</f>
        <v>0</v>
      </c>
      <c r="BK174" s="8">
        <f>+SUMIFS(BK$2:BK$149,$CB$2:$CB$149,Table1[[#This Row],[BAĞLANTI]])</f>
        <v>0</v>
      </c>
      <c r="BL174" s="8">
        <f>+SUMIFS(BL$2:BL$149,$CB$2:$CB$149,Table1[[#This Row],[BAĞLANTI]])</f>
        <v>0</v>
      </c>
      <c r="BM174" s="8">
        <f>+SUMIFS(BM$2:BM$149,$CB$2:$CB$149,Table1[[#This Row],[BAĞLANTI]])</f>
        <v>0</v>
      </c>
      <c r="BN174" s="8">
        <f>+SUMIFS(BN$2:BN$149,$CB$2:$CB$149,Table1[[#This Row],[BAĞLANTI]])</f>
        <v>0</v>
      </c>
      <c r="BO174" s="8">
        <f>+SUMIFS(BO$2:BO$149,$CB$2:$CB$149,Table1[[#This Row],[BAĞLANTI]])</f>
        <v>0</v>
      </c>
      <c r="BP174" s="8">
        <f>+SUMIFS(BP$2:BP$149,$CB$2:$CB$149,Table1[[#This Row],[BAĞLANTI]])</f>
        <v>0</v>
      </c>
      <c r="BQ174" s="8">
        <f>+SUMIFS(BQ$2:BQ$149,$CB$2:$CB$149,Table1[[#This Row],[BAĞLANTI]])</f>
        <v>0</v>
      </c>
      <c r="BR174" s="8">
        <f>+SUMIFS(BR$2:BR$149,$CB$2:$CB$149,Table1[[#This Row],[BAĞLANTI]])</f>
        <v>0</v>
      </c>
      <c r="BS174" s="8">
        <f>+SUMIFS(BS$2:BS$149,$CB$2:$CB$149,Table1[[#This Row],[BAĞLANTI]])</f>
        <v>0</v>
      </c>
      <c r="BT174" s="8">
        <f>+SUMIFS(BT$2:BT$149,$CB$2:$CB$149,Table1[[#This Row],[BAĞLANTI]])</f>
        <v>0</v>
      </c>
      <c r="BU174" s="8">
        <f>+SUMIFS(BU$2:BU$149,$CB$2:$CB$149,Table1[[#This Row],[BAĞLANTI]])</f>
        <v>0</v>
      </c>
      <c r="BV174" s="8">
        <f>+SUMIFS(BV$2:BV$149,$CB$2:$CB$149,Table1[[#This Row],[BAĞLANTI]])</f>
        <v>0</v>
      </c>
      <c r="BW174" s="8">
        <f>+SUMIFS(BW$2:BW$149,$CB$2:$CB$149,Table1[[#This Row],[BAĞLANTI]])</f>
        <v>0</v>
      </c>
      <c r="BX174" s="8">
        <f>+SUMIFS(BX$2:BX$149,$CB$2:$CB$149,Table1[[#This Row],[BAĞLANTI]])</f>
        <v>0</v>
      </c>
      <c r="BY174" s="8">
        <f>+SUMIFS(BY$2:BY$149,$CB$2:$CB$149,Table1[[#This Row],[BAĞLANTI]])</f>
        <v>0</v>
      </c>
      <c r="BZ174" s="8">
        <f>+SUMIFS(BZ$2:BZ$149,$CB$2:$CB$149,Table1[[#This Row],[BAĞLANTI]])</f>
        <v>0</v>
      </c>
      <c r="CA174" s="8">
        <f>+SUMIFS(CA$2:CA$149,$CB$2:$CB$149,Table1[[#This Row],[BAĞLANTI]])</f>
        <v>0</v>
      </c>
      <c r="CB174" s="8" t="s">
        <v>5377</v>
      </c>
    </row>
    <row r="175" spans="1:80">
      <c r="A175" s="3" t="s">
        <v>5444</v>
      </c>
      <c r="B175" t="s">
        <v>11</v>
      </c>
      <c r="C175" t="s">
        <v>189</v>
      </c>
      <c r="D175" t="s">
        <v>73</v>
      </c>
      <c r="E175" t="s">
        <v>4975</v>
      </c>
      <c r="F175" s="77" t="s">
        <v>4973</v>
      </c>
      <c r="G175" t="s">
        <v>4983</v>
      </c>
      <c r="H175" s="3" t="s">
        <v>4984</v>
      </c>
      <c r="I175" s="3" t="s">
        <v>5194</v>
      </c>
      <c r="J175" s="78"/>
      <c r="K175" s="78"/>
      <c r="M175" s="78"/>
      <c r="N175" s="8">
        <f>+SUMIFS(N$2:N$149,$CB$2:$CB$149,Table1[[#This Row],[BAĞLANTI]])</f>
        <v>0</v>
      </c>
      <c r="O175" s="8">
        <f>+SUMIFS(O$2:O$149,$CB$2:$CB$149,Table1[[#This Row],[BAĞLANTI]])</f>
        <v>0</v>
      </c>
      <c r="P175" s="8">
        <f>+SUMIFS(P$2:P$149,$CB$2:$CB$149,Table1[[#This Row],[BAĞLANTI]])</f>
        <v>0</v>
      </c>
      <c r="Q175" s="8">
        <f>+SUMIFS(Q$2:Q$149,$CB$2:$CB$149,Table1[[#This Row],[BAĞLANTI]])</f>
        <v>0</v>
      </c>
      <c r="R175" s="8">
        <f>+SUMIFS(R$2:R$149,$CB$2:$CB$149,Table1[[#This Row],[BAĞLANTI]])</f>
        <v>0</v>
      </c>
      <c r="S175" s="8">
        <f>+SUMIFS(S$2:S$149,$CB$2:$CB$149,Table1[[#This Row],[BAĞLANTI]])</f>
        <v>0</v>
      </c>
      <c r="T175" s="8">
        <f>+SUMIFS(T$2:T$149,$CB$2:$CB$149,Table1[[#This Row],[BAĞLANTI]])</f>
        <v>0</v>
      </c>
      <c r="U175" s="8">
        <f>+SUMIFS(U$2:U$149,$CB$2:$CB$149,Table1[[#This Row],[BAĞLANTI]])</f>
        <v>0</v>
      </c>
      <c r="V175" s="8">
        <f>+SUMIFS(V$2:V$149,$CB$2:$CB$149,Table1[[#This Row],[BAĞLANTI]])</f>
        <v>0</v>
      </c>
      <c r="W175" s="8">
        <f>+SUMIFS(W$2:W$149,$CB$2:$CB$149,Table1[[#This Row],[BAĞLANTI]])</f>
        <v>0</v>
      </c>
      <c r="X175" s="10">
        <f>+SUMIFS(X$2:X$149,$CB$2:$CB$149,Table1[[#This Row],[BAĞLANTI]])</f>
        <v>0</v>
      </c>
      <c r="Y175" s="8">
        <f>+SUMIFS(Y$2:Y$149,$CB$2:$CB$149,Table1[[#This Row],[BAĞLANTI]])</f>
        <v>0</v>
      </c>
      <c r="Z175" s="8">
        <f>+SUMIFS(Z$2:Z$149,$CB$2:$CB$149,Table1[[#This Row],[BAĞLANTI]])</f>
        <v>0</v>
      </c>
      <c r="AA175" s="8">
        <f>+SUMIFS(AA$2:AA$149,$CB$2:$CB$149,Table1[[#This Row],[BAĞLANTI]])</f>
        <v>0</v>
      </c>
      <c r="AB175" s="8">
        <f>+SUMIFS(AB$2:AB$149,$CB$2:$CB$149,Table1[[#This Row],[BAĞLANTI]])</f>
        <v>0</v>
      </c>
      <c r="AC175" s="8">
        <f>+SUMIFS(AC$2:AC$149,$CB$2:$CB$149,Table1[[#This Row],[BAĞLANTI]])</f>
        <v>0</v>
      </c>
      <c r="AD175" s="8">
        <f>+SUMIFS(AD$2:AD$149,$CB$2:$CB$149,Table1[[#This Row],[BAĞLANTI]])</f>
        <v>0</v>
      </c>
      <c r="AE175" s="8">
        <f>+SUMIFS(AE$2:AE$149,$CB$2:$CB$149,Table1[[#This Row],[BAĞLANTI]])</f>
        <v>82.5</v>
      </c>
      <c r="AF175" s="8">
        <f>+SUMIFS(AF$2:AF$149,$CB$2:$CB$149,Table1[[#This Row],[BAĞLANTI]])</f>
        <v>82.5</v>
      </c>
      <c r="AG175" s="8">
        <f>+SUMIFS(AG$2:AG$149,$CB$2:$CB$149,Table1[[#This Row],[BAĞLANTI]])</f>
        <v>82.5</v>
      </c>
      <c r="AH175" s="8">
        <f>+SUMIFS(AH$2:AH$149,$CB$2:$CB$149,Table1[[#This Row],[BAĞLANTI]])</f>
        <v>82.5</v>
      </c>
      <c r="AI175" s="8">
        <f>+SUMIFS(AI$2:AI$149,$CB$2:$CB$149,Table1[[#This Row],[BAĞLANTI]])</f>
        <v>82.5</v>
      </c>
      <c r="AJ175" s="8">
        <f>+SUMIFS(AJ$2:AJ$149,$CB$2:$CB$149,Table1[[#This Row],[BAĞLANTI]])</f>
        <v>82.5</v>
      </c>
      <c r="AK175" s="8">
        <f>+SUMIFS(AK$2:AK$149,$CB$2:$CB$149,Table1[[#This Row],[BAĞLANTI]])</f>
        <v>82.5</v>
      </c>
      <c r="AL175" s="8">
        <f>+SUMIFS(AL$2:AL$149,$CB$2:$CB$149,Table1[[#This Row],[BAĞLANTI]])</f>
        <v>82.5</v>
      </c>
      <c r="AM175" s="8">
        <f>+SUMIFS(AM$2:AM$149,$CB$2:$CB$149,Table1[[#This Row],[BAĞLANTI]])</f>
        <v>0</v>
      </c>
      <c r="AN175" s="8">
        <f>+SUMIFS(AN$2:AN$149,$CB$2:$CB$149,Table1[[#This Row],[BAĞLANTI]])</f>
        <v>0</v>
      </c>
      <c r="AO175" s="8">
        <f>+SUMIFS(AO$2:AO$149,$CB$2:$CB$149,Table1[[#This Row],[BAĞLANTI]])</f>
        <v>0</v>
      </c>
      <c r="AP175" s="8">
        <f>+SUMIFS(AP$2:AP$149,$CB$2:$CB$149,Table1[[#This Row],[BAĞLANTI]])</f>
        <v>0</v>
      </c>
      <c r="AQ175" s="8">
        <f>+SUMIFS(AQ$2:AQ$149,$CB$2:$CB$149,Table1[[#This Row],[BAĞLANTI]])</f>
        <v>82.5</v>
      </c>
      <c r="AR175" s="8">
        <f>+SUMIFS(AR$2:AR$149,$CB$2:$CB$149,Table1[[#This Row],[BAĞLANTI]])</f>
        <v>82.5</v>
      </c>
      <c r="AS175" s="8">
        <f>+SUMIFS(AS$2:AS$149,$CB$2:$CB$149,Table1[[#This Row],[BAĞLANTI]])</f>
        <v>82.5</v>
      </c>
      <c r="AT175" s="8">
        <f>+SUMIFS(AT$2:AT$149,$CB$2:$CB$149,Table1[[#This Row],[BAĞLANTI]])</f>
        <v>82.5</v>
      </c>
      <c r="AU175" s="8">
        <f>+SUMIFS(AU$2:AU$149,$CB$2:$CB$149,Table1[[#This Row],[BAĞLANTI]])</f>
        <v>82.5</v>
      </c>
      <c r="AV175" s="8">
        <f>+SUMIFS(AV$2:AV$149,$CB$2:$CB$149,Table1[[#This Row],[BAĞLANTI]])</f>
        <v>82.5</v>
      </c>
      <c r="AW175" s="8">
        <f>+SUMIFS(AW$2:AW$149,$CB$2:$CB$149,Table1[[#This Row],[BAĞLANTI]])</f>
        <v>82.5</v>
      </c>
      <c r="AX175" s="8">
        <f>+SUMIFS(AX$2:AX$149,$CB$2:$CB$149,Table1[[#This Row],[BAĞLANTI]])</f>
        <v>82.5</v>
      </c>
      <c r="AY175" s="8">
        <f>+SUMIFS(AY$2:AY$149,$CB$2:$CB$149,Table1[[#This Row],[BAĞLANTI]])</f>
        <v>0</v>
      </c>
      <c r="AZ175" s="8">
        <f>+SUMIFS(AZ$2:AZ$149,$CB$2:$CB$149,Table1[[#This Row],[BAĞLANTI]])</f>
        <v>0</v>
      </c>
      <c r="BA175" s="8">
        <f>+SUMIFS(BA$2:BA$149,$CB$2:$CB$149,Table1[[#This Row],[BAĞLANTI]])</f>
        <v>0</v>
      </c>
      <c r="BB175" s="8">
        <f>+SUMIFS(BB$2:BB$149,$CB$2:$CB$149,Table1[[#This Row],[BAĞLANTI]])</f>
        <v>0</v>
      </c>
      <c r="BC175" s="8">
        <f>+SUMIFS(BC$2:BC$149,$CB$2:$CB$149,Table1[[#This Row],[BAĞLANTI]])</f>
        <v>0</v>
      </c>
      <c r="BD175" s="8">
        <f>+SUMIFS(BD$2:BD$149,$CB$2:$CB$149,Table1[[#This Row],[BAĞLANTI]])</f>
        <v>0</v>
      </c>
      <c r="BE175" s="8">
        <f>+SUMIFS(BE$2:BE$149,$CB$2:$CB$149,Table1[[#This Row],[BAĞLANTI]])</f>
        <v>0</v>
      </c>
      <c r="BF175" s="8">
        <f>+SUMIFS(BF$2:BF$149,$CB$2:$CB$149,Table1[[#This Row],[BAĞLANTI]])</f>
        <v>0</v>
      </c>
      <c r="BG175" s="8">
        <f>+SUMIFS(BG$2:BG$149,$CB$2:$CB$149,Table1[[#This Row],[BAĞLANTI]])</f>
        <v>0</v>
      </c>
      <c r="BH175" s="8">
        <f>+SUMIFS(BH$2:BH$149,$CB$2:$CB$149,Table1[[#This Row],[BAĞLANTI]])</f>
        <v>0</v>
      </c>
      <c r="BI175" s="8">
        <f>+SUMIFS(BI$2:BI$149,$CB$2:$CB$149,Table1[[#This Row],[BAĞLANTI]])</f>
        <v>0</v>
      </c>
      <c r="BJ175" s="8">
        <f>+SUMIFS(BJ$2:BJ$149,$CB$2:$CB$149,Table1[[#This Row],[BAĞLANTI]])</f>
        <v>0</v>
      </c>
      <c r="BK175" s="8">
        <f>+SUMIFS(BK$2:BK$149,$CB$2:$CB$149,Table1[[#This Row],[BAĞLANTI]])</f>
        <v>0</v>
      </c>
      <c r="BL175" s="8">
        <f>+SUMIFS(BL$2:BL$149,$CB$2:$CB$149,Table1[[#This Row],[BAĞLANTI]])</f>
        <v>0</v>
      </c>
      <c r="BM175" s="8">
        <f>+SUMIFS(BM$2:BM$149,$CB$2:$CB$149,Table1[[#This Row],[BAĞLANTI]])</f>
        <v>0</v>
      </c>
      <c r="BN175" s="8">
        <f>+SUMIFS(BN$2:BN$149,$CB$2:$CB$149,Table1[[#This Row],[BAĞLANTI]])</f>
        <v>0</v>
      </c>
      <c r="BO175" s="8">
        <f>+SUMIFS(BO$2:BO$149,$CB$2:$CB$149,Table1[[#This Row],[BAĞLANTI]])</f>
        <v>0</v>
      </c>
      <c r="BP175" s="8">
        <f>+SUMIFS(BP$2:BP$149,$CB$2:$CB$149,Table1[[#This Row],[BAĞLANTI]])</f>
        <v>0</v>
      </c>
      <c r="BQ175" s="8">
        <f>+SUMIFS(BQ$2:BQ$149,$CB$2:$CB$149,Table1[[#This Row],[BAĞLANTI]])</f>
        <v>0</v>
      </c>
      <c r="BR175" s="8">
        <f>+SUMIFS(BR$2:BR$149,$CB$2:$CB$149,Table1[[#This Row],[BAĞLANTI]])</f>
        <v>0</v>
      </c>
      <c r="BS175" s="8">
        <f>+SUMIFS(BS$2:BS$149,$CB$2:$CB$149,Table1[[#This Row],[BAĞLANTI]])</f>
        <v>0</v>
      </c>
      <c r="BT175" s="8">
        <f>+SUMIFS(BT$2:BT$149,$CB$2:$CB$149,Table1[[#This Row],[BAĞLANTI]])</f>
        <v>0</v>
      </c>
      <c r="BU175" s="8">
        <f>+SUMIFS(BU$2:BU$149,$CB$2:$CB$149,Table1[[#This Row],[BAĞLANTI]])</f>
        <v>0</v>
      </c>
      <c r="BV175" s="8">
        <f>+SUMIFS(BV$2:BV$149,$CB$2:$CB$149,Table1[[#This Row],[BAĞLANTI]])</f>
        <v>0</v>
      </c>
      <c r="BW175" s="8">
        <f>+SUMIFS(BW$2:BW$149,$CB$2:$CB$149,Table1[[#This Row],[BAĞLANTI]])</f>
        <v>0</v>
      </c>
      <c r="BX175" s="8">
        <f>+SUMIFS(BX$2:BX$149,$CB$2:$CB$149,Table1[[#This Row],[BAĞLANTI]])</f>
        <v>0</v>
      </c>
      <c r="BY175" s="8">
        <f>+SUMIFS(BY$2:BY$149,$CB$2:$CB$149,Table1[[#This Row],[BAĞLANTI]])</f>
        <v>0</v>
      </c>
      <c r="BZ175" s="8">
        <f>+SUMIFS(BZ$2:BZ$149,$CB$2:$CB$149,Table1[[#This Row],[BAĞLANTI]])</f>
        <v>0</v>
      </c>
      <c r="CA175" s="8">
        <f>+SUMIFS(CA$2:CA$149,$CB$2:$CB$149,Table1[[#This Row],[BAĞLANTI]])</f>
        <v>0</v>
      </c>
      <c r="CB175" s="8" t="s">
        <v>5378</v>
      </c>
    </row>
    <row r="176" spans="1:80">
      <c r="A176" s="3" t="s">
        <v>5444</v>
      </c>
      <c r="B176" t="s">
        <v>11</v>
      </c>
      <c r="C176" t="s">
        <v>189</v>
      </c>
      <c r="D176" t="s">
        <v>5181</v>
      </c>
      <c r="E176" t="s">
        <v>5183</v>
      </c>
      <c r="F176" s="77" t="s">
        <v>4973</v>
      </c>
      <c r="G176" t="s">
        <v>4983</v>
      </c>
      <c r="H176" s="3" t="s">
        <v>4984</v>
      </c>
      <c r="I176" s="3" t="s">
        <v>5194</v>
      </c>
      <c r="J176" s="78"/>
      <c r="K176" s="78"/>
      <c r="M176" s="78"/>
      <c r="N176" s="8">
        <f>+SUMIFS(N$2:N$149,$CB$2:$CB$149,Table1[[#This Row],[BAĞLANTI]])</f>
        <v>0</v>
      </c>
      <c r="O176" s="8">
        <f>+SUMIFS(O$2:O$149,$CB$2:$CB$149,Table1[[#This Row],[BAĞLANTI]])</f>
        <v>0</v>
      </c>
      <c r="P176" s="8">
        <f>+SUMIFS(P$2:P$149,$CB$2:$CB$149,Table1[[#This Row],[BAĞLANTI]])</f>
        <v>0</v>
      </c>
      <c r="Q176" s="8">
        <f>+SUMIFS(Q$2:Q$149,$CB$2:$CB$149,Table1[[#This Row],[BAĞLANTI]])</f>
        <v>0</v>
      </c>
      <c r="R176" s="8">
        <f>+SUMIFS(R$2:R$149,$CB$2:$CB$149,Table1[[#This Row],[BAĞLANTI]])</f>
        <v>0</v>
      </c>
      <c r="S176" s="8">
        <f>+SUMIFS(S$2:S$149,$CB$2:$CB$149,Table1[[#This Row],[BAĞLANTI]])</f>
        <v>0</v>
      </c>
      <c r="T176" s="8">
        <f>+SUMIFS(T$2:T$149,$CB$2:$CB$149,Table1[[#This Row],[BAĞLANTI]])</f>
        <v>0</v>
      </c>
      <c r="U176" s="8">
        <f>+SUMIFS(U$2:U$149,$CB$2:$CB$149,Table1[[#This Row],[BAĞLANTI]])</f>
        <v>0</v>
      </c>
      <c r="V176" s="8">
        <f>+SUMIFS(V$2:V$149,$CB$2:$CB$149,Table1[[#This Row],[BAĞLANTI]])</f>
        <v>0</v>
      </c>
      <c r="W176" s="8">
        <f>+SUMIFS(W$2:W$149,$CB$2:$CB$149,Table1[[#This Row],[BAĞLANTI]])</f>
        <v>0</v>
      </c>
      <c r="X176" s="10">
        <f>+SUMIFS(X$2:X$149,$CB$2:$CB$149,Table1[[#This Row],[BAĞLANTI]])</f>
        <v>0</v>
      </c>
      <c r="Y176" s="8">
        <f>+SUMIFS(Y$2:Y$149,$CB$2:$CB$149,Table1[[#This Row],[BAĞLANTI]])</f>
        <v>0</v>
      </c>
      <c r="Z176" s="8">
        <f>+SUMIFS(Z$2:Z$149,$CB$2:$CB$149,Table1[[#This Row],[BAĞLANTI]])</f>
        <v>0</v>
      </c>
      <c r="AA176" s="8">
        <f>+SUMIFS(AA$2:AA$149,$CB$2:$CB$149,Table1[[#This Row],[BAĞLANTI]])</f>
        <v>0</v>
      </c>
      <c r="AB176" s="8">
        <f>+SUMIFS(AB$2:AB$149,$CB$2:$CB$149,Table1[[#This Row],[BAĞLANTI]])</f>
        <v>0</v>
      </c>
      <c r="AC176" s="8">
        <f>+SUMIFS(AC$2:AC$149,$CB$2:$CB$149,Table1[[#This Row],[BAĞLANTI]])</f>
        <v>0</v>
      </c>
      <c r="AD176" s="8">
        <f>+SUMIFS(AD$2:AD$149,$CB$2:$CB$149,Table1[[#This Row],[BAĞLANTI]])</f>
        <v>0</v>
      </c>
      <c r="AE176" s="8">
        <f>+SUMIFS(AE$2:AE$149,$CB$2:$CB$149,Table1[[#This Row],[BAĞLANTI]])</f>
        <v>67.393096790628064</v>
      </c>
      <c r="AF176" s="8">
        <f>+SUMIFS(AF$2:AF$149,$CB$2:$CB$149,Table1[[#This Row],[BAĞLANTI]])</f>
        <v>53.641744840391752</v>
      </c>
      <c r="AG176" s="8">
        <f>+SUMIFS(AG$2:AG$149,$CB$2:$CB$149,Table1[[#This Row],[BAĞLANTI]])</f>
        <v>67.393096790628164</v>
      </c>
      <c r="AH176" s="8">
        <f>+SUMIFS(AH$2:AH$149,$CB$2:$CB$149,Table1[[#This Row],[BAĞLANTI]])</f>
        <v>59.796649129072421</v>
      </c>
      <c r="AI176" s="8">
        <f>+SUMIFS(AI$2:AI$149,$CB$2:$CB$149,Table1[[#This Row],[BAĞLANTI]])</f>
        <v>58.612792480382005</v>
      </c>
      <c r="AJ176" s="8">
        <f>+SUMIFS(AJ$2:AJ$149,$CB$2:$CB$149,Table1[[#This Row],[BAĞLANTI]])</f>
        <v>84.982950606603765</v>
      </c>
      <c r="AK176" s="8">
        <f>+SUMIFS(AK$2:AK$149,$CB$2:$CB$149,Table1[[#This Row],[BAĞLANTI]])</f>
        <v>43.947903874491629</v>
      </c>
      <c r="AL176" s="8">
        <f>+SUMIFS(AL$2:AL$149,$CB$2:$CB$149,Table1[[#This Row],[BAĞLANTI]])</f>
        <v>33.765219228397854</v>
      </c>
      <c r="AM176" s="8">
        <f>+SUMIFS(AM$2:AM$149,$CB$2:$CB$149,Table1[[#This Row],[BAĞLANTI]])</f>
        <v>0</v>
      </c>
      <c r="AN176" s="8">
        <f>+SUMIFS(AN$2:AN$149,$CB$2:$CB$149,Table1[[#This Row],[BAĞLANTI]])</f>
        <v>0</v>
      </c>
      <c r="AO176" s="8">
        <f>+SUMIFS(AO$2:AO$149,$CB$2:$CB$149,Table1[[#This Row],[BAĞLANTI]])</f>
        <v>0</v>
      </c>
      <c r="AP176" s="8">
        <f>+SUMIFS(AP$2:AP$149,$CB$2:$CB$149,Table1[[#This Row],[BAĞLANTI]])</f>
        <v>0</v>
      </c>
      <c r="AQ176" s="8">
        <f>+SUMIFS(AQ$2:AQ$149,$CB$2:$CB$149,Table1[[#This Row],[BAĞLANTI]])</f>
        <v>84.697267696726598</v>
      </c>
      <c r="AR176" s="8">
        <f>+SUMIFS(AR$2:AR$149,$CB$2:$CB$149,Table1[[#This Row],[BAĞLANTI]])</f>
        <v>77.100820035170756</v>
      </c>
      <c r="AS176" s="8">
        <f>+SUMIFS(AS$2:AS$149,$CB$2:$CB$149,Table1[[#This Row],[BAĞLANTI]])</f>
        <v>78.092514526973289</v>
      </c>
      <c r="AT176" s="8">
        <f>+SUMIFS(AT$2:AT$149,$CB$2:$CB$149,Table1[[#This Row],[BAĞLANTI]])</f>
        <v>93.28540985008479</v>
      </c>
      <c r="AU176" s="8">
        <f>+SUMIFS(AU$2:AU$149,$CB$2:$CB$149,Table1[[#This Row],[BAĞLANTI]])</f>
        <v>40.487800636361833</v>
      </c>
      <c r="AV176" s="8">
        <f>+SUMIFS(AV$2:AV$149,$CB$2:$CB$149,Table1[[#This Row],[BAĞLANTI]])</f>
        <v>40.487800636361833</v>
      </c>
      <c r="AW176" s="8">
        <f>+SUMIFS(AW$2:AW$149,$CB$2:$CB$149,Table1[[#This Row],[BAĞLANTI]])</f>
        <v>68.157466438862741</v>
      </c>
      <c r="AX176" s="8">
        <f>+SUMIFS(AX$2:AX$149,$CB$2:$CB$149,Table1[[#This Row],[BAĞLANTI]])</f>
        <v>68.157466438862741</v>
      </c>
      <c r="AY176" s="8">
        <f>+SUMIFS(AY$2:AY$149,$CB$2:$CB$149,Table1[[#This Row],[BAĞLANTI]])</f>
        <v>0</v>
      </c>
      <c r="AZ176" s="8">
        <f>+SUMIFS(AZ$2:AZ$149,$CB$2:$CB$149,Table1[[#This Row],[BAĞLANTI]])</f>
        <v>0</v>
      </c>
      <c r="BA176" s="8">
        <f>+SUMIFS(BA$2:BA$149,$CB$2:$CB$149,Table1[[#This Row],[BAĞLANTI]])</f>
        <v>0</v>
      </c>
      <c r="BB176" s="8">
        <f>+SUMIFS(BB$2:BB$149,$CB$2:$CB$149,Table1[[#This Row],[BAĞLANTI]])</f>
        <v>0</v>
      </c>
      <c r="BC176" s="8">
        <f>+SUMIFS(BC$2:BC$149,$CB$2:$CB$149,Table1[[#This Row],[BAĞLANTI]])</f>
        <v>0</v>
      </c>
      <c r="BD176" s="8">
        <f>+SUMIFS(BD$2:BD$149,$CB$2:$CB$149,Table1[[#This Row],[BAĞLANTI]])</f>
        <v>0</v>
      </c>
      <c r="BE176" s="8">
        <f>+SUMIFS(BE$2:BE$149,$CB$2:$CB$149,Table1[[#This Row],[BAĞLANTI]])</f>
        <v>0</v>
      </c>
      <c r="BF176" s="8">
        <f>+SUMIFS(BF$2:BF$149,$CB$2:$CB$149,Table1[[#This Row],[BAĞLANTI]])</f>
        <v>0</v>
      </c>
      <c r="BG176" s="8">
        <f>+SUMIFS(BG$2:BG$149,$CB$2:$CB$149,Table1[[#This Row],[BAĞLANTI]])</f>
        <v>0</v>
      </c>
      <c r="BH176" s="8">
        <f>+SUMIFS(BH$2:BH$149,$CB$2:$CB$149,Table1[[#This Row],[BAĞLANTI]])</f>
        <v>0</v>
      </c>
      <c r="BI176" s="8">
        <f>+SUMIFS(BI$2:BI$149,$CB$2:$CB$149,Table1[[#This Row],[BAĞLANTI]])</f>
        <v>0</v>
      </c>
      <c r="BJ176" s="8">
        <f>+SUMIFS(BJ$2:BJ$149,$CB$2:$CB$149,Table1[[#This Row],[BAĞLANTI]])</f>
        <v>0</v>
      </c>
      <c r="BK176" s="8">
        <f>+SUMIFS(BK$2:BK$149,$CB$2:$CB$149,Table1[[#This Row],[BAĞLANTI]])</f>
        <v>0</v>
      </c>
      <c r="BL176" s="8">
        <f>+SUMIFS(BL$2:BL$149,$CB$2:$CB$149,Table1[[#This Row],[BAĞLANTI]])</f>
        <v>0</v>
      </c>
      <c r="BM176" s="8">
        <f>+SUMIFS(BM$2:BM$149,$CB$2:$CB$149,Table1[[#This Row],[BAĞLANTI]])</f>
        <v>0</v>
      </c>
      <c r="BN176" s="8">
        <f>+SUMIFS(BN$2:BN$149,$CB$2:$CB$149,Table1[[#This Row],[BAĞLANTI]])</f>
        <v>0</v>
      </c>
      <c r="BO176" s="8">
        <f>+SUMIFS(BO$2:BO$149,$CB$2:$CB$149,Table1[[#This Row],[BAĞLANTI]])</f>
        <v>0</v>
      </c>
      <c r="BP176" s="8">
        <f>+SUMIFS(BP$2:BP$149,$CB$2:$CB$149,Table1[[#This Row],[BAĞLANTI]])</f>
        <v>0</v>
      </c>
      <c r="BQ176" s="8">
        <f>+SUMIFS(BQ$2:BQ$149,$CB$2:$CB$149,Table1[[#This Row],[BAĞLANTI]])</f>
        <v>0</v>
      </c>
      <c r="BR176" s="8">
        <f>+SUMIFS(BR$2:BR$149,$CB$2:$CB$149,Table1[[#This Row],[BAĞLANTI]])</f>
        <v>0</v>
      </c>
      <c r="BS176" s="8">
        <f>+SUMIFS(BS$2:BS$149,$CB$2:$CB$149,Table1[[#This Row],[BAĞLANTI]])</f>
        <v>0</v>
      </c>
      <c r="BT176" s="8">
        <f>+SUMIFS(BT$2:BT$149,$CB$2:$CB$149,Table1[[#This Row],[BAĞLANTI]])</f>
        <v>0</v>
      </c>
      <c r="BU176" s="8">
        <f>+SUMIFS(BU$2:BU$149,$CB$2:$CB$149,Table1[[#This Row],[BAĞLANTI]])</f>
        <v>0</v>
      </c>
      <c r="BV176" s="8">
        <f>+SUMIFS(BV$2:BV$149,$CB$2:$CB$149,Table1[[#This Row],[BAĞLANTI]])</f>
        <v>0</v>
      </c>
      <c r="BW176" s="8">
        <f>+SUMIFS(BW$2:BW$149,$CB$2:$CB$149,Table1[[#This Row],[BAĞLANTI]])</f>
        <v>0</v>
      </c>
      <c r="BX176" s="8">
        <f>+SUMIFS(BX$2:BX$149,$CB$2:$CB$149,Table1[[#This Row],[BAĞLANTI]])</f>
        <v>0</v>
      </c>
      <c r="BY176" s="8">
        <f>+SUMIFS(BY$2:BY$149,$CB$2:$CB$149,Table1[[#This Row],[BAĞLANTI]])</f>
        <v>0</v>
      </c>
      <c r="BZ176" s="8">
        <f>+SUMIFS(BZ$2:BZ$149,$CB$2:$CB$149,Table1[[#This Row],[BAĞLANTI]])</f>
        <v>0</v>
      </c>
      <c r="CA176" s="8">
        <f>+SUMIFS(CA$2:CA$149,$CB$2:$CB$149,Table1[[#This Row],[BAĞLANTI]])</f>
        <v>0</v>
      </c>
      <c r="CB176" s="8" t="s">
        <v>5379</v>
      </c>
    </row>
    <row r="177" spans="1:80">
      <c r="A177" s="3" t="s">
        <v>5444</v>
      </c>
      <c r="B177" t="s">
        <v>12</v>
      </c>
      <c r="C177" t="s">
        <v>200</v>
      </c>
      <c r="D177" t="s">
        <v>71</v>
      </c>
      <c r="E177" t="s">
        <v>4974</v>
      </c>
      <c r="F177" s="77" t="s">
        <v>4973</v>
      </c>
      <c r="G177" t="s">
        <v>4983</v>
      </c>
      <c r="H177" s="3" t="s">
        <v>4984</v>
      </c>
      <c r="I177" s="3" t="s">
        <v>5194</v>
      </c>
      <c r="J177" s="78"/>
      <c r="K177" s="78"/>
      <c r="M177" s="78"/>
      <c r="N177" s="8">
        <f>+SUMIFS(N$2:N$149,$CB$2:$CB$149,Table1[[#This Row],[BAĞLANTI]])</f>
        <v>0</v>
      </c>
      <c r="O177" s="8">
        <f>+SUMIFS(O$2:O$149,$CB$2:$CB$149,Table1[[#This Row],[BAĞLANTI]])</f>
        <v>0</v>
      </c>
      <c r="P177" s="8">
        <f>+SUMIFS(P$2:P$149,$CB$2:$CB$149,Table1[[#This Row],[BAĞLANTI]])</f>
        <v>0</v>
      </c>
      <c r="Q177" s="8">
        <f>+SUMIFS(Q$2:Q$149,$CB$2:$CB$149,Table1[[#This Row],[BAĞLANTI]])</f>
        <v>0</v>
      </c>
      <c r="R177" s="8">
        <f>+SUMIFS(R$2:R$149,$CB$2:$CB$149,Table1[[#This Row],[BAĞLANTI]])</f>
        <v>343</v>
      </c>
      <c r="S177" s="8">
        <f>+SUMIFS(S$2:S$149,$CB$2:$CB$149,Table1[[#This Row],[BAĞLANTI]])</f>
        <v>762.91</v>
      </c>
      <c r="T177" s="8">
        <f>+SUMIFS(T$2:T$149,$CB$2:$CB$149,Table1[[#This Row],[BAĞLANTI]])</f>
        <v>529.52099999999996</v>
      </c>
      <c r="U177" s="8">
        <f>+SUMIFS(U$2:U$149,$CB$2:$CB$149,Table1[[#This Row],[BAĞLANTI]])</f>
        <v>1062.5190999999995</v>
      </c>
      <c r="V177" s="8">
        <f>+SUMIFS(V$2:V$149,$CB$2:$CB$149,Table1[[#This Row],[BAĞLANTI]])</f>
        <v>1451.63</v>
      </c>
      <c r="W177" s="8">
        <f>+SUMIFS(W$2:W$149,$CB$2:$CB$149,Table1[[#This Row],[BAĞLANTI]])</f>
        <v>1038.2800000000007</v>
      </c>
      <c r="X177" s="10">
        <f>+SUMIFS(X$2:X$149,$CB$2:$CB$149,Table1[[#This Row],[BAĞLANTI]])</f>
        <v>0</v>
      </c>
      <c r="Y177" s="8">
        <f>+SUMIFS(Y$2:Y$149,$CB$2:$CB$149,Table1[[#This Row],[BAĞLANTI]])</f>
        <v>77.718507430161409</v>
      </c>
      <c r="Z177" s="8">
        <f>+SUMIFS(Z$2:Z$149,$CB$2:$CB$149,Table1[[#This Row],[BAĞLANTI]])</f>
        <v>53.051353118298181</v>
      </c>
      <c r="AA177" s="8">
        <f>+SUMIFS(AA$2:AA$149,$CB$2:$CB$149,Table1[[#This Row],[BAĞLANTI]])</f>
        <v>82.664961868777638</v>
      </c>
      <c r="AB177" s="8">
        <f>+SUMIFS(AB$2:AB$149,$CB$2:$CB$149,Table1[[#This Row],[BAĞLANTI]])</f>
        <v>57.997807556914402</v>
      </c>
      <c r="AC177" s="8">
        <f>+SUMIFS(AC$2:AC$149,$CB$2:$CB$149,Table1[[#This Row],[BAĞLANTI]])</f>
        <v>74.139773471828647</v>
      </c>
      <c r="AD177" s="8">
        <f>+SUMIFS(AD$2:AD$149,$CB$2:$CB$149,Table1[[#This Row],[BAĞLANTI]])</f>
        <v>159.76884494160154</v>
      </c>
      <c r="AE177" s="8">
        <f>+SUMIFS(AE$2:AE$149,$CB$2:$CB$149,Table1[[#This Row],[BAĞLANTI]])</f>
        <v>141.12008557454561</v>
      </c>
      <c r="AF177" s="8">
        <f>+SUMIFS(AF$2:AF$149,$CB$2:$CB$149,Table1[[#This Row],[BAĞLANTI]])</f>
        <v>121.13390510864365</v>
      </c>
      <c r="AG177" s="8">
        <f>+SUMIFS(AG$2:AG$149,$CB$2:$CB$149,Table1[[#This Row],[BAĞLANTI]])</f>
        <v>136.17363113592975</v>
      </c>
      <c r="AH177" s="8">
        <f>+SUMIFS(AH$2:AH$149,$CB$2:$CB$149,Table1[[#This Row],[BAĞLANTI]])</f>
        <v>136.17363113592975</v>
      </c>
      <c r="AI177" s="8">
        <f>+SUMIFS(AI$2:AI$149,$CB$2:$CB$149,Table1[[#This Row],[BAĞLANTI]])</f>
        <v>116.18745067002745</v>
      </c>
      <c r="AJ177" s="8">
        <f>+SUMIFS(AJ$2:AJ$149,$CB$2:$CB$149,Table1[[#This Row],[BAĞLANTI]])</f>
        <v>116.18745067002745</v>
      </c>
      <c r="AK177" s="8">
        <f>+SUMIFS(AK$2:AK$149,$CB$2:$CB$149,Table1[[#This Row],[BAĞLANTI]])</f>
        <v>109.64228415551347</v>
      </c>
      <c r="AL177" s="8">
        <f>+SUMIFS(AL$2:AL$149,$CB$2:$CB$149,Table1[[#This Row],[BAĞLANTI]])</f>
        <v>109.64228415551347</v>
      </c>
      <c r="AM177" s="8">
        <f>+SUMIFS(AM$2:AM$149,$CB$2:$CB$149,Table1[[#This Row],[BAĞLANTI]])</f>
        <v>103.58444280189198</v>
      </c>
      <c r="AN177" s="8">
        <f>+SUMIFS(AN$2:AN$149,$CB$2:$CB$149,Table1[[#This Row],[BAĞLANTI]])</f>
        <v>78.917288490028412</v>
      </c>
      <c r="AO177" s="8">
        <f>+SUMIFS(AO$2:AO$149,$CB$2:$CB$149,Table1[[#This Row],[BAĞLANTI]])</f>
        <v>82.13751485758668</v>
      </c>
      <c r="AP177" s="8">
        <f>+SUMIFS(AP$2:AP$149,$CB$2:$CB$149,Table1[[#This Row],[BAĞLANTI]])</f>
        <v>151.45800394721513</v>
      </c>
      <c r="AQ177" s="8">
        <f>+SUMIFS(AQ$2:AQ$149,$CB$2:$CB$149,Table1[[#This Row],[BAĞLANTI]])</f>
        <v>171.44418441311711</v>
      </c>
      <c r="AR177" s="8">
        <f>+SUMIFS(AR$2:AR$149,$CB$2:$CB$149,Table1[[#This Row],[BAĞLANTI]])</f>
        <v>171.44418441311711</v>
      </c>
      <c r="AS177" s="8">
        <f>+SUMIFS(AS$2:AS$149,$CB$2:$CB$149,Table1[[#This Row],[BAĞLANTI]])</f>
        <v>171.44418441311711</v>
      </c>
      <c r="AT177" s="8">
        <f>+SUMIFS(AT$2:AT$149,$CB$2:$CB$149,Table1[[#This Row],[BAĞLANTI]])</f>
        <v>184.52317659961165</v>
      </c>
      <c r="AU177" s="8">
        <f>+SUMIFS(AU$2:AU$149,$CB$2:$CB$149,Table1[[#This Row],[BAĞLANTI]])</f>
        <v>254.12385728784818</v>
      </c>
      <c r="AV177" s="8">
        <f>+SUMIFS(AV$2:AV$149,$CB$2:$CB$149,Table1[[#This Row],[BAĞLANTI]])</f>
        <v>254.12385728784818</v>
      </c>
      <c r="AW177" s="8">
        <f>+SUMIFS(AW$2:AW$149,$CB$2:$CB$149,Table1[[#This Row],[BAĞLANTI]])</f>
        <v>197.33723449490594</v>
      </c>
      <c r="AX177" s="8">
        <f>+SUMIFS(AX$2:AX$149,$CB$2:$CB$149,Table1[[#This Row],[BAĞLANTI]])</f>
        <v>0</v>
      </c>
      <c r="AY177" s="8">
        <f>+SUMIFS(AY$2:AY$149,$CB$2:$CB$149,Table1[[#This Row],[BAĞLANTI]])</f>
        <v>0</v>
      </c>
      <c r="AZ177" s="8">
        <f>+SUMIFS(AZ$2:AZ$149,$CB$2:$CB$149,Table1[[#This Row],[BAĞLANTI]])</f>
        <v>0</v>
      </c>
      <c r="BA177" s="8">
        <f>+SUMIFS(BA$2:BA$149,$CB$2:$CB$149,Table1[[#This Row],[BAĞLANTI]])</f>
        <v>0</v>
      </c>
      <c r="BB177" s="8">
        <f>+SUMIFS(BB$2:BB$149,$CB$2:$CB$149,Table1[[#This Row],[BAĞLANTI]])</f>
        <v>0</v>
      </c>
      <c r="BC177" s="8">
        <f>+SUMIFS(BC$2:BC$149,$CB$2:$CB$149,Table1[[#This Row],[BAĞLANTI]])</f>
        <v>0</v>
      </c>
      <c r="BD177" s="8">
        <f>+SUMIFS(BD$2:BD$149,$CB$2:$CB$149,Table1[[#This Row],[BAĞLANTI]])</f>
        <v>0</v>
      </c>
      <c r="BE177" s="8">
        <f>+SUMIFS(BE$2:BE$149,$CB$2:$CB$149,Table1[[#This Row],[BAĞLANTI]])</f>
        <v>0</v>
      </c>
      <c r="BF177" s="8">
        <f>+SUMIFS(BF$2:BF$149,$CB$2:$CB$149,Table1[[#This Row],[BAĞLANTI]])</f>
        <v>0</v>
      </c>
      <c r="BG177" s="8">
        <f>+SUMIFS(BG$2:BG$149,$CB$2:$CB$149,Table1[[#This Row],[BAĞLANTI]])</f>
        <v>0</v>
      </c>
      <c r="BH177" s="8">
        <f>+SUMIFS(BH$2:BH$149,$CB$2:$CB$149,Table1[[#This Row],[BAĞLANTI]])</f>
        <v>0</v>
      </c>
      <c r="BI177" s="8">
        <f>+SUMIFS(BI$2:BI$149,$CB$2:$CB$149,Table1[[#This Row],[BAĞLANTI]])</f>
        <v>0</v>
      </c>
      <c r="BJ177" s="8">
        <f>+SUMIFS(BJ$2:BJ$149,$CB$2:$CB$149,Table1[[#This Row],[BAĞLANTI]])</f>
        <v>0</v>
      </c>
      <c r="BK177" s="8">
        <f>+SUMIFS(BK$2:BK$149,$CB$2:$CB$149,Table1[[#This Row],[BAĞLANTI]])</f>
        <v>0</v>
      </c>
      <c r="BL177" s="8">
        <f>+SUMIFS(BL$2:BL$149,$CB$2:$CB$149,Table1[[#This Row],[BAĞLANTI]])</f>
        <v>0</v>
      </c>
      <c r="BM177" s="8">
        <f>+SUMIFS(BM$2:BM$149,$CB$2:$CB$149,Table1[[#This Row],[BAĞLANTI]])</f>
        <v>0</v>
      </c>
      <c r="BN177" s="8">
        <f>+SUMIFS(BN$2:BN$149,$CB$2:$CB$149,Table1[[#This Row],[BAĞLANTI]])</f>
        <v>0</v>
      </c>
      <c r="BO177" s="8">
        <f>+SUMIFS(BO$2:BO$149,$CB$2:$CB$149,Table1[[#This Row],[BAĞLANTI]])</f>
        <v>0</v>
      </c>
      <c r="BP177" s="8">
        <f>+SUMIFS(BP$2:BP$149,$CB$2:$CB$149,Table1[[#This Row],[BAĞLANTI]])</f>
        <v>0</v>
      </c>
      <c r="BQ177" s="8">
        <f>+SUMIFS(BQ$2:BQ$149,$CB$2:$CB$149,Table1[[#This Row],[BAĞLANTI]])</f>
        <v>0</v>
      </c>
      <c r="BR177" s="8">
        <f>+SUMIFS(BR$2:BR$149,$CB$2:$CB$149,Table1[[#This Row],[BAĞLANTI]])</f>
        <v>0</v>
      </c>
      <c r="BS177" s="8">
        <f>+SUMIFS(BS$2:BS$149,$CB$2:$CB$149,Table1[[#This Row],[BAĞLANTI]])</f>
        <v>0</v>
      </c>
      <c r="BT177" s="8">
        <f>+SUMIFS(BT$2:BT$149,$CB$2:$CB$149,Table1[[#This Row],[BAĞLANTI]])</f>
        <v>0</v>
      </c>
      <c r="BU177" s="8">
        <f>+SUMIFS(BU$2:BU$149,$CB$2:$CB$149,Table1[[#This Row],[BAĞLANTI]])</f>
        <v>0</v>
      </c>
      <c r="BV177" s="8">
        <f>+SUMIFS(BV$2:BV$149,$CB$2:$CB$149,Table1[[#This Row],[BAĞLANTI]])</f>
        <v>0</v>
      </c>
      <c r="BW177" s="8">
        <f>+SUMIFS(BW$2:BW$149,$CB$2:$CB$149,Table1[[#This Row],[BAĞLANTI]])</f>
        <v>0</v>
      </c>
      <c r="BX177" s="8">
        <f>+SUMIFS(BX$2:BX$149,$CB$2:$CB$149,Table1[[#This Row],[BAĞLANTI]])</f>
        <v>0</v>
      </c>
      <c r="BY177" s="8">
        <f>+SUMIFS(BY$2:BY$149,$CB$2:$CB$149,Table1[[#This Row],[BAĞLANTI]])</f>
        <v>0</v>
      </c>
      <c r="BZ177" s="8">
        <f>+SUMIFS(BZ$2:BZ$149,$CB$2:$CB$149,Table1[[#This Row],[BAĞLANTI]])</f>
        <v>0</v>
      </c>
      <c r="CA177" s="8">
        <f>+SUMIFS(CA$2:CA$149,$CB$2:$CB$149,Table1[[#This Row],[BAĞLANTI]])</f>
        <v>0</v>
      </c>
      <c r="CB177" s="8" t="s">
        <v>5363</v>
      </c>
    </row>
    <row r="178" spans="1:80">
      <c r="A178" s="3" t="s">
        <v>5444</v>
      </c>
      <c r="B178" t="s">
        <v>12</v>
      </c>
      <c r="C178" t="s">
        <v>200</v>
      </c>
      <c r="D178" t="s">
        <v>73</v>
      </c>
      <c r="E178" t="s">
        <v>4975</v>
      </c>
      <c r="F178" s="77" t="s">
        <v>4973</v>
      </c>
      <c r="G178" t="s">
        <v>4983</v>
      </c>
      <c r="H178" s="3" t="s">
        <v>4984</v>
      </c>
      <c r="I178" s="3" t="s">
        <v>5194</v>
      </c>
      <c r="J178" s="78"/>
      <c r="K178" s="78"/>
      <c r="M178" s="78"/>
      <c r="N178" s="8">
        <f>+SUMIFS(N$2:N$149,$CB$2:$CB$149,Table1[[#This Row],[BAĞLANTI]])</f>
        <v>0</v>
      </c>
      <c r="O178" s="8">
        <f>+SUMIFS(O$2:O$149,$CB$2:$CB$149,Table1[[#This Row],[BAĞLANTI]])</f>
        <v>0</v>
      </c>
      <c r="P178" s="8">
        <f>+SUMIFS(P$2:P$149,$CB$2:$CB$149,Table1[[#This Row],[BAĞLANTI]])</f>
        <v>0</v>
      </c>
      <c r="Q178" s="8">
        <f>+SUMIFS(Q$2:Q$149,$CB$2:$CB$149,Table1[[#This Row],[BAĞLANTI]])</f>
        <v>0</v>
      </c>
      <c r="R178" s="8">
        <f>+SUMIFS(R$2:R$149,$CB$2:$CB$149,Table1[[#This Row],[BAĞLANTI]])</f>
        <v>1767</v>
      </c>
      <c r="S178" s="8">
        <f>+SUMIFS(S$2:S$149,$CB$2:$CB$149,Table1[[#This Row],[BAĞLANTI]])</f>
        <v>1962.05</v>
      </c>
      <c r="T178" s="8">
        <f>+SUMIFS(T$2:T$149,$CB$2:$CB$149,Table1[[#This Row],[BAĞLANTI]])</f>
        <v>-1431.28</v>
      </c>
      <c r="U178" s="8">
        <f>+SUMIFS(U$2:U$149,$CB$2:$CB$149,Table1[[#This Row],[BAĞLANTI]])</f>
        <v>0</v>
      </c>
      <c r="V178" s="8">
        <f>+SUMIFS(V$2:V$149,$CB$2:$CB$149,Table1[[#This Row],[BAĞLANTI]])</f>
        <v>838.3</v>
      </c>
      <c r="W178" s="8">
        <f>+SUMIFS(W$2:W$149,$CB$2:$CB$149,Table1[[#This Row],[BAĞLANTI]])</f>
        <v>0</v>
      </c>
      <c r="X178" s="10">
        <f>+SUMIFS(X$2:X$149,$CB$2:$CB$149,Table1[[#This Row],[BAĞLANTI]])</f>
        <v>0</v>
      </c>
      <c r="Y178" s="8">
        <f>+SUMIFS(Y$2:Y$149,$CB$2:$CB$149,Table1[[#This Row],[BAĞLANTI]])</f>
        <v>8.5395234691199473</v>
      </c>
      <c r="Z178" s="8">
        <f>+SUMIFS(Z$2:Z$149,$CB$2:$CB$149,Table1[[#This Row],[BAĞLANTI]])</f>
        <v>5.8291556284631039</v>
      </c>
      <c r="AA178" s="8">
        <f>+SUMIFS(AA$2:AA$149,$CB$2:$CB$149,Table1[[#This Row],[BAĞLANTI]])</f>
        <v>9.0830280366189218</v>
      </c>
      <c r="AB178" s="8">
        <f>+SUMIFS(AB$2:AB$149,$CB$2:$CB$149,Table1[[#This Row],[BAĞLANTI]])</f>
        <v>6.3726601959620792</v>
      </c>
      <c r="AC178" s="8">
        <f>+SUMIFS(AC$2:AC$149,$CB$2:$CB$149,Table1[[#This Row],[BAĞLANTI]])</f>
        <v>8.1463007524538913</v>
      </c>
      <c r="AD178" s="8">
        <f>+SUMIFS(AD$2:AD$149,$CB$2:$CB$149,Table1[[#This Row],[BAĞLANTI]])</f>
        <v>17.55501805331259</v>
      </c>
      <c r="AE178" s="8">
        <f>+SUMIFS(AE$2:AE$149,$CB$2:$CB$149,Table1[[#This Row],[BAĞLANTI]])</f>
        <v>15.505937035794986</v>
      </c>
      <c r="AF178" s="8">
        <f>+SUMIFS(AF$2:AF$149,$CB$2:$CB$149,Table1[[#This Row],[BAĞLANTI]])</f>
        <v>16.943025374494237</v>
      </c>
      <c r="AG178" s="8">
        <f>+SUMIFS(AG$2:AG$149,$CB$2:$CB$149,Table1[[#This Row],[BAĞLANTI]])</f>
        <v>14.962432468296049</v>
      </c>
      <c r="AH178" s="8">
        <f>+SUMIFS(AH$2:AH$149,$CB$2:$CB$149,Table1[[#This Row],[BAĞLANTI]])</f>
        <v>14.962432468296049</v>
      </c>
      <c r="AI178" s="8">
        <f>+SUMIFS(AI$2:AI$149,$CB$2:$CB$149,Table1[[#This Row],[BAĞLANTI]])</f>
        <v>12.766398823414136</v>
      </c>
      <c r="AJ178" s="8">
        <f>+SUMIFS(AJ$2:AJ$149,$CB$2:$CB$149,Table1[[#This Row],[BAĞLANTI]])</f>
        <v>12.766398823414136</v>
      </c>
      <c r="AK178" s="8">
        <f>+SUMIFS(AK$2:AK$149,$CB$2:$CB$149,Table1[[#This Row],[BAĞLANTI]])</f>
        <v>12.047231601755694</v>
      </c>
      <c r="AL178" s="8">
        <f>+SUMIFS(AL$2:AL$149,$CB$2:$CB$149,Table1[[#This Row],[BAĞLANTI]])</f>
        <v>12.047231601755694</v>
      </c>
      <c r="AM178" s="8">
        <f>+SUMIFS(AM$2:AM$149,$CB$2:$CB$149,Table1[[#This Row],[BAĞLANTI]])</f>
        <v>11.381610501685779</v>
      </c>
      <c r="AN178" s="8">
        <f>+SUMIFS(AN$2:AN$149,$CB$2:$CB$149,Table1[[#This Row],[BAĞLANTI]])</f>
        <v>8.6712426610288986</v>
      </c>
      <c r="AO178" s="8">
        <f>+SUMIFS(AO$2:AO$149,$CB$2:$CB$149,Table1[[#This Row],[BAĞLANTI]])</f>
        <v>9.0250734222070346</v>
      </c>
      <c r="AP178" s="8">
        <f>+SUMIFS(AP$2:AP$149,$CB$2:$CB$149,Table1[[#This Row],[BAĞLANTI]])</f>
        <v>16.641842748402599</v>
      </c>
      <c r="AQ178" s="8">
        <f>+SUMIFS(AQ$2:AQ$149,$CB$2:$CB$149,Table1[[#This Row],[BAĞLANTI]])</f>
        <v>18.837876393284475</v>
      </c>
      <c r="AR178" s="8">
        <f>+SUMIFS(AR$2:AR$149,$CB$2:$CB$149,Table1[[#This Row],[BAĞLANTI]])</f>
        <v>18.837876393284475</v>
      </c>
      <c r="AS178" s="8">
        <f>+SUMIFS(AS$2:AS$149,$CB$2:$CB$149,Table1[[#This Row],[BAĞLANTI]])</f>
        <v>18.837876393284475</v>
      </c>
      <c r="AT178" s="8">
        <f>+SUMIFS(AT$2:AT$149,$CB$2:$CB$149,Table1[[#This Row],[BAĞLANTI]])</f>
        <v>16.641842748402599</v>
      </c>
      <c r="AU178" s="8">
        <f>+SUMIFS(AU$2:AU$149,$CB$2:$CB$149,Table1[[#This Row],[BAĞLANTI]])</f>
        <v>27.922520840006321</v>
      </c>
      <c r="AV178" s="8">
        <f>+SUMIFS(AV$2:AV$149,$CB$2:$CB$149,Table1[[#This Row],[BAĞLANTI]])</f>
        <v>27.922520840006321</v>
      </c>
      <c r="AW178" s="8">
        <f>+SUMIFS(AW$2:AW$149,$CB$2:$CB$149,Table1[[#This Row],[BAĞLANTI]])</f>
        <v>21.682942725254776</v>
      </c>
      <c r="AX178" s="8">
        <f>+SUMIFS(AX$2:AX$149,$CB$2:$CB$149,Table1[[#This Row],[BAĞLANTI]])</f>
        <v>0</v>
      </c>
      <c r="AY178" s="8">
        <f>+SUMIFS(AY$2:AY$149,$CB$2:$CB$149,Table1[[#This Row],[BAĞLANTI]])</f>
        <v>0</v>
      </c>
      <c r="AZ178" s="8">
        <f>+SUMIFS(AZ$2:AZ$149,$CB$2:$CB$149,Table1[[#This Row],[BAĞLANTI]])</f>
        <v>0</v>
      </c>
      <c r="BA178" s="8">
        <f>+SUMIFS(BA$2:BA$149,$CB$2:$CB$149,Table1[[#This Row],[BAĞLANTI]])</f>
        <v>0</v>
      </c>
      <c r="BB178" s="8">
        <f>+SUMIFS(BB$2:BB$149,$CB$2:$CB$149,Table1[[#This Row],[BAĞLANTI]])</f>
        <v>0</v>
      </c>
      <c r="BC178" s="8">
        <f>+SUMIFS(BC$2:BC$149,$CB$2:$CB$149,Table1[[#This Row],[BAĞLANTI]])</f>
        <v>0</v>
      </c>
      <c r="BD178" s="8">
        <f>+SUMIFS(BD$2:BD$149,$CB$2:$CB$149,Table1[[#This Row],[BAĞLANTI]])</f>
        <v>0</v>
      </c>
      <c r="BE178" s="8">
        <f>+SUMIFS(BE$2:BE$149,$CB$2:$CB$149,Table1[[#This Row],[BAĞLANTI]])</f>
        <v>0</v>
      </c>
      <c r="BF178" s="8">
        <f>+SUMIFS(BF$2:BF$149,$CB$2:$CB$149,Table1[[#This Row],[BAĞLANTI]])</f>
        <v>0</v>
      </c>
      <c r="BG178" s="8">
        <f>+SUMIFS(BG$2:BG$149,$CB$2:$CB$149,Table1[[#This Row],[BAĞLANTI]])</f>
        <v>0</v>
      </c>
      <c r="BH178" s="8">
        <f>+SUMIFS(BH$2:BH$149,$CB$2:$CB$149,Table1[[#This Row],[BAĞLANTI]])</f>
        <v>0</v>
      </c>
      <c r="BI178" s="8">
        <f>+SUMIFS(BI$2:BI$149,$CB$2:$CB$149,Table1[[#This Row],[BAĞLANTI]])</f>
        <v>0</v>
      </c>
      <c r="BJ178" s="8">
        <f>+SUMIFS(BJ$2:BJ$149,$CB$2:$CB$149,Table1[[#This Row],[BAĞLANTI]])</f>
        <v>0</v>
      </c>
      <c r="BK178" s="8">
        <f>+SUMIFS(BK$2:BK$149,$CB$2:$CB$149,Table1[[#This Row],[BAĞLANTI]])</f>
        <v>0</v>
      </c>
      <c r="BL178" s="8">
        <f>+SUMIFS(BL$2:BL$149,$CB$2:$CB$149,Table1[[#This Row],[BAĞLANTI]])</f>
        <v>0</v>
      </c>
      <c r="BM178" s="8">
        <f>+SUMIFS(BM$2:BM$149,$CB$2:$CB$149,Table1[[#This Row],[BAĞLANTI]])</f>
        <v>0</v>
      </c>
      <c r="BN178" s="8">
        <f>+SUMIFS(BN$2:BN$149,$CB$2:$CB$149,Table1[[#This Row],[BAĞLANTI]])</f>
        <v>0</v>
      </c>
      <c r="BO178" s="8">
        <f>+SUMIFS(BO$2:BO$149,$CB$2:$CB$149,Table1[[#This Row],[BAĞLANTI]])</f>
        <v>0</v>
      </c>
      <c r="BP178" s="8">
        <f>+SUMIFS(BP$2:BP$149,$CB$2:$CB$149,Table1[[#This Row],[BAĞLANTI]])</f>
        <v>0</v>
      </c>
      <c r="BQ178" s="8">
        <f>+SUMIFS(BQ$2:BQ$149,$CB$2:$CB$149,Table1[[#This Row],[BAĞLANTI]])</f>
        <v>0</v>
      </c>
      <c r="BR178" s="8">
        <f>+SUMIFS(BR$2:BR$149,$CB$2:$CB$149,Table1[[#This Row],[BAĞLANTI]])</f>
        <v>0</v>
      </c>
      <c r="BS178" s="8">
        <f>+SUMIFS(BS$2:BS$149,$CB$2:$CB$149,Table1[[#This Row],[BAĞLANTI]])</f>
        <v>0</v>
      </c>
      <c r="BT178" s="8">
        <f>+SUMIFS(BT$2:BT$149,$CB$2:$CB$149,Table1[[#This Row],[BAĞLANTI]])</f>
        <v>0</v>
      </c>
      <c r="BU178" s="8">
        <f>+SUMIFS(BU$2:BU$149,$CB$2:$CB$149,Table1[[#This Row],[BAĞLANTI]])</f>
        <v>0</v>
      </c>
      <c r="BV178" s="8">
        <f>+SUMIFS(BV$2:BV$149,$CB$2:$CB$149,Table1[[#This Row],[BAĞLANTI]])</f>
        <v>0</v>
      </c>
      <c r="BW178" s="8">
        <f>+SUMIFS(BW$2:BW$149,$CB$2:$CB$149,Table1[[#This Row],[BAĞLANTI]])</f>
        <v>0</v>
      </c>
      <c r="BX178" s="8">
        <f>+SUMIFS(BX$2:BX$149,$CB$2:$CB$149,Table1[[#This Row],[BAĞLANTI]])</f>
        <v>0</v>
      </c>
      <c r="BY178" s="8">
        <f>+SUMIFS(BY$2:BY$149,$CB$2:$CB$149,Table1[[#This Row],[BAĞLANTI]])</f>
        <v>0</v>
      </c>
      <c r="BZ178" s="8">
        <f>+SUMIFS(BZ$2:BZ$149,$CB$2:$CB$149,Table1[[#This Row],[BAĞLANTI]])</f>
        <v>0</v>
      </c>
      <c r="CA178" s="8">
        <f>+SUMIFS(CA$2:CA$149,$CB$2:$CB$149,Table1[[#This Row],[BAĞLANTI]])</f>
        <v>0</v>
      </c>
      <c r="CB178" s="8" t="s">
        <v>5364</v>
      </c>
    </row>
    <row r="179" spans="1:80">
      <c r="A179" s="3" t="s">
        <v>5444</v>
      </c>
      <c r="B179" t="s">
        <v>12</v>
      </c>
      <c r="C179" t="s">
        <v>200</v>
      </c>
      <c r="D179" t="s">
        <v>76</v>
      </c>
      <c r="E179" t="s">
        <v>5184</v>
      </c>
      <c r="F179" s="77" t="s">
        <v>4973</v>
      </c>
      <c r="G179" t="s">
        <v>4983</v>
      </c>
      <c r="H179" s="3" t="s">
        <v>4984</v>
      </c>
      <c r="I179" s="3" t="s">
        <v>5194</v>
      </c>
      <c r="J179" s="78"/>
      <c r="K179" s="78"/>
      <c r="M179" s="78"/>
      <c r="N179" s="8">
        <f>+SUMIFS(N$2:N$149,$CB$2:$CB$149,Table1[[#This Row],[BAĞLANTI]])</f>
        <v>0</v>
      </c>
      <c r="O179" s="8">
        <f>+SUMIFS(O$2:O$149,$CB$2:$CB$149,Table1[[#This Row],[BAĞLANTI]])</f>
        <v>0</v>
      </c>
      <c r="P179" s="8">
        <f>+SUMIFS(P$2:P$149,$CB$2:$CB$149,Table1[[#This Row],[BAĞLANTI]])</f>
        <v>0</v>
      </c>
      <c r="Q179" s="8">
        <f>+SUMIFS(Q$2:Q$149,$CB$2:$CB$149,Table1[[#This Row],[BAĞLANTI]])</f>
        <v>0</v>
      </c>
      <c r="R179" s="8">
        <f>+SUMIFS(R$2:R$149,$CB$2:$CB$149,Table1[[#This Row],[BAĞLANTI]])</f>
        <v>366</v>
      </c>
      <c r="S179" s="8">
        <f>+SUMIFS(S$2:S$149,$CB$2:$CB$149,Table1[[#This Row],[BAĞLANTI]])</f>
        <v>979</v>
      </c>
      <c r="T179" s="8">
        <f>+SUMIFS(T$2:T$149,$CB$2:$CB$149,Table1[[#This Row],[BAĞLANTI]])</f>
        <v>905</v>
      </c>
      <c r="U179" s="8">
        <f>+SUMIFS(U$2:U$149,$CB$2:$CB$149,Table1[[#This Row],[BAĞLANTI]])</f>
        <v>1151.2905000000001</v>
      </c>
      <c r="V179" s="8">
        <f>+SUMIFS(V$2:V$149,$CB$2:$CB$149,Table1[[#This Row],[BAĞLANTI]])</f>
        <v>226.93949999999995</v>
      </c>
      <c r="W179" s="8">
        <f>+SUMIFS(W$2:W$149,$CB$2:$CB$149,Table1[[#This Row],[BAĞLANTI]])</f>
        <v>192.88230000000021</v>
      </c>
      <c r="X179" s="10">
        <f>+SUMIFS(X$2:X$149,$CB$2:$CB$149,Table1[[#This Row],[BAĞLANTI]])</f>
        <v>872.57549999999947</v>
      </c>
      <c r="Y179" s="8">
        <f>+SUMIFS(Y$2:Y$149,$CB$2:$CB$149,Table1[[#This Row],[BAĞLANTI]])</f>
        <v>7.8680141823489373</v>
      </c>
      <c r="Z179" s="8">
        <f>+SUMIFS(Z$2:Z$149,$CB$2:$CB$149,Table1[[#This Row],[BAĞLANTI]])</f>
        <v>5.3707773415831372</v>
      </c>
      <c r="AA179" s="8">
        <f>+SUMIFS(AA$2:AA$149,$CB$2:$CB$149,Table1[[#This Row],[BAĞLANTI]])</f>
        <v>8.3687800225878028</v>
      </c>
      <c r="AB179" s="8">
        <f>+SUMIFS(AB$2:AB$149,$CB$2:$CB$149,Table1[[#This Row],[BAĞLANTI]])</f>
        <v>5.8715431818220027</v>
      </c>
      <c r="AC179" s="8">
        <f>+SUMIFS(AC$2:AC$149,$CB$2:$CB$149,Table1[[#This Row],[BAĞLANTI]])</f>
        <v>7.6651141304894503</v>
      </c>
      <c r="AD179" s="8">
        <f>+SUMIFS(AD$2:AD$149,$CB$2:$CB$149,Table1[[#This Row],[BAĞLANTI]])</f>
        <v>16.333972694853475</v>
      </c>
      <c r="AE179" s="8">
        <f>+SUMIFS(AE$2:AE$149,$CB$2:$CB$149,Table1[[#This Row],[BAĞLANTI]])</f>
        <v>14.44602208907196</v>
      </c>
      <c r="AF179" s="8">
        <f>+SUMIFS(AF$2:AF$149,$CB$2:$CB$149,Table1[[#This Row],[BAĞLANTI]])</f>
        <v>12.422674542182824</v>
      </c>
      <c r="AG179" s="8">
        <f>+SUMIFS(AG$2:AG$149,$CB$2:$CB$149,Table1[[#This Row],[BAĞLANTI]])</f>
        <v>13.945256248833129</v>
      </c>
      <c r="AH179" s="8">
        <f>+SUMIFS(AH$2:AH$149,$CB$2:$CB$149,Table1[[#This Row],[BAĞLANTI]])</f>
        <v>13.945256248833129</v>
      </c>
      <c r="AI179" s="8">
        <f>+SUMIFS(AI$2:AI$149,$CB$2:$CB$149,Table1[[#This Row],[BAĞLANTI]])</f>
        <v>11.921908701943961</v>
      </c>
      <c r="AJ179" s="8">
        <f>+SUMIFS(AJ$2:AJ$149,$CB$2:$CB$149,Table1[[#This Row],[BAĞLANTI]])</f>
        <v>11.921908701943961</v>
      </c>
      <c r="AK179" s="8">
        <f>+SUMIFS(AK$2:AK$149,$CB$2:$CB$149,Table1[[#This Row],[BAĞLANTI]])</f>
        <v>11.259293519732601</v>
      </c>
      <c r="AL179" s="8">
        <f>+SUMIFS(AL$2:AL$149,$CB$2:$CB$149,Table1[[#This Row],[BAĞLANTI]])</f>
        <v>11.259293519732601</v>
      </c>
      <c r="AM179" s="8">
        <f>+SUMIFS(AM$2:AM$149,$CB$2:$CB$149,Table1[[#This Row],[BAĞLANTI]])</f>
        <v>10.646013835642627</v>
      </c>
      <c r="AN179" s="8">
        <f>+SUMIFS(AN$2:AN$149,$CB$2:$CB$149,Table1[[#This Row],[BAĞLANTI]])</f>
        <v>8.1487769948767923</v>
      </c>
      <c r="AO179" s="8">
        <f>+SUMIFS(AO$2:AO$149,$CB$2:$CB$149,Table1[[#This Row],[BAĞLANTI]])</f>
        <v>8.4747841142632563</v>
      </c>
      <c r="AP179" s="8">
        <f>+SUMIFS(AP$2:AP$149,$CB$2:$CB$149,Table1[[#This Row],[BAĞLANTI]])</f>
        <v>15.492605342683992</v>
      </c>
      <c r="AQ179" s="8">
        <f>+SUMIFS(AQ$2:AQ$149,$CB$2:$CB$149,Table1[[#This Row],[BAĞLANTI]])</f>
        <v>17.515952889573125</v>
      </c>
      <c r="AR179" s="8">
        <f>+SUMIFS(AR$2:AR$149,$CB$2:$CB$149,Table1[[#This Row],[BAĞLANTI]])</f>
        <v>17.515952889573125</v>
      </c>
      <c r="AS179" s="8">
        <f>+SUMIFS(AS$2:AS$149,$CB$2:$CB$149,Table1[[#This Row],[BAĞLANTI]])</f>
        <v>17.515952889573125</v>
      </c>
      <c r="AT179" s="8">
        <f>+SUMIFS(AT$2:AT$149,$CB$2:$CB$149,Table1[[#This Row],[BAĞLANTI]])</f>
        <v>15.492605342683992</v>
      </c>
      <c r="AU179" s="8">
        <f>+SUMIFS(AU$2:AU$149,$CB$2:$CB$149,Table1[[#This Row],[BAĞLANTI]])</f>
        <v>25.886222215125059</v>
      </c>
      <c r="AV179" s="8">
        <f>+SUMIFS(AV$2:AV$149,$CB$2:$CB$149,Table1[[#This Row],[BAĞLANTI]])</f>
        <v>25.886222215125059</v>
      </c>
      <c r="AW179" s="8">
        <f>+SUMIFS(AW$2:AW$149,$CB$2:$CB$149,Table1[[#This Row],[BAĞLANTI]])</f>
        <v>20.137296144921365</v>
      </c>
      <c r="AX179" s="8">
        <f>+SUMIFS(AX$2:AX$149,$CB$2:$CB$149,Table1[[#This Row],[BAĞLANTI]])</f>
        <v>0</v>
      </c>
      <c r="AY179" s="8">
        <f>+SUMIFS(AY$2:AY$149,$CB$2:$CB$149,Table1[[#This Row],[BAĞLANTI]])</f>
        <v>0</v>
      </c>
      <c r="AZ179" s="8">
        <f>+SUMIFS(AZ$2:AZ$149,$CB$2:$CB$149,Table1[[#This Row],[BAĞLANTI]])</f>
        <v>0</v>
      </c>
      <c r="BA179" s="8">
        <f>+SUMIFS(BA$2:BA$149,$CB$2:$CB$149,Table1[[#This Row],[BAĞLANTI]])</f>
        <v>0</v>
      </c>
      <c r="BB179" s="8">
        <f>+SUMIFS(BB$2:BB$149,$CB$2:$CB$149,Table1[[#This Row],[BAĞLANTI]])</f>
        <v>0</v>
      </c>
      <c r="BC179" s="8">
        <f>+SUMIFS(BC$2:BC$149,$CB$2:$CB$149,Table1[[#This Row],[BAĞLANTI]])</f>
        <v>0</v>
      </c>
      <c r="BD179" s="8">
        <f>+SUMIFS(BD$2:BD$149,$CB$2:$CB$149,Table1[[#This Row],[BAĞLANTI]])</f>
        <v>0</v>
      </c>
      <c r="BE179" s="8">
        <f>+SUMIFS(BE$2:BE$149,$CB$2:$CB$149,Table1[[#This Row],[BAĞLANTI]])</f>
        <v>0</v>
      </c>
      <c r="BF179" s="8">
        <f>+SUMIFS(BF$2:BF$149,$CB$2:$CB$149,Table1[[#This Row],[BAĞLANTI]])</f>
        <v>0</v>
      </c>
      <c r="BG179" s="8">
        <f>+SUMIFS(BG$2:BG$149,$CB$2:$CB$149,Table1[[#This Row],[BAĞLANTI]])</f>
        <v>0</v>
      </c>
      <c r="BH179" s="8">
        <f>+SUMIFS(BH$2:BH$149,$CB$2:$CB$149,Table1[[#This Row],[BAĞLANTI]])</f>
        <v>0</v>
      </c>
      <c r="BI179" s="8">
        <f>+SUMIFS(BI$2:BI$149,$CB$2:$CB$149,Table1[[#This Row],[BAĞLANTI]])</f>
        <v>0</v>
      </c>
      <c r="BJ179" s="8">
        <f>+SUMIFS(BJ$2:BJ$149,$CB$2:$CB$149,Table1[[#This Row],[BAĞLANTI]])</f>
        <v>0</v>
      </c>
      <c r="BK179" s="8">
        <f>+SUMIFS(BK$2:BK$149,$CB$2:$CB$149,Table1[[#This Row],[BAĞLANTI]])</f>
        <v>0</v>
      </c>
      <c r="BL179" s="8">
        <f>+SUMIFS(BL$2:BL$149,$CB$2:$CB$149,Table1[[#This Row],[BAĞLANTI]])</f>
        <v>0</v>
      </c>
      <c r="BM179" s="8">
        <f>+SUMIFS(BM$2:BM$149,$CB$2:$CB$149,Table1[[#This Row],[BAĞLANTI]])</f>
        <v>0</v>
      </c>
      <c r="BN179" s="8">
        <f>+SUMIFS(BN$2:BN$149,$CB$2:$CB$149,Table1[[#This Row],[BAĞLANTI]])</f>
        <v>0</v>
      </c>
      <c r="BO179" s="8">
        <f>+SUMIFS(BO$2:BO$149,$CB$2:$CB$149,Table1[[#This Row],[BAĞLANTI]])</f>
        <v>0</v>
      </c>
      <c r="BP179" s="8">
        <f>+SUMIFS(BP$2:BP$149,$CB$2:$CB$149,Table1[[#This Row],[BAĞLANTI]])</f>
        <v>0</v>
      </c>
      <c r="BQ179" s="8">
        <f>+SUMIFS(BQ$2:BQ$149,$CB$2:$CB$149,Table1[[#This Row],[BAĞLANTI]])</f>
        <v>0</v>
      </c>
      <c r="BR179" s="8">
        <f>+SUMIFS(BR$2:BR$149,$CB$2:$CB$149,Table1[[#This Row],[BAĞLANTI]])</f>
        <v>0</v>
      </c>
      <c r="BS179" s="8">
        <f>+SUMIFS(BS$2:BS$149,$CB$2:$CB$149,Table1[[#This Row],[BAĞLANTI]])</f>
        <v>0</v>
      </c>
      <c r="BT179" s="8">
        <f>+SUMIFS(BT$2:BT$149,$CB$2:$CB$149,Table1[[#This Row],[BAĞLANTI]])</f>
        <v>0</v>
      </c>
      <c r="BU179" s="8">
        <f>+SUMIFS(BU$2:BU$149,$CB$2:$CB$149,Table1[[#This Row],[BAĞLANTI]])</f>
        <v>0</v>
      </c>
      <c r="BV179" s="8">
        <f>+SUMIFS(BV$2:BV$149,$CB$2:$CB$149,Table1[[#This Row],[BAĞLANTI]])</f>
        <v>0</v>
      </c>
      <c r="BW179" s="8">
        <f>+SUMIFS(BW$2:BW$149,$CB$2:$CB$149,Table1[[#This Row],[BAĞLANTI]])</f>
        <v>0</v>
      </c>
      <c r="BX179" s="8">
        <f>+SUMIFS(BX$2:BX$149,$CB$2:$CB$149,Table1[[#This Row],[BAĞLANTI]])</f>
        <v>0</v>
      </c>
      <c r="BY179" s="8">
        <f>+SUMIFS(BY$2:BY$149,$CB$2:$CB$149,Table1[[#This Row],[BAĞLANTI]])</f>
        <v>0</v>
      </c>
      <c r="BZ179" s="8">
        <f>+SUMIFS(BZ$2:BZ$149,$CB$2:$CB$149,Table1[[#This Row],[BAĞLANTI]])</f>
        <v>0</v>
      </c>
      <c r="CA179" s="8">
        <f>+SUMIFS(CA$2:CA$149,$CB$2:$CB$149,Table1[[#This Row],[BAĞLANTI]])</f>
        <v>0</v>
      </c>
      <c r="CB179" s="8" t="s">
        <v>5365</v>
      </c>
    </row>
    <row r="180" spans="1:80">
      <c r="A180" s="3" t="s">
        <v>5444</v>
      </c>
      <c r="B180" t="s">
        <v>12</v>
      </c>
      <c r="C180" t="s">
        <v>200</v>
      </c>
      <c r="D180" t="s">
        <v>5181</v>
      </c>
      <c r="E180" t="s">
        <v>5183</v>
      </c>
      <c r="F180" s="77" t="s">
        <v>4973</v>
      </c>
      <c r="G180" t="s">
        <v>4983</v>
      </c>
      <c r="H180" s="3" t="s">
        <v>4984</v>
      </c>
      <c r="I180" s="3" t="s">
        <v>5194</v>
      </c>
      <c r="J180" s="78"/>
      <c r="K180" s="78"/>
      <c r="M180" s="78"/>
      <c r="N180" s="8">
        <f>+SUMIFS(N$2:N$149,$CB$2:$CB$149,Table1[[#This Row],[BAĞLANTI]])</f>
        <v>0</v>
      </c>
      <c r="O180" s="8">
        <f>+SUMIFS(O$2:O$149,$CB$2:$CB$149,Table1[[#This Row],[BAĞLANTI]])</f>
        <v>0</v>
      </c>
      <c r="P180" s="8">
        <f>+SUMIFS(P$2:P$149,$CB$2:$CB$149,Table1[[#This Row],[BAĞLANTI]])</f>
        <v>1935.6</v>
      </c>
      <c r="Q180" s="8">
        <f>+SUMIFS(Q$2:Q$149,$CB$2:$CB$149,Table1[[#This Row],[BAĞLANTI]])</f>
        <v>2705.81</v>
      </c>
      <c r="R180" s="8">
        <f>+SUMIFS(R$2:R$149,$CB$2:$CB$149,Table1[[#This Row],[BAĞLANTI]])</f>
        <v>752.8100000000004</v>
      </c>
      <c r="S180" s="8">
        <f>+SUMIFS(S$2:S$149,$CB$2:$CB$149,Table1[[#This Row],[BAĞLANTI]])</f>
        <v>0</v>
      </c>
      <c r="T180" s="8">
        <f>+SUMIFS(T$2:T$149,$CB$2:$CB$149,Table1[[#This Row],[BAĞLANTI]])</f>
        <v>4402.4379999999992</v>
      </c>
      <c r="U180" s="8">
        <f>+SUMIFS(U$2:U$149,$CB$2:$CB$149,Table1[[#This Row],[BAĞLANTI]])</f>
        <v>3116.7651750000005</v>
      </c>
      <c r="V180" s="8">
        <f>+SUMIFS(V$2:V$149,$CB$2:$CB$149,Table1[[#This Row],[BAĞLANTI]])</f>
        <v>1517.3968249999998</v>
      </c>
      <c r="W180" s="8">
        <f>+SUMIFS(W$2:W$149,$CB$2:$CB$149,Table1[[#This Row],[BAĞLANTI]])</f>
        <v>1379</v>
      </c>
      <c r="X180" s="10">
        <f>+SUMIFS(X$2:X$149,$CB$2:$CB$149,Table1[[#This Row],[BAĞLANTI]])</f>
        <v>1246.1500000000015</v>
      </c>
      <c r="Y180" s="8">
        <f>+SUMIFS(Y$2:Y$149,$CB$2:$CB$149,Table1[[#This Row],[BAĞLANTI]])</f>
        <v>69.080903686954173</v>
      </c>
      <c r="Z180" s="8">
        <f>+SUMIFS(Z$2:Z$149,$CB$2:$CB$149,Table1[[#This Row],[BAĞLANTI]])</f>
        <v>47.155247011414986</v>
      </c>
      <c r="AA180" s="8">
        <f>+SUMIFS(AA$2:AA$149,$CB$2:$CB$149,Table1[[#This Row],[BAĞLANTI]])</f>
        <v>73.477611163265578</v>
      </c>
      <c r="AB180" s="8">
        <f>+SUMIFS(AB$2:AB$149,$CB$2:$CB$149,Table1[[#This Row],[BAĞLANTI]])</f>
        <v>51.551954487726391</v>
      </c>
      <c r="AC180" s="8">
        <f>+SUMIFS(AC$2:AC$149,$CB$2:$CB$149,Table1[[#This Row],[BAĞLANTI]])</f>
        <v>65.899908785334702</v>
      </c>
      <c r="AD180" s="8">
        <f>+SUMIFS(AD$2:AD$149,$CB$2:$CB$149,Table1[[#This Row],[BAĞLANTI]])</f>
        <v>142.01219959743338</v>
      </c>
      <c r="AE180" s="8">
        <f>+SUMIFS(AE$2:AE$149,$CB$2:$CB$149,Table1[[#This Row],[BAĞLANTI]])</f>
        <v>125.43605586648962</v>
      </c>
      <c r="AF180" s="8">
        <f>+SUMIFS(AF$2:AF$149,$CB$2:$CB$149,Table1[[#This Row],[BAĞLANTI]])</f>
        <v>107.67113148119135</v>
      </c>
      <c r="AG180" s="8">
        <f>+SUMIFS(AG$2:AG$149,$CB$2:$CB$149,Table1[[#This Row],[BAĞLANTI]])</f>
        <v>121.03934839017853</v>
      </c>
      <c r="AH180" s="8">
        <f>+SUMIFS(AH$2:AH$149,$CB$2:$CB$149,Table1[[#This Row],[BAĞLANTI]])</f>
        <v>121.03934839017853</v>
      </c>
      <c r="AI180" s="8">
        <f>+SUMIFS(AI$2:AI$149,$CB$2:$CB$149,Table1[[#This Row],[BAĞLANTI]])</f>
        <v>103.27442400487998</v>
      </c>
      <c r="AJ180" s="8">
        <f>+SUMIFS(AJ$2:AJ$149,$CB$2:$CB$149,Table1[[#This Row],[BAĞLANTI]])</f>
        <v>103.27442400487998</v>
      </c>
      <c r="AK180" s="8">
        <f>+SUMIFS(AK$2:AK$149,$CB$2:$CB$149,Table1[[#This Row],[BAĞLANTI]])</f>
        <v>126.84700729766637</v>
      </c>
      <c r="AL180" s="8">
        <f>+SUMIFS(AL$2:AL$149,$CB$2:$CB$149,Table1[[#This Row],[BAĞLANTI]])</f>
        <v>97.456684671549098</v>
      </c>
      <c r="AM180" s="8">
        <f>+SUMIFS(AM$2:AM$149,$CB$2:$CB$149,Table1[[#This Row],[BAĞLANTI]])</f>
        <v>92.072109376193296</v>
      </c>
      <c r="AN180" s="8">
        <f>+SUMIFS(AN$2:AN$149,$CB$2:$CB$149,Table1[[#This Row],[BAĞLANTI]])</f>
        <v>70.146452700653811</v>
      </c>
      <c r="AO180" s="8">
        <f>+SUMIFS(AO$2:AO$149,$CB$2:$CB$149,Table1[[#This Row],[BAĞLANTI]])</f>
        <v>73.008784401341501</v>
      </c>
      <c r="AP180" s="8">
        <f>+SUMIFS(AP$2:AP$149,$CB$2:$CB$149,Table1[[#This Row],[BAĞLANTI]])</f>
        <v>134.62502213771813</v>
      </c>
      <c r="AQ180" s="8">
        <f>+SUMIFS(AQ$2:AQ$149,$CB$2:$CB$149,Table1[[#This Row],[BAĞLANTI]])</f>
        <v>152.38994652301642</v>
      </c>
      <c r="AR180" s="8">
        <f>+SUMIFS(AR$2:AR$149,$CB$2:$CB$149,Table1[[#This Row],[BAĞLANTI]])</f>
        <v>152.38994652301642</v>
      </c>
      <c r="AS180" s="8">
        <f>+SUMIFS(AS$2:AS$149,$CB$2:$CB$149,Table1[[#This Row],[BAĞLANTI]])</f>
        <v>152.38994652301642</v>
      </c>
      <c r="AT180" s="8">
        <f>+SUMIFS(AT$2:AT$149,$CB$2:$CB$149,Table1[[#This Row],[BAĞLANTI]])</f>
        <v>134.62502213771813</v>
      </c>
      <c r="AU180" s="8">
        <f>+SUMIFS(AU$2:AU$149,$CB$2:$CB$149,Table1[[#This Row],[BAĞLANTI]])</f>
        <v>225.88063371693471</v>
      </c>
      <c r="AV180" s="8">
        <f>+SUMIFS(AV$2:AV$149,$CB$2:$CB$149,Table1[[#This Row],[BAĞLANTI]])</f>
        <v>225.88063371693471</v>
      </c>
      <c r="AW180" s="8">
        <f>+SUMIFS(AW$2:AW$149,$CB$2:$CB$149,Table1[[#This Row],[BAĞLANTI]])</f>
        <v>175.4052534043135</v>
      </c>
      <c r="AX180" s="8">
        <f>+SUMIFS(AX$2:AX$149,$CB$2:$CB$149,Table1[[#This Row],[BAĞLANTI]])</f>
        <v>0</v>
      </c>
      <c r="AY180" s="8">
        <f>+SUMIFS(AY$2:AY$149,$CB$2:$CB$149,Table1[[#This Row],[BAĞLANTI]])</f>
        <v>0</v>
      </c>
      <c r="AZ180" s="8">
        <f>+SUMIFS(AZ$2:AZ$149,$CB$2:$CB$149,Table1[[#This Row],[BAĞLANTI]])</f>
        <v>0</v>
      </c>
      <c r="BA180" s="8">
        <f>+SUMIFS(BA$2:BA$149,$CB$2:$CB$149,Table1[[#This Row],[BAĞLANTI]])</f>
        <v>0</v>
      </c>
      <c r="BB180" s="8">
        <f>+SUMIFS(BB$2:BB$149,$CB$2:$CB$149,Table1[[#This Row],[BAĞLANTI]])</f>
        <v>0</v>
      </c>
      <c r="BC180" s="8">
        <f>+SUMIFS(BC$2:BC$149,$CB$2:$CB$149,Table1[[#This Row],[BAĞLANTI]])</f>
        <v>0</v>
      </c>
      <c r="BD180" s="8">
        <f>+SUMIFS(BD$2:BD$149,$CB$2:$CB$149,Table1[[#This Row],[BAĞLANTI]])</f>
        <v>0</v>
      </c>
      <c r="BE180" s="8">
        <f>+SUMIFS(BE$2:BE$149,$CB$2:$CB$149,Table1[[#This Row],[BAĞLANTI]])</f>
        <v>0</v>
      </c>
      <c r="BF180" s="8">
        <f>+SUMIFS(BF$2:BF$149,$CB$2:$CB$149,Table1[[#This Row],[BAĞLANTI]])</f>
        <v>0</v>
      </c>
      <c r="BG180" s="8">
        <f>+SUMIFS(BG$2:BG$149,$CB$2:$CB$149,Table1[[#This Row],[BAĞLANTI]])</f>
        <v>0</v>
      </c>
      <c r="BH180" s="8">
        <f>+SUMIFS(BH$2:BH$149,$CB$2:$CB$149,Table1[[#This Row],[BAĞLANTI]])</f>
        <v>0</v>
      </c>
      <c r="BI180" s="8">
        <f>+SUMIFS(BI$2:BI$149,$CB$2:$CB$149,Table1[[#This Row],[BAĞLANTI]])</f>
        <v>0</v>
      </c>
      <c r="BJ180" s="8">
        <f>+SUMIFS(BJ$2:BJ$149,$CB$2:$CB$149,Table1[[#This Row],[BAĞLANTI]])</f>
        <v>0</v>
      </c>
      <c r="BK180" s="8">
        <f>+SUMIFS(BK$2:BK$149,$CB$2:$CB$149,Table1[[#This Row],[BAĞLANTI]])</f>
        <v>0</v>
      </c>
      <c r="BL180" s="8">
        <f>+SUMIFS(BL$2:BL$149,$CB$2:$CB$149,Table1[[#This Row],[BAĞLANTI]])</f>
        <v>0</v>
      </c>
      <c r="BM180" s="8">
        <f>+SUMIFS(BM$2:BM$149,$CB$2:$CB$149,Table1[[#This Row],[BAĞLANTI]])</f>
        <v>0</v>
      </c>
      <c r="BN180" s="8">
        <f>+SUMIFS(BN$2:BN$149,$CB$2:$CB$149,Table1[[#This Row],[BAĞLANTI]])</f>
        <v>0</v>
      </c>
      <c r="BO180" s="8">
        <f>+SUMIFS(BO$2:BO$149,$CB$2:$CB$149,Table1[[#This Row],[BAĞLANTI]])</f>
        <v>0</v>
      </c>
      <c r="BP180" s="8">
        <f>+SUMIFS(BP$2:BP$149,$CB$2:$CB$149,Table1[[#This Row],[BAĞLANTI]])</f>
        <v>0</v>
      </c>
      <c r="BQ180" s="8">
        <f>+SUMIFS(BQ$2:BQ$149,$CB$2:$CB$149,Table1[[#This Row],[BAĞLANTI]])</f>
        <v>0</v>
      </c>
      <c r="BR180" s="8">
        <f>+SUMIFS(BR$2:BR$149,$CB$2:$CB$149,Table1[[#This Row],[BAĞLANTI]])</f>
        <v>0</v>
      </c>
      <c r="BS180" s="8">
        <f>+SUMIFS(BS$2:BS$149,$CB$2:$CB$149,Table1[[#This Row],[BAĞLANTI]])</f>
        <v>0</v>
      </c>
      <c r="BT180" s="8">
        <f>+SUMIFS(BT$2:BT$149,$CB$2:$CB$149,Table1[[#This Row],[BAĞLANTI]])</f>
        <v>0</v>
      </c>
      <c r="BU180" s="8">
        <f>+SUMIFS(BU$2:BU$149,$CB$2:$CB$149,Table1[[#This Row],[BAĞLANTI]])</f>
        <v>0</v>
      </c>
      <c r="BV180" s="8">
        <f>+SUMIFS(BV$2:BV$149,$CB$2:$CB$149,Table1[[#This Row],[BAĞLANTI]])</f>
        <v>0</v>
      </c>
      <c r="BW180" s="8">
        <f>+SUMIFS(BW$2:BW$149,$CB$2:$CB$149,Table1[[#This Row],[BAĞLANTI]])</f>
        <v>0</v>
      </c>
      <c r="BX180" s="8">
        <f>+SUMIFS(BX$2:BX$149,$CB$2:$CB$149,Table1[[#This Row],[BAĞLANTI]])</f>
        <v>0</v>
      </c>
      <c r="BY180" s="8">
        <f>+SUMIFS(BY$2:BY$149,$CB$2:$CB$149,Table1[[#This Row],[BAĞLANTI]])</f>
        <v>0</v>
      </c>
      <c r="BZ180" s="8">
        <f>+SUMIFS(BZ$2:BZ$149,$CB$2:$CB$149,Table1[[#This Row],[BAĞLANTI]])</f>
        <v>0</v>
      </c>
      <c r="CA180" s="8">
        <f>+SUMIFS(CA$2:CA$149,$CB$2:$CB$149,Table1[[#This Row],[BAĞLANTI]])</f>
        <v>0</v>
      </c>
      <c r="CB180" s="8" t="s">
        <v>5366</v>
      </c>
    </row>
    <row r="181" spans="1:80">
      <c r="A181" s="3" t="s">
        <v>5444</v>
      </c>
      <c r="B181" t="s">
        <v>13</v>
      </c>
      <c r="C181" t="s">
        <v>215</v>
      </c>
      <c r="D181" t="s">
        <v>71</v>
      </c>
      <c r="E181" t="s">
        <v>4974</v>
      </c>
      <c r="F181" s="77" t="s">
        <v>4973</v>
      </c>
      <c r="G181" t="s">
        <v>4983</v>
      </c>
      <c r="H181" s="3" t="s">
        <v>4984</v>
      </c>
      <c r="I181" s="3" t="s">
        <v>5194</v>
      </c>
      <c r="J181" s="78"/>
      <c r="K181" s="78"/>
      <c r="M181" s="78"/>
      <c r="N181" s="8">
        <f>+SUMIFS(N$2:N$149,$CB$2:$CB$149,Table1[[#This Row],[BAĞLANTI]])</f>
        <v>0</v>
      </c>
      <c r="O181" s="8">
        <f>+SUMIFS(O$2:O$149,$CB$2:$CB$149,Table1[[#This Row],[BAĞLANTI]])</f>
        <v>0</v>
      </c>
      <c r="P181" s="8">
        <f>+SUMIFS(P$2:P$149,$CB$2:$CB$149,Table1[[#This Row],[BAĞLANTI]])</f>
        <v>0</v>
      </c>
      <c r="Q181" s="8">
        <f>+SUMIFS(Q$2:Q$149,$CB$2:$CB$149,Table1[[#This Row],[BAĞLANTI]])</f>
        <v>0</v>
      </c>
      <c r="R181" s="8">
        <f>+SUMIFS(R$2:R$149,$CB$2:$CB$149,Table1[[#This Row],[BAĞLANTI]])</f>
        <v>17.301569999999998</v>
      </c>
      <c r="S181" s="8">
        <f>+SUMIFS(S$2:S$149,$CB$2:$CB$149,Table1[[#This Row],[BAĞLANTI]])</f>
        <v>34.706000000000003</v>
      </c>
      <c r="T181" s="8">
        <f>+SUMIFS(T$2:T$149,$CB$2:$CB$149,Table1[[#This Row],[BAĞLANTI]])</f>
        <v>23.292000000000002</v>
      </c>
      <c r="U181" s="8">
        <f>+SUMIFS(U$2:U$149,$CB$2:$CB$149,Table1[[#This Row],[BAĞLANTI]])</f>
        <v>27.728130171520007</v>
      </c>
      <c r="V181" s="8">
        <f>+SUMIFS(V$2:V$149,$CB$2:$CB$149,Table1[[#This Row],[BAĞLANTI]])</f>
        <v>50.584999999999994</v>
      </c>
      <c r="W181" s="8">
        <f>+SUMIFS(W$2:W$149,$CB$2:$CB$149,Table1[[#This Row],[BAĞLANTI]])</f>
        <v>38.484999999999985</v>
      </c>
      <c r="X181" s="10">
        <f>+SUMIFS(X$2:X$149,$CB$2:$CB$149,Table1[[#This Row],[BAĞLANTI]])</f>
        <v>0</v>
      </c>
      <c r="Y181" s="8">
        <f>+SUMIFS(Y$2:Y$149,$CB$2:$CB$149,Table1[[#This Row],[BAĞLANTI]])</f>
        <v>2.53189960090491</v>
      </c>
      <c r="Z181" s="8">
        <f>+SUMIFS(Z$2:Z$149,$CB$2:$CB$149,Table1[[#This Row],[BAĞLANTI]])</f>
        <v>1.7282974703082976</v>
      </c>
      <c r="AA181" s="8">
        <f>+SUMIFS(AA$2:AA$149,$CB$2:$CB$149,Table1[[#This Row],[BAĞLANTI]])</f>
        <v>2.6930443067560978</v>
      </c>
      <c r="AB181" s="8">
        <f>+SUMIFS(AB$2:AB$149,$CB$2:$CB$149,Table1[[#This Row],[BAĞLANTI]])</f>
        <v>1.8894421761594857</v>
      </c>
      <c r="AC181" s="8">
        <f>+SUMIFS(AC$2:AC$149,$CB$2:$CB$149,Table1[[#This Row],[BAĞLANTI]])</f>
        <v>2.4153122476417268</v>
      </c>
      <c r="AD181" s="8">
        <f>+SUMIFS(AD$2:AD$149,$CB$2:$CB$149,Table1[[#This Row],[BAĞLANTI]])</f>
        <v>5.2049207855436972</v>
      </c>
      <c r="AE181" s="8">
        <f>+SUMIFS(AE$2:AE$149,$CB$2:$CB$149,Table1[[#This Row],[BAĞLANTI]])</f>
        <v>4.5973848464207014</v>
      </c>
      <c r="AF181" s="8">
        <f>+SUMIFS(AF$2:AF$149,$CB$2:$CB$149,Table1[[#This Row],[BAĞLANTI]])</f>
        <v>3.9462786425257921</v>
      </c>
      <c r="AG181" s="8">
        <f>+SUMIFS(AG$2:AG$149,$CB$2:$CB$149,Table1[[#This Row],[BAĞLANTI]])</f>
        <v>4.4362401405695246</v>
      </c>
      <c r="AH181" s="8">
        <f>+SUMIFS(AH$2:AH$149,$CB$2:$CB$149,Table1[[#This Row],[BAĞLANTI]])</f>
        <v>4.4362401405695246</v>
      </c>
      <c r="AI181" s="8">
        <f>+SUMIFS(AI$2:AI$149,$CB$2:$CB$149,Table1[[#This Row],[BAĞLANTI]])</f>
        <v>3.7851339366746046</v>
      </c>
      <c r="AJ181" s="8">
        <f>+SUMIFS(AJ$2:AJ$149,$CB$2:$CB$149,Table1[[#This Row],[BAĞLANTI]])</f>
        <v>3.7851339366746046</v>
      </c>
      <c r="AK181" s="8">
        <f>+SUMIFS(AK$2:AK$149,$CB$2:$CB$149,Table1[[#This Row],[BAĞLANTI]])</f>
        <v>3.5719066754479836</v>
      </c>
      <c r="AL181" s="8">
        <f>+SUMIFS(AL$2:AL$149,$CB$2:$CB$149,Table1[[#This Row],[BAĞLANTI]])</f>
        <v>3.5719066754479836</v>
      </c>
      <c r="AM181" s="8">
        <f>+SUMIFS(AM$2:AM$149,$CB$2:$CB$149,Table1[[#This Row],[BAĞLANTI]])</f>
        <v>3.3745554059403671</v>
      </c>
      <c r="AN181" s="8">
        <f>+SUMIFS(AN$2:AN$149,$CB$2:$CB$149,Table1[[#This Row],[BAĞLANTI]])</f>
        <v>2.5709532753437441</v>
      </c>
      <c r="AO181" s="8">
        <f>+SUMIFS(AO$2:AO$149,$CB$2:$CB$149,Table1[[#This Row],[BAĞLANTI]])</f>
        <v>2.6758612325915183</v>
      </c>
      <c r="AP181" s="8">
        <f>+SUMIFS(AP$2:AP$149,$CB$2:$CB$149,Table1[[#This Row],[BAĞLANTI]])</f>
        <v>4.9341716976796528</v>
      </c>
      <c r="AQ181" s="8">
        <f>+SUMIFS(AQ$2:AQ$149,$CB$2:$CB$149,Table1[[#This Row],[BAĞLANTI]])</f>
        <v>5.5852779015745622</v>
      </c>
      <c r="AR181" s="8">
        <f>+SUMIFS(AR$2:AR$149,$CB$2:$CB$149,Table1[[#This Row],[BAĞLANTI]])</f>
        <v>5.5852779015745622</v>
      </c>
      <c r="AS181" s="8">
        <f>+SUMIFS(AS$2:AS$149,$CB$2:$CB$149,Table1[[#This Row],[BAĞLANTI]])</f>
        <v>5.5852779015745622</v>
      </c>
      <c r="AT181" s="8">
        <f>+SUMIFS(AT$2:AT$149,$CB$2:$CB$149,Table1[[#This Row],[BAĞLANTI]])</f>
        <v>6.0113629640930331</v>
      </c>
      <c r="AU181" s="8">
        <f>+SUMIFS(AU$2:AU$149,$CB$2:$CB$149,Table1[[#This Row],[BAĞLANTI]])</f>
        <v>4.2830654937847434</v>
      </c>
      <c r="AV181" s="8">
        <f>+SUMIFS(AV$2:AV$149,$CB$2:$CB$149,Table1[[#This Row],[BAĞLANTI]])</f>
        <v>4.2830654937847434</v>
      </c>
      <c r="AW181" s="8">
        <f>+SUMIFS(AW$2:AW$149,$CB$2:$CB$149,Table1[[#This Row],[BAĞLANTI]])</f>
        <v>3.2144085223864494</v>
      </c>
      <c r="AX181" s="8">
        <f>+SUMIFS(AX$2:AX$149,$CB$2:$CB$149,Table1[[#This Row],[BAĞLANTI]])</f>
        <v>3.9957359670603458</v>
      </c>
      <c r="AY181" s="8">
        <f>+SUMIFS(AY$2:AY$149,$CB$2:$CB$149,Table1[[#This Row],[BAĞLANTI]])</f>
        <v>3.9957359670603458</v>
      </c>
      <c r="AZ181" s="8">
        <f>+SUMIFS(AZ$2:AZ$149,$CB$2:$CB$149,Table1[[#This Row],[BAĞLANTI]])</f>
        <v>3.2144085223864494</v>
      </c>
      <c r="BA181" s="8">
        <f>+SUMIFS(BA$2:BA$149,$CB$2:$CB$149,Table1[[#This Row],[BAĞLANTI]])</f>
        <v>0</v>
      </c>
      <c r="BB181" s="8">
        <f>+SUMIFS(BB$2:BB$149,$CB$2:$CB$149,Table1[[#This Row],[BAĞLANTI]])</f>
        <v>0</v>
      </c>
      <c r="BC181" s="8">
        <f>+SUMIFS(BC$2:BC$149,$CB$2:$CB$149,Table1[[#This Row],[BAĞLANTI]])</f>
        <v>0</v>
      </c>
      <c r="BD181" s="8">
        <f>+SUMIFS(BD$2:BD$149,$CB$2:$CB$149,Table1[[#This Row],[BAĞLANTI]])</f>
        <v>0</v>
      </c>
      <c r="BE181" s="8">
        <f>+SUMIFS(BE$2:BE$149,$CB$2:$CB$149,Table1[[#This Row],[BAĞLANTI]])</f>
        <v>0</v>
      </c>
      <c r="BF181" s="8">
        <f>+SUMIFS(BF$2:BF$149,$CB$2:$CB$149,Table1[[#This Row],[BAĞLANTI]])</f>
        <v>0</v>
      </c>
      <c r="BG181" s="8">
        <f>+SUMIFS(BG$2:BG$149,$CB$2:$CB$149,Table1[[#This Row],[BAĞLANTI]])</f>
        <v>0</v>
      </c>
      <c r="BH181" s="8">
        <f>+SUMIFS(BH$2:BH$149,$CB$2:$CB$149,Table1[[#This Row],[BAĞLANTI]])</f>
        <v>0</v>
      </c>
      <c r="BI181" s="8">
        <f>+SUMIFS(BI$2:BI$149,$CB$2:$CB$149,Table1[[#This Row],[BAĞLANTI]])</f>
        <v>0</v>
      </c>
      <c r="BJ181" s="8">
        <f>+SUMIFS(BJ$2:BJ$149,$CB$2:$CB$149,Table1[[#This Row],[BAĞLANTI]])</f>
        <v>0</v>
      </c>
      <c r="BK181" s="8">
        <f>+SUMIFS(BK$2:BK$149,$CB$2:$CB$149,Table1[[#This Row],[BAĞLANTI]])</f>
        <v>0</v>
      </c>
      <c r="BL181" s="8">
        <f>+SUMIFS(BL$2:BL$149,$CB$2:$CB$149,Table1[[#This Row],[BAĞLANTI]])</f>
        <v>0</v>
      </c>
      <c r="BM181" s="8">
        <f>+SUMIFS(BM$2:BM$149,$CB$2:$CB$149,Table1[[#This Row],[BAĞLANTI]])</f>
        <v>0</v>
      </c>
      <c r="BN181" s="8">
        <f>+SUMIFS(BN$2:BN$149,$CB$2:$CB$149,Table1[[#This Row],[BAĞLANTI]])</f>
        <v>0</v>
      </c>
      <c r="BO181" s="8">
        <f>+SUMIFS(BO$2:BO$149,$CB$2:$CB$149,Table1[[#This Row],[BAĞLANTI]])</f>
        <v>0</v>
      </c>
      <c r="BP181" s="8">
        <f>+SUMIFS(BP$2:BP$149,$CB$2:$CB$149,Table1[[#This Row],[BAĞLANTI]])</f>
        <v>0</v>
      </c>
      <c r="BQ181" s="8">
        <f>+SUMIFS(BQ$2:BQ$149,$CB$2:$CB$149,Table1[[#This Row],[BAĞLANTI]])</f>
        <v>0</v>
      </c>
      <c r="BR181" s="8">
        <f>+SUMIFS(BR$2:BR$149,$CB$2:$CB$149,Table1[[#This Row],[BAĞLANTI]])</f>
        <v>0</v>
      </c>
      <c r="BS181" s="8">
        <f>+SUMIFS(BS$2:BS$149,$CB$2:$CB$149,Table1[[#This Row],[BAĞLANTI]])</f>
        <v>0</v>
      </c>
      <c r="BT181" s="8">
        <f>+SUMIFS(BT$2:BT$149,$CB$2:$CB$149,Table1[[#This Row],[BAĞLANTI]])</f>
        <v>0</v>
      </c>
      <c r="BU181" s="8">
        <f>+SUMIFS(BU$2:BU$149,$CB$2:$CB$149,Table1[[#This Row],[BAĞLANTI]])</f>
        <v>0</v>
      </c>
      <c r="BV181" s="8">
        <f>+SUMIFS(BV$2:BV$149,$CB$2:$CB$149,Table1[[#This Row],[BAĞLANTI]])</f>
        <v>0</v>
      </c>
      <c r="BW181" s="8">
        <f>+SUMIFS(BW$2:BW$149,$CB$2:$CB$149,Table1[[#This Row],[BAĞLANTI]])</f>
        <v>0</v>
      </c>
      <c r="BX181" s="8">
        <f>+SUMIFS(BX$2:BX$149,$CB$2:$CB$149,Table1[[#This Row],[BAĞLANTI]])</f>
        <v>0</v>
      </c>
      <c r="BY181" s="8">
        <f>+SUMIFS(BY$2:BY$149,$CB$2:$CB$149,Table1[[#This Row],[BAĞLANTI]])</f>
        <v>0</v>
      </c>
      <c r="BZ181" s="8">
        <f>+SUMIFS(BZ$2:BZ$149,$CB$2:$CB$149,Table1[[#This Row],[BAĞLANTI]])</f>
        <v>0</v>
      </c>
      <c r="CA181" s="8">
        <f>+SUMIFS(CA$2:CA$149,$CB$2:$CB$149,Table1[[#This Row],[BAĞLANTI]])</f>
        <v>0</v>
      </c>
      <c r="CB181" s="8" t="s">
        <v>5384</v>
      </c>
    </row>
    <row r="182" spans="1:80">
      <c r="A182" s="3" t="s">
        <v>5444</v>
      </c>
      <c r="B182" t="s">
        <v>13</v>
      </c>
      <c r="C182" t="s">
        <v>215</v>
      </c>
      <c r="D182" t="s">
        <v>73</v>
      </c>
      <c r="E182" t="s">
        <v>4975</v>
      </c>
      <c r="F182" s="77" t="s">
        <v>4973</v>
      </c>
      <c r="G182" t="s">
        <v>4983</v>
      </c>
      <c r="H182" s="3" t="s">
        <v>4984</v>
      </c>
      <c r="I182" s="3" t="s">
        <v>5194</v>
      </c>
      <c r="J182" s="78"/>
      <c r="K182" s="78"/>
      <c r="M182" s="78"/>
      <c r="N182" s="8">
        <f>+SUMIFS(N$2:N$149,$CB$2:$CB$149,Table1[[#This Row],[BAĞLANTI]])</f>
        <v>0</v>
      </c>
      <c r="O182" s="8">
        <f>+SUMIFS(O$2:O$149,$CB$2:$CB$149,Table1[[#This Row],[BAĞLANTI]])</f>
        <v>0</v>
      </c>
      <c r="P182" s="8">
        <f>+SUMIFS(P$2:P$149,$CB$2:$CB$149,Table1[[#This Row],[BAĞLANTI]])</f>
        <v>0</v>
      </c>
      <c r="Q182" s="8">
        <f>+SUMIFS(Q$2:Q$149,$CB$2:$CB$149,Table1[[#This Row],[BAĞLANTI]])</f>
        <v>0</v>
      </c>
      <c r="R182" s="8">
        <f>+SUMIFS(R$2:R$149,$CB$2:$CB$149,Table1[[#This Row],[BAĞLANTI]])</f>
        <v>92.72</v>
      </c>
      <c r="S182" s="8">
        <f>+SUMIFS(S$2:S$149,$CB$2:$CB$149,Table1[[#This Row],[BAĞLANTI]])</f>
        <v>82.38</v>
      </c>
      <c r="T182" s="8">
        <f>+SUMIFS(T$2:T$149,$CB$2:$CB$149,Table1[[#This Row],[BAĞLANTI]])</f>
        <v>-67.17</v>
      </c>
      <c r="U182" s="8">
        <f>+SUMIFS(U$2:U$149,$CB$2:$CB$149,Table1[[#This Row],[BAĞLANTI]])</f>
        <v>0</v>
      </c>
      <c r="V182" s="8">
        <f>+SUMIFS(V$2:V$149,$CB$2:$CB$149,Table1[[#This Row],[BAĞLANTI]])</f>
        <v>18.61</v>
      </c>
      <c r="W182" s="8">
        <f>+SUMIFS(W$2:W$149,$CB$2:$CB$149,Table1[[#This Row],[BAĞLANTI]])</f>
        <v>0</v>
      </c>
      <c r="X182" s="10">
        <f>+SUMIFS(X$2:X$149,$CB$2:$CB$149,Table1[[#This Row],[BAĞLANTI]])</f>
        <v>0</v>
      </c>
      <c r="Y182" s="8">
        <f>+SUMIFS(Y$2:Y$149,$CB$2:$CB$149,Table1[[#This Row],[BAĞLANTI]])</f>
        <v>0.55048284171558914</v>
      </c>
      <c r="Z182" s="8">
        <f>+SUMIFS(Z$2:Z$149,$CB$2:$CB$149,Table1[[#This Row],[BAĞLANTI]])</f>
        <v>0.37576454549980681</v>
      </c>
      <c r="AA182" s="8">
        <f>+SUMIFS(AA$2:AA$149,$CB$2:$CB$149,Table1[[#This Row],[BAĞLANTI]])</f>
        <v>0.58551874739395038</v>
      </c>
      <c r="AB182" s="8">
        <f>+SUMIFS(AB$2:AB$149,$CB$2:$CB$149,Table1[[#This Row],[BAĞLANTI]])</f>
        <v>0.41080045117816799</v>
      </c>
      <c r="AC182" s="8">
        <f>+SUMIFS(AC$2:AC$149,$CB$2:$CB$149,Table1[[#This Row],[BAĞLANTI]])</f>
        <v>0.52513454689794381</v>
      </c>
      <c r="AD182" s="8">
        <f>+SUMIFS(AD$2:AD$149,$CB$2:$CB$149,Table1[[#This Row],[BAĞLANTI]])</f>
        <v>1.1316481838010446</v>
      </c>
      <c r="AE182" s="8">
        <f>+SUMIFS(AE$2:AE$149,$CB$2:$CB$149,Table1[[#This Row],[BAĞLANTI]])</f>
        <v>0.99955838446885692</v>
      </c>
      <c r="AF182" s="8">
        <f>+SUMIFS(AF$2:AF$149,$CB$2:$CB$149,Table1[[#This Row],[BAĞLANTI]])</f>
        <v>1.0921973326893519</v>
      </c>
      <c r="AG182" s="8">
        <f>+SUMIFS(AG$2:AG$149,$CB$2:$CB$149,Table1[[#This Row],[BAĞLANTI]])</f>
        <v>0.96452247879049824</v>
      </c>
      <c r="AH182" s="8">
        <f>+SUMIFS(AH$2:AH$149,$CB$2:$CB$149,Table1[[#This Row],[BAĞLANTI]])</f>
        <v>0.96452247879049824</v>
      </c>
      <c r="AI182" s="8">
        <f>+SUMIFS(AI$2:AI$149,$CB$2:$CB$149,Table1[[#This Row],[BAĞLANTI]])</f>
        <v>0.82295968015084286</v>
      </c>
      <c r="AJ182" s="8">
        <f>+SUMIFS(AJ$2:AJ$149,$CB$2:$CB$149,Table1[[#This Row],[BAĞLANTI]])</f>
        <v>0.82295968015084286</v>
      </c>
      <c r="AK182" s="8">
        <f>+SUMIFS(AK$2:AK$149,$CB$2:$CB$149,Table1[[#This Row],[BAĞLANTI]])</f>
        <v>0.77660004225315082</v>
      </c>
      <c r="AL182" s="8">
        <f>+SUMIFS(AL$2:AL$149,$CB$2:$CB$149,Table1[[#This Row],[BAĞLANTI]])</f>
        <v>0.77660004225315082</v>
      </c>
      <c r="AM182" s="8">
        <f>+SUMIFS(AM$2:AM$149,$CB$2:$CB$149,Table1[[#This Row],[BAĞLANTI]])</f>
        <v>0.73369214510908387</v>
      </c>
      <c r="AN182" s="8">
        <f>+SUMIFS(AN$2:AN$149,$CB$2:$CB$149,Table1[[#This Row],[BAĞLANTI]])</f>
        <v>0.55897384889329926</v>
      </c>
      <c r="AO182" s="8">
        <f>+SUMIFS(AO$2:AO$149,$CB$2:$CB$149,Table1[[#This Row],[BAĞLANTI]])</f>
        <v>0.58178282220475774</v>
      </c>
      <c r="AP182" s="8">
        <f>+SUMIFS(AP$2:AP$149,$CB$2:$CB$149,Table1[[#This Row],[BAĞLANTI]])</f>
        <v>1.0727822132759754</v>
      </c>
      <c r="AQ182" s="8">
        <f>+SUMIFS(AQ$2:AQ$149,$CB$2:$CB$149,Table1[[#This Row],[BAĞLANTI]])</f>
        <v>1.2143450119156285</v>
      </c>
      <c r="AR182" s="8">
        <f>+SUMIFS(AR$2:AR$149,$CB$2:$CB$149,Table1[[#This Row],[BAĞLANTI]])</f>
        <v>1.2143450119156285</v>
      </c>
      <c r="AS182" s="8">
        <f>+SUMIFS(AS$2:AS$149,$CB$2:$CB$149,Table1[[#This Row],[BAĞLANTI]])</f>
        <v>1.2143450119156285</v>
      </c>
      <c r="AT182" s="8">
        <f>+SUMIFS(AT$2:AT$149,$CB$2:$CB$149,Table1[[#This Row],[BAĞLANTI]])</f>
        <v>1.0727822132759754</v>
      </c>
      <c r="AU182" s="8">
        <f>+SUMIFS(AU$2:AU$149,$CB$2:$CB$149,Table1[[#This Row],[BAĞLANTI]])</f>
        <v>0.93121941463632252</v>
      </c>
      <c r="AV182" s="8">
        <f>+SUMIFS(AV$2:AV$149,$CB$2:$CB$149,Table1[[#This Row],[BAĞLANTI]])</f>
        <v>0.93121941463632252</v>
      </c>
      <c r="AW182" s="8">
        <f>+SUMIFS(AW$2:AW$149,$CB$2:$CB$149,Table1[[#This Row],[BAĞLANTI]])</f>
        <v>0.69887318486312944</v>
      </c>
      <c r="AX182" s="8">
        <f>+SUMIFS(AX$2:AX$149,$CB$2:$CB$149,Table1[[#This Row],[BAĞLANTI]])</f>
        <v>0.86874854323071415</v>
      </c>
      <c r="AY182" s="8">
        <f>+SUMIFS(AY$2:AY$149,$CB$2:$CB$149,Table1[[#This Row],[BAĞLANTI]])</f>
        <v>0.86874854323071415</v>
      </c>
      <c r="AZ182" s="8">
        <f>+SUMIFS(AZ$2:AZ$149,$CB$2:$CB$149,Table1[[#This Row],[BAĞLANTI]])</f>
        <v>0.69887318486312944</v>
      </c>
      <c r="BA182" s="8">
        <f>+SUMIFS(BA$2:BA$149,$CB$2:$CB$149,Table1[[#This Row],[BAĞLANTI]])</f>
        <v>0</v>
      </c>
      <c r="BB182" s="8">
        <f>+SUMIFS(BB$2:BB$149,$CB$2:$CB$149,Table1[[#This Row],[BAĞLANTI]])</f>
        <v>0</v>
      </c>
      <c r="BC182" s="8">
        <f>+SUMIFS(BC$2:BC$149,$CB$2:$CB$149,Table1[[#This Row],[BAĞLANTI]])</f>
        <v>0</v>
      </c>
      <c r="BD182" s="8">
        <f>+SUMIFS(BD$2:BD$149,$CB$2:$CB$149,Table1[[#This Row],[BAĞLANTI]])</f>
        <v>0</v>
      </c>
      <c r="BE182" s="8">
        <f>+SUMIFS(BE$2:BE$149,$CB$2:$CB$149,Table1[[#This Row],[BAĞLANTI]])</f>
        <v>0</v>
      </c>
      <c r="BF182" s="8">
        <f>+SUMIFS(BF$2:BF$149,$CB$2:$CB$149,Table1[[#This Row],[BAĞLANTI]])</f>
        <v>0</v>
      </c>
      <c r="BG182" s="8">
        <f>+SUMIFS(BG$2:BG$149,$CB$2:$CB$149,Table1[[#This Row],[BAĞLANTI]])</f>
        <v>0</v>
      </c>
      <c r="BH182" s="8">
        <f>+SUMIFS(BH$2:BH$149,$CB$2:$CB$149,Table1[[#This Row],[BAĞLANTI]])</f>
        <v>0</v>
      </c>
      <c r="BI182" s="8">
        <f>+SUMIFS(BI$2:BI$149,$CB$2:$CB$149,Table1[[#This Row],[BAĞLANTI]])</f>
        <v>0</v>
      </c>
      <c r="BJ182" s="8">
        <f>+SUMIFS(BJ$2:BJ$149,$CB$2:$CB$149,Table1[[#This Row],[BAĞLANTI]])</f>
        <v>0</v>
      </c>
      <c r="BK182" s="8">
        <f>+SUMIFS(BK$2:BK$149,$CB$2:$CB$149,Table1[[#This Row],[BAĞLANTI]])</f>
        <v>0</v>
      </c>
      <c r="BL182" s="8">
        <f>+SUMIFS(BL$2:BL$149,$CB$2:$CB$149,Table1[[#This Row],[BAĞLANTI]])</f>
        <v>0</v>
      </c>
      <c r="BM182" s="8">
        <f>+SUMIFS(BM$2:BM$149,$CB$2:$CB$149,Table1[[#This Row],[BAĞLANTI]])</f>
        <v>0</v>
      </c>
      <c r="BN182" s="8">
        <f>+SUMIFS(BN$2:BN$149,$CB$2:$CB$149,Table1[[#This Row],[BAĞLANTI]])</f>
        <v>0</v>
      </c>
      <c r="BO182" s="8">
        <f>+SUMIFS(BO$2:BO$149,$CB$2:$CB$149,Table1[[#This Row],[BAĞLANTI]])</f>
        <v>0</v>
      </c>
      <c r="BP182" s="8">
        <f>+SUMIFS(BP$2:BP$149,$CB$2:$CB$149,Table1[[#This Row],[BAĞLANTI]])</f>
        <v>0</v>
      </c>
      <c r="BQ182" s="8">
        <f>+SUMIFS(BQ$2:BQ$149,$CB$2:$CB$149,Table1[[#This Row],[BAĞLANTI]])</f>
        <v>0</v>
      </c>
      <c r="BR182" s="8">
        <f>+SUMIFS(BR$2:BR$149,$CB$2:$CB$149,Table1[[#This Row],[BAĞLANTI]])</f>
        <v>0</v>
      </c>
      <c r="BS182" s="8">
        <f>+SUMIFS(BS$2:BS$149,$CB$2:$CB$149,Table1[[#This Row],[BAĞLANTI]])</f>
        <v>0</v>
      </c>
      <c r="BT182" s="8">
        <f>+SUMIFS(BT$2:BT$149,$CB$2:$CB$149,Table1[[#This Row],[BAĞLANTI]])</f>
        <v>0</v>
      </c>
      <c r="BU182" s="8">
        <f>+SUMIFS(BU$2:BU$149,$CB$2:$CB$149,Table1[[#This Row],[BAĞLANTI]])</f>
        <v>0</v>
      </c>
      <c r="BV182" s="8">
        <f>+SUMIFS(BV$2:BV$149,$CB$2:$CB$149,Table1[[#This Row],[BAĞLANTI]])</f>
        <v>0</v>
      </c>
      <c r="BW182" s="8">
        <f>+SUMIFS(BW$2:BW$149,$CB$2:$CB$149,Table1[[#This Row],[BAĞLANTI]])</f>
        <v>0</v>
      </c>
      <c r="BX182" s="8">
        <f>+SUMIFS(BX$2:BX$149,$CB$2:$CB$149,Table1[[#This Row],[BAĞLANTI]])</f>
        <v>0</v>
      </c>
      <c r="BY182" s="8">
        <f>+SUMIFS(BY$2:BY$149,$CB$2:$CB$149,Table1[[#This Row],[BAĞLANTI]])</f>
        <v>0</v>
      </c>
      <c r="BZ182" s="8">
        <f>+SUMIFS(BZ$2:BZ$149,$CB$2:$CB$149,Table1[[#This Row],[BAĞLANTI]])</f>
        <v>0</v>
      </c>
      <c r="CA182" s="8">
        <f>+SUMIFS(CA$2:CA$149,$CB$2:$CB$149,Table1[[#This Row],[BAĞLANTI]])</f>
        <v>0</v>
      </c>
      <c r="CB182" s="8" t="s">
        <v>5385</v>
      </c>
    </row>
    <row r="183" spans="1:80">
      <c r="A183" s="3" t="s">
        <v>5444</v>
      </c>
      <c r="B183" t="s">
        <v>13</v>
      </c>
      <c r="C183" t="s">
        <v>215</v>
      </c>
      <c r="D183" t="s">
        <v>76</v>
      </c>
      <c r="E183" t="s">
        <v>5184</v>
      </c>
      <c r="F183" s="77" t="s">
        <v>4973</v>
      </c>
      <c r="G183" t="s">
        <v>4983</v>
      </c>
      <c r="H183" s="3" t="s">
        <v>4984</v>
      </c>
      <c r="I183" s="3" t="s">
        <v>5194</v>
      </c>
      <c r="J183" s="78"/>
      <c r="K183" s="78"/>
      <c r="M183" s="78"/>
      <c r="N183" s="8">
        <f>+SUMIFS(N$2:N$149,$CB$2:$CB$149,Table1[[#This Row],[BAĞLANTI]])</f>
        <v>0</v>
      </c>
      <c r="O183" s="8">
        <f>+SUMIFS(O$2:O$149,$CB$2:$CB$149,Table1[[#This Row],[BAĞLANTI]])</f>
        <v>0</v>
      </c>
      <c r="P183" s="8">
        <f>+SUMIFS(P$2:P$149,$CB$2:$CB$149,Table1[[#This Row],[BAĞLANTI]])</f>
        <v>0</v>
      </c>
      <c r="Q183" s="8">
        <f>+SUMIFS(Q$2:Q$149,$CB$2:$CB$149,Table1[[#This Row],[BAĞLANTI]])</f>
        <v>0</v>
      </c>
      <c r="R183" s="8">
        <f>+SUMIFS(R$2:R$149,$CB$2:$CB$149,Table1[[#This Row],[BAĞLANTI]])</f>
        <v>11.0851884</v>
      </c>
      <c r="S183" s="8">
        <f>+SUMIFS(S$2:S$149,$CB$2:$CB$149,Table1[[#This Row],[BAĞLANTI]])</f>
        <v>31.313139</v>
      </c>
      <c r="T183" s="8">
        <f>+SUMIFS(T$2:T$149,$CB$2:$CB$149,Table1[[#This Row],[BAĞLANTI]])</f>
        <v>36.705420311999987</v>
      </c>
      <c r="U183" s="8">
        <f>+SUMIFS(U$2:U$149,$CB$2:$CB$149,Table1[[#This Row],[BAĞLANTI]])</f>
        <v>4.2052522880000112</v>
      </c>
      <c r="V183" s="8">
        <f>+SUMIFS(V$2:V$149,$CB$2:$CB$149,Table1[[#This Row],[BAĞLANTI]])</f>
        <v>31.106999999999999</v>
      </c>
      <c r="W183" s="8">
        <f>+SUMIFS(W$2:W$149,$CB$2:$CB$149,Table1[[#This Row],[BAĞLANTI]])</f>
        <v>0</v>
      </c>
      <c r="X183" s="10">
        <f>+SUMIFS(X$2:X$149,$CB$2:$CB$149,Table1[[#This Row],[BAĞLANTI]])</f>
        <v>0</v>
      </c>
      <c r="Y183" s="8">
        <f>+SUMIFS(Y$2:Y$149,$CB$2:$CB$149,Table1[[#This Row],[BAĞLANTI]])</f>
        <v>0.88189885434947557</v>
      </c>
      <c r="Z183" s="8">
        <f>+SUMIFS(Z$2:Z$149,$CB$2:$CB$149,Table1[[#This Row],[BAĞLANTI]])</f>
        <v>0.60199210051426844</v>
      </c>
      <c r="AA183" s="8">
        <f>+SUMIFS(AA$2:AA$149,$CB$2:$CB$149,Table1[[#This Row],[BAĞLANTI]])</f>
        <v>0.938027988152354</v>
      </c>
      <c r="AB183" s="8">
        <f>+SUMIFS(AB$2:AB$149,$CB$2:$CB$149,Table1[[#This Row],[BAĞLANTI]])</f>
        <v>0.65812123431714675</v>
      </c>
      <c r="AC183" s="8">
        <f>+SUMIFS(AC$2:AC$149,$CB$2:$CB$149,Table1[[#This Row],[BAĞLANTI]])</f>
        <v>0.85915648008129453</v>
      </c>
      <c r="AD183" s="8">
        <f>+SUMIFS(AD$2:AD$149,$CB$2:$CB$149,Table1[[#This Row],[BAĞLANTI]])</f>
        <v>1.8308192477439602</v>
      </c>
      <c r="AE183" s="8">
        <f>+SUMIFS(AE$2:AE$149,$CB$2:$CB$149,Table1[[#This Row],[BAĞLANTI]])</f>
        <v>1.6192053083534683</v>
      </c>
      <c r="AF183" s="8">
        <f>+SUMIFS(AF$2:AF$149,$CB$2:$CB$149,Table1[[#This Row],[BAĞLANTI]])</f>
        <v>1.392415187975262</v>
      </c>
      <c r="AG183" s="8">
        <f>+SUMIFS(AG$2:AG$149,$CB$2:$CB$149,Table1[[#This Row],[BAĞLANTI]])</f>
        <v>1.5630761745505939</v>
      </c>
      <c r="AH183" s="8">
        <f>+SUMIFS(AH$2:AH$149,$CB$2:$CB$149,Table1[[#This Row],[BAĞLANTI]])</f>
        <v>1.5630761745505939</v>
      </c>
      <c r="AI183" s="8">
        <f>+SUMIFS(AI$2:AI$149,$CB$2:$CB$149,Table1[[#This Row],[BAĞLANTI]])</f>
        <v>1.336286054172384</v>
      </c>
      <c r="AJ183" s="8">
        <f>+SUMIFS(AJ$2:AJ$149,$CB$2:$CB$149,Table1[[#This Row],[BAĞLANTI]])</f>
        <v>1.336286054172384</v>
      </c>
      <c r="AK183" s="8">
        <f>+SUMIFS(AK$2:AK$149,$CB$2:$CB$149,Table1[[#This Row],[BAĞLANTI]])</f>
        <v>1.2620157800570022</v>
      </c>
      <c r="AL183" s="8">
        <f>+SUMIFS(AL$2:AL$149,$CB$2:$CB$149,Table1[[#This Row],[BAĞLANTI]])</f>
        <v>1.2620157800570022</v>
      </c>
      <c r="AM183" s="8">
        <f>+SUMIFS(AM$2:AM$149,$CB$2:$CB$149,Table1[[#This Row],[BAĞLANTI]])</f>
        <v>1.1932753535325942</v>
      </c>
      <c r="AN183" s="8">
        <f>+SUMIFS(AN$2:AN$149,$CB$2:$CB$149,Table1[[#This Row],[BAĞLANTI]])</f>
        <v>0.91336859969738327</v>
      </c>
      <c r="AO183" s="8">
        <f>+SUMIFS(AO$2:AO$149,$CB$2:$CB$149,Table1[[#This Row],[BAĞLANTI]])</f>
        <v>0.94990962497180165</v>
      </c>
      <c r="AP183" s="8">
        <f>+SUMIFS(AP$2:AP$149,$CB$2:$CB$149,Table1[[#This Row],[BAĞLANTI]])</f>
        <v>1.7365132530204224</v>
      </c>
      <c r="AQ183" s="8">
        <f>+SUMIFS(AQ$2:AQ$149,$CB$2:$CB$149,Table1[[#This Row],[BAĞLANTI]])</f>
        <v>1.9633033733986287</v>
      </c>
      <c r="AR183" s="8">
        <f>+SUMIFS(AR$2:AR$149,$CB$2:$CB$149,Table1[[#This Row],[BAĞLANTI]])</f>
        <v>1.9633033733986287</v>
      </c>
      <c r="AS183" s="8">
        <f>+SUMIFS(AS$2:AS$149,$CB$2:$CB$149,Table1[[#This Row],[BAĞLANTI]])</f>
        <v>1.9633033733986287</v>
      </c>
      <c r="AT183" s="8">
        <f>+SUMIFS(AT$2:AT$149,$CB$2:$CB$149,Table1[[#This Row],[BAĞLANTI]])</f>
        <v>1.7365132530204224</v>
      </c>
      <c r="AU183" s="8">
        <f>+SUMIFS(AU$2:AU$149,$CB$2:$CB$149,Table1[[#This Row],[BAĞLANTI]])</f>
        <v>1.5097231326422162</v>
      </c>
      <c r="AV183" s="8">
        <f>+SUMIFS(AV$2:AV$149,$CB$2:$CB$149,Table1[[#This Row],[BAĞLANTI]])</f>
        <v>1.5097231326422162</v>
      </c>
      <c r="AW183" s="8">
        <f>+SUMIFS(AW$2:AW$149,$CB$2:$CB$149,Table1[[#This Row],[BAĞLANTI]])</f>
        <v>1.1374937762996893</v>
      </c>
      <c r="AX183" s="8">
        <f>+SUMIFS(AX$2:AX$149,$CB$2:$CB$149,Table1[[#This Row],[BAĞLANTI]])</f>
        <v>1.3917751597946781</v>
      </c>
      <c r="AY183" s="8">
        <f>+SUMIFS(AY$2:AY$149,$CB$2:$CB$149,Table1[[#This Row],[BAĞLANTI]])</f>
        <v>1.3917751597946781</v>
      </c>
      <c r="AZ183" s="8">
        <f>+SUMIFS(AZ$2:AZ$149,$CB$2:$CB$149,Table1[[#This Row],[BAĞLANTI]])</f>
        <v>1.1196270153408292</v>
      </c>
      <c r="BA183" s="8">
        <f>+SUMIFS(BA$2:BA$149,$CB$2:$CB$149,Table1[[#This Row],[BAĞLANTI]])</f>
        <v>0</v>
      </c>
      <c r="BB183" s="8">
        <f>+SUMIFS(BB$2:BB$149,$CB$2:$CB$149,Table1[[#This Row],[BAĞLANTI]])</f>
        <v>0</v>
      </c>
      <c r="BC183" s="8">
        <f>+SUMIFS(BC$2:BC$149,$CB$2:$CB$149,Table1[[#This Row],[BAĞLANTI]])</f>
        <v>0</v>
      </c>
      <c r="BD183" s="8">
        <f>+SUMIFS(BD$2:BD$149,$CB$2:$CB$149,Table1[[#This Row],[BAĞLANTI]])</f>
        <v>0</v>
      </c>
      <c r="BE183" s="8">
        <f>+SUMIFS(BE$2:BE$149,$CB$2:$CB$149,Table1[[#This Row],[BAĞLANTI]])</f>
        <v>0</v>
      </c>
      <c r="BF183" s="8">
        <f>+SUMIFS(BF$2:BF$149,$CB$2:$CB$149,Table1[[#This Row],[BAĞLANTI]])</f>
        <v>0</v>
      </c>
      <c r="BG183" s="8">
        <f>+SUMIFS(BG$2:BG$149,$CB$2:$CB$149,Table1[[#This Row],[BAĞLANTI]])</f>
        <v>0</v>
      </c>
      <c r="BH183" s="8">
        <f>+SUMIFS(BH$2:BH$149,$CB$2:$CB$149,Table1[[#This Row],[BAĞLANTI]])</f>
        <v>0</v>
      </c>
      <c r="BI183" s="8">
        <f>+SUMIFS(BI$2:BI$149,$CB$2:$CB$149,Table1[[#This Row],[BAĞLANTI]])</f>
        <v>0</v>
      </c>
      <c r="BJ183" s="8">
        <f>+SUMIFS(BJ$2:BJ$149,$CB$2:$CB$149,Table1[[#This Row],[BAĞLANTI]])</f>
        <v>0</v>
      </c>
      <c r="BK183" s="8">
        <f>+SUMIFS(BK$2:BK$149,$CB$2:$CB$149,Table1[[#This Row],[BAĞLANTI]])</f>
        <v>0</v>
      </c>
      <c r="BL183" s="8">
        <f>+SUMIFS(BL$2:BL$149,$CB$2:$CB$149,Table1[[#This Row],[BAĞLANTI]])</f>
        <v>0</v>
      </c>
      <c r="BM183" s="8">
        <f>+SUMIFS(BM$2:BM$149,$CB$2:$CB$149,Table1[[#This Row],[BAĞLANTI]])</f>
        <v>0</v>
      </c>
      <c r="BN183" s="8">
        <f>+SUMIFS(BN$2:BN$149,$CB$2:$CB$149,Table1[[#This Row],[BAĞLANTI]])</f>
        <v>0</v>
      </c>
      <c r="BO183" s="8">
        <f>+SUMIFS(BO$2:BO$149,$CB$2:$CB$149,Table1[[#This Row],[BAĞLANTI]])</f>
        <v>0</v>
      </c>
      <c r="BP183" s="8">
        <f>+SUMIFS(BP$2:BP$149,$CB$2:$CB$149,Table1[[#This Row],[BAĞLANTI]])</f>
        <v>0</v>
      </c>
      <c r="BQ183" s="8">
        <f>+SUMIFS(BQ$2:BQ$149,$CB$2:$CB$149,Table1[[#This Row],[BAĞLANTI]])</f>
        <v>0</v>
      </c>
      <c r="BR183" s="8">
        <f>+SUMIFS(BR$2:BR$149,$CB$2:$CB$149,Table1[[#This Row],[BAĞLANTI]])</f>
        <v>0</v>
      </c>
      <c r="BS183" s="8">
        <f>+SUMIFS(BS$2:BS$149,$CB$2:$CB$149,Table1[[#This Row],[BAĞLANTI]])</f>
        <v>0</v>
      </c>
      <c r="BT183" s="8">
        <f>+SUMIFS(BT$2:BT$149,$CB$2:$CB$149,Table1[[#This Row],[BAĞLANTI]])</f>
        <v>0</v>
      </c>
      <c r="BU183" s="8">
        <f>+SUMIFS(BU$2:BU$149,$CB$2:$CB$149,Table1[[#This Row],[BAĞLANTI]])</f>
        <v>0</v>
      </c>
      <c r="BV183" s="8">
        <f>+SUMIFS(BV$2:BV$149,$CB$2:$CB$149,Table1[[#This Row],[BAĞLANTI]])</f>
        <v>0</v>
      </c>
      <c r="BW183" s="8">
        <f>+SUMIFS(BW$2:BW$149,$CB$2:$CB$149,Table1[[#This Row],[BAĞLANTI]])</f>
        <v>0</v>
      </c>
      <c r="BX183" s="8">
        <f>+SUMIFS(BX$2:BX$149,$CB$2:$CB$149,Table1[[#This Row],[BAĞLANTI]])</f>
        <v>0</v>
      </c>
      <c r="BY183" s="8">
        <f>+SUMIFS(BY$2:BY$149,$CB$2:$CB$149,Table1[[#This Row],[BAĞLANTI]])</f>
        <v>0</v>
      </c>
      <c r="BZ183" s="8">
        <f>+SUMIFS(BZ$2:BZ$149,$CB$2:$CB$149,Table1[[#This Row],[BAĞLANTI]])</f>
        <v>0</v>
      </c>
      <c r="CA183" s="8">
        <f>+SUMIFS(CA$2:CA$149,$CB$2:$CB$149,Table1[[#This Row],[BAĞLANTI]])</f>
        <v>0</v>
      </c>
      <c r="CB183" s="8" t="s">
        <v>5386</v>
      </c>
    </row>
    <row r="184" spans="1:80">
      <c r="A184" s="3" t="s">
        <v>5444</v>
      </c>
      <c r="B184" t="s">
        <v>13</v>
      </c>
      <c r="C184" t="s">
        <v>215</v>
      </c>
      <c r="D184" t="s">
        <v>5181</v>
      </c>
      <c r="E184" t="s">
        <v>5183</v>
      </c>
      <c r="F184" s="77" t="s">
        <v>4973</v>
      </c>
      <c r="G184" t="s">
        <v>4983</v>
      </c>
      <c r="H184" s="3" t="s">
        <v>4984</v>
      </c>
      <c r="I184" s="3" t="s">
        <v>5194</v>
      </c>
      <c r="J184" s="78"/>
      <c r="K184" s="78"/>
      <c r="M184" s="78"/>
      <c r="N184" s="8">
        <f>+SUMIFS(N$2:N$149,$CB$2:$CB$149,Table1[[#This Row],[BAĞLANTI]])</f>
        <v>0</v>
      </c>
      <c r="O184" s="8">
        <f>+SUMIFS(O$2:O$149,$CB$2:$CB$149,Table1[[#This Row],[BAĞLANTI]])</f>
        <v>0</v>
      </c>
      <c r="P184" s="8">
        <f>+SUMIFS(P$2:P$149,$CB$2:$CB$149,Table1[[#This Row],[BAĞLANTI]])</f>
        <v>86.96</v>
      </c>
      <c r="Q184" s="8">
        <f>+SUMIFS(Q$2:Q$149,$CB$2:$CB$149,Table1[[#This Row],[BAĞLANTI]])</f>
        <v>117.205</v>
      </c>
      <c r="R184" s="8">
        <f>+SUMIFS(R$2:R$149,$CB$2:$CB$149,Table1[[#This Row],[BAĞLANTI]])</f>
        <v>34.550000000000011</v>
      </c>
      <c r="S184" s="8">
        <f>+SUMIFS(S$2:S$149,$CB$2:$CB$149,Table1[[#This Row],[BAĞLANTI]])</f>
        <v>0</v>
      </c>
      <c r="T184" s="8">
        <f>+SUMIFS(T$2:T$149,$CB$2:$CB$149,Table1[[#This Row],[BAĞLANTI]])</f>
        <v>207.56036706559999</v>
      </c>
      <c r="U184" s="8">
        <f>+SUMIFS(U$2:U$149,$CB$2:$CB$149,Table1[[#This Row],[BAĞLANTI]])</f>
        <v>128.30674893440005</v>
      </c>
      <c r="V184" s="8">
        <f>+SUMIFS(V$2:V$149,$CB$2:$CB$149,Table1[[#This Row],[BAĞLANTI]])</f>
        <v>45.989883999999961</v>
      </c>
      <c r="W184" s="8">
        <f>+SUMIFS(W$2:W$149,$CB$2:$CB$149,Table1[[#This Row],[BAĞLANTI]])</f>
        <v>38.960000000000036</v>
      </c>
      <c r="X184" s="10">
        <f>+SUMIFS(X$2:X$149,$CB$2:$CB$149,Table1[[#This Row],[BAĞLANTI]])</f>
        <v>66.663000000000011</v>
      </c>
      <c r="Y184" s="8">
        <f>+SUMIFS(Y$2:Y$149,$CB$2:$CB$149,Table1[[#This Row],[BAĞLANTI]])</f>
        <v>53.354247140115717</v>
      </c>
      <c r="Z184" s="8">
        <f>+SUMIFS(Z$2:Z$149,$CB$2:$CB$149,Table1[[#This Row],[BAĞLANTI]])</f>
        <v>36.420089615523779</v>
      </c>
      <c r="AA184" s="8">
        <f>+SUMIFS(AA$2:AA$149,$CB$2:$CB$149,Table1[[#This Row],[BAĞLANTI]])</f>
        <v>56.750019412536261</v>
      </c>
      <c r="AB184" s="8">
        <f>+SUMIFS(AB$2:AB$149,$CB$2:$CB$149,Table1[[#This Row],[BAĞLANTI]])</f>
        <v>39.81586188794433</v>
      </c>
      <c r="AC184" s="8">
        <f>+SUMIFS(AC$2:AC$149,$CB$2:$CB$149,Table1[[#This Row],[BAĞLANTI]])</f>
        <v>50.89742363210906</v>
      </c>
      <c r="AD184" s="8">
        <f>+SUMIFS(AD$2:AD$149,$CB$2:$CB$149,Table1[[#This Row],[BAĞLANTI]])</f>
        <v>109.68232304210287</v>
      </c>
      <c r="AE184" s="8">
        <f>+SUMIFS(AE$2:AE$149,$CB$2:$CB$149,Table1[[#This Row],[BAĞLANTI]])</f>
        <v>96.879831730486288</v>
      </c>
      <c r="AF184" s="8">
        <f>+SUMIFS(AF$2:AF$149,$CB$2:$CB$149,Table1[[#This Row],[BAĞLANTI]])</f>
        <v>83.159192371541863</v>
      </c>
      <c r="AG184" s="8">
        <f>+SUMIFS(AG$2:AG$149,$CB$2:$CB$149,Table1[[#This Row],[BAĞLANTI]])</f>
        <v>93.484059458065971</v>
      </c>
      <c r="AH184" s="8">
        <f>+SUMIFS(AH$2:AH$149,$CB$2:$CB$149,Table1[[#This Row],[BAĞLANTI]])</f>
        <v>93.484059458065971</v>
      </c>
      <c r="AI184" s="8">
        <f>+SUMIFS(AI$2:AI$149,$CB$2:$CB$149,Table1[[#This Row],[BAĞLANTI]])</f>
        <v>79.763420099121333</v>
      </c>
      <c r="AJ184" s="8">
        <f>+SUMIFS(AJ$2:AJ$149,$CB$2:$CB$149,Table1[[#This Row],[BAĞLANTI]])</f>
        <v>79.763420099121333</v>
      </c>
      <c r="AK184" s="8">
        <f>+SUMIFS(AK$2:AK$149,$CB$2:$CB$149,Table1[[#This Row],[BAĞLANTI]])</f>
        <v>97.969572126801694</v>
      </c>
      <c r="AL184" s="8">
        <f>+SUMIFS(AL$2:AL$149,$CB$2:$CB$149,Table1[[#This Row],[BAĞLANTI]])</f>
        <v>75.27012187022271</v>
      </c>
      <c r="AM184" s="8">
        <f>+SUMIFS(AM$2:AM$149,$CB$2:$CB$149,Table1[[#This Row],[BAĞLANTI]])</f>
        <v>71.111375447986347</v>
      </c>
      <c r="AN184" s="8">
        <f>+SUMIFS(AN$2:AN$149,$CB$2:$CB$149,Table1[[#This Row],[BAĞLANTI]])</f>
        <v>54.177217923394196</v>
      </c>
      <c r="AO184" s="8">
        <f>+SUMIFS(AO$2:AO$149,$CB$2:$CB$149,Table1[[#This Row],[BAĞLANTI]])</f>
        <v>56.387923701759959</v>
      </c>
      <c r="AP184" s="8">
        <f>+SUMIFS(AP$2:AP$149,$CB$2:$CB$149,Table1[[#This Row],[BAĞLANTI]])</f>
        <v>103.97687810988825</v>
      </c>
      <c r="AQ184" s="8">
        <f>+SUMIFS(AQ$2:AQ$149,$CB$2:$CB$149,Table1[[#This Row],[BAĞLANTI]])</f>
        <v>117.69751746883267</v>
      </c>
      <c r="AR184" s="8">
        <f>+SUMIFS(AR$2:AR$149,$CB$2:$CB$149,Table1[[#This Row],[BAĞLANTI]])</f>
        <v>117.69751746883267</v>
      </c>
      <c r="AS184" s="8">
        <f>+SUMIFS(AS$2:AS$149,$CB$2:$CB$149,Table1[[#This Row],[BAĞLANTI]])</f>
        <v>117.69751746883267</v>
      </c>
      <c r="AT184" s="8">
        <f>+SUMIFS(AT$2:AT$149,$CB$2:$CB$149,Table1[[#This Row],[BAĞLANTI]])</f>
        <v>103.97687810988825</v>
      </c>
      <c r="AU184" s="8">
        <f>+SUMIFS(AU$2:AU$149,$CB$2:$CB$149,Table1[[#This Row],[BAĞLANTI]])</f>
        <v>90.256238750943837</v>
      </c>
      <c r="AV184" s="8">
        <f>+SUMIFS(AV$2:AV$149,$CB$2:$CB$149,Table1[[#This Row],[BAĞLANTI]])</f>
        <v>90.256238750943837</v>
      </c>
      <c r="AW184" s="8">
        <f>+SUMIFS(AW$2:AW$149,$CB$2:$CB$149,Table1[[#This Row],[BAĞLANTI]])</f>
        <v>67.736630098367755</v>
      </c>
      <c r="AX184" s="8">
        <f>+SUMIFS(AX$2:AX$149,$CB$2:$CB$149,Table1[[#This Row],[BAĞLANTI]])</f>
        <v>84.201397329101155</v>
      </c>
      <c r="AY184" s="8">
        <f>+SUMIFS(AY$2:AY$149,$CB$2:$CB$149,Table1[[#This Row],[BAĞLANTI]])</f>
        <v>84.201397329101155</v>
      </c>
      <c r="AZ184" s="8">
        <f>+SUMIFS(AZ$2:AZ$149,$CB$2:$CB$149,Table1[[#This Row],[BAĞLANTI]])</f>
        <v>67.736630098367755</v>
      </c>
      <c r="BA184" s="8">
        <f>+SUMIFS(BA$2:BA$149,$CB$2:$CB$149,Table1[[#This Row],[BAĞLANTI]])</f>
        <v>0</v>
      </c>
      <c r="BB184" s="8">
        <f>+SUMIFS(BB$2:BB$149,$CB$2:$CB$149,Table1[[#This Row],[BAĞLANTI]])</f>
        <v>0</v>
      </c>
      <c r="BC184" s="8">
        <f>+SUMIFS(BC$2:BC$149,$CB$2:$CB$149,Table1[[#This Row],[BAĞLANTI]])</f>
        <v>0</v>
      </c>
      <c r="BD184" s="8">
        <f>+SUMIFS(BD$2:BD$149,$CB$2:$CB$149,Table1[[#This Row],[BAĞLANTI]])</f>
        <v>0</v>
      </c>
      <c r="BE184" s="8">
        <f>+SUMIFS(BE$2:BE$149,$CB$2:$CB$149,Table1[[#This Row],[BAĞLANTI]])</f>
        <v>0</v>
      </c>
      <c r="BF184" s="8">
        <f>+SUMIFS(BF$2:BF$149,$CB$2:$CB$149,Table1[[#This Row],[BAĞLANTI]])</f>
        <v>0</v>
      </c>
      <c r="BG184" s="8">
        <f>+SUMIFS(BG$2:BG$149,$CB$2:$CB$149,Table1[[#This Row],[BAĞLANTI]])</f>
        <v>0</v>
      </c>
      <c r="BH184" s="8">
        <f>+SUMIFS(BH$2:BH$149,$CB$2:$CB$149,Table1[[#This Row],[BAĞLANTI]])</f>
        <v>0</v>
      </c>
      <c r="BI184" s="8">
        <f>+SUMIFS(BI$2:BI$149,$CB$2:$CB$149,Table1[[#This Row],[BAĞLANTI]])</f>
        <v>0</v>
      </c>
      <c r="BJ184" s="8">
        <f>+SUMIFS(BJ$2:BJ$149,$CB$2:$CB$149,Table1[[#This Row],[BAĞLANTI]])</f>
        <v>0</v>
      </c>
      <c r="BK184" s="8">
        <f>+SUMIFS(BK$2:BK$149,$CB$2:$CB$149,Table1[[#This Row],[BAĞLANTI]])</f>
        <v>0</v>
      </c>
      <c r="BL184" s="8">
        <f>+SUMIFS(BL$2:BL$149,$CB$2:$CB$149,Table1[[#This Row],[BAĞLANTI]])</f>
        <v>0</v>
      </c>
      <c r="BM184" s="8">
        <f>+SUMIFS(BM$2:BM$149,$CB$2:$CB$149,Table1[[#This Row],[BAĞLANTI]])</f>
        <v>0</v>
      </c>
      <c r="BN184" s="8">
        <f>+SUMIFS(BN$2:BN$149,$CB$2:$CB$149,Table1[[#This Row],[BAĞLANTI]])</f>
        <v>0</v>
      </c>
      <c r="BO184" s="8">
        <f>+SUMIFS(BO$2:BO$149,$CB$2:$CB$149,Table1[[#This Row],[BAĞLANTI]])</f>
        <v>0</v>
      </c>
      <c r="BP184" s="8">
        <f>+SUMIFS(BP$2:BP$149,$CB$2:$CB$149,Table1[[#This Row],[BAĞLANTI]])</f>
        <v>0</v>
      </c>
      <c r="BQ184" s="8">
        <f>+SUMIFS(BQ$2:BQ$149,$CB$2:$CB$149,Table1[[#This Row],[BAĞLANTI]])</f>
        <v>0</v>
      </c>
      <c r="BR184" s="8">
        <f>+SUMIFS(BR$2:BR$149,$CB$2:$CB$149,Table1[[#This Row],[BAĞLANTI]])</f>
        <v>0</v>
      </c>
      <c r="BS184" s="8">
        <f>+SUMIFS(BS$2:BS$149,$CB$2:$CB$149,Table1[[#This Row],[BAĞLANTI]])</f>
        <v>0</v>
      </c>
      <c r="BT184" s="8">
        <f>+SUMIFS(BT$2:BT$149,$CB$2:$CB$149,Table1[[#This Row],[BAĞLANTI]])</f>
        <v>0</v>
      </c>
      <c r="BU184" s="8">
        <f>+SUMIFS(BU$2:BU$149,$CB$2:$CB$149,Table1[[#This Row],[BAĞLANTI]])</f>
        <v>0</v>
      </c>
      <c r="BV184" s="8">
        <f>+SUMIFS(BV$2:BV$149,$CB$2:$CB$149,Table1[[#This Row],[BAĞLANTI]])</f>
        <v>0</v>
      </c>
      <c r="BW184" s="8">
        <f>+SUMIFS(BW$2:BW$149,$CB$2:$CB$149,Table1[[#This Row],[BAĞLANTI]])</f>
        <v>0</v>
      </c>
      <c r="BX184" s="8">
        <f>+SUMIFS(BX$2:BX$149,$CB$2:$CB$149,Table1[[#This Row],[BAĞLANTI]])</f>
        <v>0</v>
      </c>
      <c r="BY184" s="8">
        <f>+SUMIFS(BY$2:BY$149,$CB$2:$CB$149,Table1[[#This Row],[BAĞLANTI]])</f>
        <v>0</v>
      </c>
      <c r="BZ184" s="8">
        <f>+SUMIFS(BZ$2:BZ$149,$CB$2:$CB$149,Table1[[#This Row],[BAĞLANTI]])</f>
        <v>0</v>
      </c>
      <c r="CA184" s="8">
        <f>+SUMIFS(CA$2:CA$149,$CB$2:$CB$149,Table1[[#This Row],[BAĞLANTI]])</f>
        <v>0</v>
      </c>
      <c r="CB184" s="8" t="s">
        <v>5387</v>
      </c>
    </row>
    <row r="185" spans="1:80">
      <c r="A185" s="3" t="s">
        <v>5444</v>
      </c>
      <c r="B185" t="s">
        <v>14</v>
      </c>
      <c r="C185" t="s">
        <v>235</v>
      </c>
      <c r="D185" t="s">
        <v>71</v>
      </c>
      <c r="E185" t="s">
        <v>4974</v>
      </c>
      <c r="F185" s="77" t="s">
        <v>4973</v>
      </c>
      <c r="G185" t="s">
        <v>4983</v>
      </c>
      <c r="H185" s="3" t="s">
        <v>4984</v>
      </c>
      <c r="I185" s="3" t="s">
        <v>5194</v>
      </c>
      <c r="J185" s="78"/>
      <c r="K185" s="78"/>
      <c r="M185" s="78"/>
      <c r="N185" s="8">
        <f>+SUMIFS(N$2:N$149,$CB$2:$CB$149,Table1[[#This Row],[BAĞLANTI]])</f>
        <v>0</v>
      </c>
      <c r="O185" s="8">
        <f>+SUMIFS(O$2:O$149,$CB$2:$CB$149,Table1[[#This Row],[BAĞLANTI]])</f>
        <v>0</v>
      </c>
      <c r="P185" s="8">
        <f>+SUMIFS(P$2:P$149,$CB$2:$CB$149,Table1[[#This Row],[BAĞLANTI]])</f>
        <v>0</v>
      </c>
      <c r="Q185" s="8">
        <f>+SUMIFS(Q$2:Q$149,$CB$2:$CB$149,Table1[[#This Row],[BAĞLANTI]])</f>
        <v>0</v>
      </c>
      <c r="R185" s="8">
        <f>+SUMIFS(R$2:R$149,$CB$2:$CB$149,Table1[[#This Row],[BAĞLANTI]])</f>
        <v>612</v>
      </c>
      <c r="S185" s="8">
        <f>+SUMIFS(S$2:S$149,$CB$2:$CB$149,Table1[[#This Row],[BAĞLANTI]])</f>
        <v>1230</v>
      </c>
      <c r="T185" s="8">
        <f>+SUMIFS(T$2:T$149,$CB$2:$CB$149,Table1[[#This Row],[BAĞLANTI]])</f>
        <v>0</v>
      </c>
      <c r="U185" s="8">
        <f>+SUMIFS(U$2:U$149,$CB$2:$CB$149,Table1[[#This Row],[BAĞLANTI]])</f>
        <v>0</v>
      </c>
      <c r="V185" s="8">
        <f>+SUMIFS(V$2:V$149,$CB$2:$CB$149,Table1[[#This Row],[BAĞLANTI]])</f>
        <v>396</v>
      </c>
      <c r="W185" s="8">
        <f>+SUMIFS(W$2:W$149,$CB$2:$CB$149,Table1[[#This Row],[BAĞLANTI]])</f>
        <v>0</v>
      </c>
      <c r="X185" s="10">
        <f>+SUMIFS(X$2:X$149,$CB$2:$CB$149,Table1[[#This Row],[BAĞLANTI]])</f>
        <v>0</v>
      </c>
      <c r="Y185" s="8">
        <f>+SUMIFS(Y$2:Y$149,$CB$2:$CB$149,Table1[[#This Row],[BAĞLANTI]])</f>
        <v>298.45978283041063</v>
      </c>
      <c r="Z185" s="8">
        <f>+SUMIFS(Z$2:Z$149,$CB$2:$CB$149,Table1[[#This Row],[BAĞLANTI]])</f>
        <v>203.73133574103969</v>
      </c>
      <c r="AA185" s="8">
        <f>+SUMIFS(AA$2:AA$149,$CB$2:$CB$149,Table1[[#This Row],[BAĞLANTI]])</f>
        <v>317.45548625223142</v>
      </c>
      <c r="AB185" s="8">
        <f>+SUMIFS(AB$2:AB$149,$CB$2:$CB$149,Table1[[#This Row],[BAĞLANTI]])</f>
        <v>222.72703916286045</v>
      </c>
      <c r="AC185" s="8">
        <f>+SUMIFS(AC$2:AC$149,$CB$2:$CB$149,Table1[[#This Row],[BAĞLANTI]])</f>
        <v>284.7164905911506</v>
      </c>
      <c r="AD185" s="8">
        <f>+SUMIFS(AD$2:AD$149,$CB$2:$CB$149,Table1[[#This Row],[BAĞLANTI]])</f>
        <v>613.5549477347563</v>
      </c>
      <c r="AE185" s="8">
        <f>+SUMIFS(AE$2:AE$149,$CB$2:$CB$149,Table1[[#This Row],[BAĞLANTI]])</f>
        <v>541.93874131507334</v>
      </c>
      <c r="AF185" s="8">
        <f>+SUMIFS(AF$2:AF$149,$CB$2:$CB$149,Table1[[#This Row],[BAĞLANTI]])</f>
        <v>465.18648141323763</v>
      </c>
      <c r="AG185" s="8">
        <f>+SUMIFS(AG$2:AG$149,$CB$2:$CB$149,Table1[[#This Row],[BAĞLANTI]])</f>
        <v>522.94303789325397</v>
      </c>
      <c r="AH185" s="8">
        <f>+SUMIFS(AH$2:AH$149,$CB$2:$CB$149,Table1[[#This Row],[BAĞLANTI]])</f>
        <v>522.94303789325397</v>
      </c>
      <c r="AI185" s="8">
        <f>+SUMIFS(AI$2:AI$149,$CB$2:$CB$149,Table1[[#This Row],[BAĞLANTI]])</f>
        <v>446.19077799141695</v>
      </c>
      <c r="AJ185" s="8">
        <f>+SUMIFS(AJ$2:AJ$149,$CB$2:$CB$149,Table1[[#This Row],[BAĞLANTI]])</f>
        <v>446.19077799141695</v>
      </c>
      <c r="AK185" s="8">
        <f>+SUMIFS(AK$2:AK$149,$CB$2:$CB$149,Table1[[#This Row],[BAĞLANTI]])</f>
        <v>421.05559409373183</v>
      </c>
      <c r="AL185" s="8">
        <f>+SUMIFS(AL$2:AL$149,$CB$2:$CB$149,Table1[[#This Row],[BAĞLANTI]])</f>
        <v>421.05559409373183</v>
      </c>
      <c r="AM185" s="8">
        <f>+SUMIFS(AM$2:AM$149,$CB$2:$CB$149,Table1[[#This Row],[BAĞLANTI]])</f>
        <v>397.79186870055372</v>
      </c>
      <c r="AN185" s="8">
        <f>+SUMIFS(AN$2:AN$149,$CB$2:$CB$149,Table1[[#This Row],[BAĞLANTI]])</f>
        <v>303.06342161118147</v>
      </c>
      <c r="AO185" s="8">
        <f>+SUMIFS(AO$2:AO$149,$CB$2:$CB$149,Table1[[#This Row],[BAĞLANTI]])</f>
        <v>315.42994914890937</v>
      </c>
      <c r="AP185" s="8">
        <f>+SUMIFS(AP$2:AP$149,$CB$2:$CB$149,Table1[[#This Row],[BAĞLANTI]])</f>
        <v>581.63910322948698</v>
      </c>
      <c r="AQ185" s="8">
        <f>+SUMIFS(AQ$2:AQ$149,$CB$2:$CB$149,Table1[[#This Row],[BAĞLANTI]])</f>
        <v>658.39136313132269</v>
      </c>
      <c r="AR185" s="8">
        <f>+SUMIFS(AR$2:AR$149,$CB$2:$CB$149,Table1[[#This Row],[BAĞLANTI]])</f>
        <v>658.39136313132269</v>
      </c>
      <c r="AS185" s="8">
        <f>+SUMIFS(AS$2:AS$149,$CB$2:$CB$149,Table1[[#This Row],[BAĞLANTI]])</f>
        <v>658.39136313132269</v>
      </c>
      <c r="AT185" s="8">
        <f>+SUMIFS(AT$2:AT$149,$CB$2:$CB$149,Table1[[#This Row],[BAĞLANTI]])</f>
        <v>708.61817906868794</v>
      </c>
      <c r="AU185" s="8">
        <f>+SUMIFS(AU$2:AU$149,$CB$2:$CB$149,Table1[[#This Row],[BAĞLANTI]])</f>
        <v>975.90334356733831</v>
      </c>
      <c r="AV185" s="8">
        <f>+SUMIFS(AV$2:AV$149,$CB$2:$CB$149,Table1[[#This Row],[BAĞLANTI]])</f>
        <v>975.90334356733831</v>
      </c>
      <c r="AW185" s="8">
        <f>+SUMIFS(AW$2:AW$149,$CB$2:$CB$149,Table1[[#This Row],[BAĞLANTI]])</f>
        <v>757.8275767149679</v>
      </c>
      <c r="AX185" s="8">
        <f>+SUMIFS(AX$2:AX$149,$CB$2:$CB$149,Table1[[#This Row],[BAĞLANTI]])</f>
        <v>0</v>
      </c>
      <c r="AY185" s="8">
        <f>+SUMIFS(AY$2:AY$149,$CB$2:$CB$149,Table1[[#This Row],[BAĞLANTI]])</f>
        <v>0</v>
      </c>
      <c r="AZ185" s="8">
        <f>+SUMIFS(AZ$2:AZ$149,$CB$2:$CB$149,Table1[[#This Row],[BAĞLANTI]])</f>
        <v>0</v>
      </c>
      <c r="BA185" s="8">
        <f>+SUMIFS(BA$2:BA$149,$CB$2:$CB$149,Table1[[#This Row],[BAĞLANTI]])</f>
        <v>0</v>
      </c>
      <c r="BB185" s="8">
        <f>+SUMIFS(BB$2:BB$149,$CB$2:$CB$149,Table1[[#This Row],[BAĞLANTI]])</f>
        <v>0</v>
      </c>
      <c r="BC185" s="8">
        <f>+SUMIFS(BC$2:BC$149,$CB$2:$CB$149,Table1[[#This Row],[BAĞLANTI]])</f>
        <v>0</v>
      </c>
      <c r="BD185" s="8">
        <f>+SUMIFS(BD$2:BD$149,$CB$2:$CB$149,Table1[[#This Row],[BAĞLANTI]])</f>
        <v>0</v>
      </c>
      <c r="BE185" s="8">
        <f>+SUMIFS(BE$2:BE$149,$CB$2:$CB$149,Table1[[#This Row],[BAĞLANTI]])</f>
        <v>0</v>
      </c>
      <c r="BF185" s="8">
        <f>+SUMIFS(BF$2:BF$149,$CB$2:$CB$149,Table1[[#This Row],[BAĞLANTI]])</f>
        <v>0</v>
      </c>
      <c r="BG185" s="8">
        <f>+SUMIFS(BG$2:BG$149,$CB$2:$CB$149,Table1[[#This Row],[BAĞLANTI]])</f>
        <v>0</v>
      </c>
      <c r="BH185" s="8">
        <f>+SUMIFS(BH$2:BH$149,$CB$2:$CB$149,Table1[[#This Row],[BAĞLANTI]])</f>
        <v>0</v>
      </c>
      <c r="BI185" s="8">
        <f>+SUMIFS(BI$2:BI$149,$CB$2:$CB$149,Table1[[#This Row],[BAĞLANTI]])</f>
        <v>0</v>
      </c>
      <c r="BJ185" s="8">
        <f>+SUMIFS(BJ$2:BJ$149,$CB$2:$CB$149,Table1[[#This Row],[BAĞLANTI]])</f>
        <v>0</v>
      </c>
      <c r="BK185" s="8">
        <f>+SUMIFS(BK$2:BK$149,$CB$2:$CB$149,Table1[[#This Row],[BAĞLANTI]])</f>
        <v>0</v>
      </c>
      <c r="BL185" s="8">
        <f>+SUMIFS(BL$2:BL$149,$CB$2:$CB$149,Table1[[#This Row],[BAĞLANTI]])</f>
        <v>0</v>
      </c>
      <c r="BM185" s="8">
        <f>+SUMIFS(BM$2:BM$149,$CB$2:$CB$149,Table1[[#This Row],[BAĞLANTI]])</f>
        <v>0</v>
      </c>
      <c r="BN185" s="8">
        <f>+SUMIFS(BN$2:BN$149,$CB$2:$CB$149,Table1[[#This Row],[BAĞLANTI]])</f>
        <v>0</v>
      </c>
      <c r="BO185" s="8">
        <f>+SUMIFS(BO$2:BO$149,$CB$2:$CB$149,Table1[[#This Row],[BAĞLANTI]])</f>
        <v>0</v>
      </c>
      <c r="BP185" s="8">
        <f>+SUMIFS(BP$2:BP$149,$CB$2:$CB$149,Table1[[#This Row],[BAĞLANTI]])</f>
        <v>0</v>
      </c>
      <c r="BQ185" s="8">
        <f>+SUMIFS(BQ$2:BQ$149,$CB$2:$CB$149,Table1[[#This Row],[BAĞLANTI]])</f>
        <v>0</v>
      </c>
      <c r="BR185" s="8">
        <f>+SUMIFS(BR$2:BR$149,$CB$2:$CB$149,Table1[[#This Row],[BAĞLANTI]])</f>
        <v>0</v>
      </c>
      <c r="BS185" s="8">
        <f>+SUMIFS(BS$2:BS$149,$CB$2:$CB$149,Table1[[#This Row],[BAĞLANTI]])</f>
        <v>0</v>
      </c>
      <c r="BT185" s="8">
        <f>+SUMIFS(BT$2:BT$149,$CB$2:$CB$149,Table1[[#This Row],[BAĞLANTI]])</f>
        <v>0</v>
      </c>
      <c r="BU185" s="8">
        <f>+SUMIFS(BU$2:BU$149,$CB$2:$CB$149,Table1[[#This Row],[BAĞLANTI]])</f>
        <v>0</v>
      </c>
      <c r="BV185" s="8">
        <f>+SUMIFS(BV$2:BV$149,$CB$2:$CB$149,Table1[[#This Row],[BAĞLANTI]])</f>
        <v>0</v>
      </c>
      <c r="BW185" s="8">
        <f>+SUMIFS(BW$2:BW$149,$CB$2:$CB$149,Table1[[#This Row],[BAĞLANTI]])</f>
        <v>0</v>
      </c>
      <c r="BX185" s="8">
        <f>+SUMIFS(BX$2:BX$149,$CB$2:$CB$149,Table1[[#This Row],[BAĞLANTI]])</f>
        <v>0</v>
      </c>
      <c r="BY185" s="8">
        <f>+SUMIFS(BY$2:BY$149,$CB$2:$CB$149,Table1[[#This Row],[BAĞLANTI]])</f>
        <v>0</v>
      </c>
      <c r="BZ185" s="8">
        <f>+SUMIFS(BZ$2:BZ$149,$CB$2:$CB$149,Table1[[#This Row],[BAĞLANTI]])</f>
        <v>0</v>
      </c>
      <c r="CA185" s="8">
        <f>+SUMIFS(CA$2:CA$149,$CB$2:$CB$149,Table1[[#This Row],[BAĞLANTI]])</f>
        <v>0</v>
      </c>
      <c r="CB185" s="8" t="s">
        <v>5388</v>
      </c>
    </row>
    <row r="186" spans="1:80">
      <c r="A186" s="3" t="s">
        <v>5444</v>
      </c>
      <c r="B186" t="s">
        <v>14</v>
      </c>
      <c r="C186" t="s">
        <v>235</v>
      </c>
      <c r="D186" t="s">
        <v>73</v>
      </c>
      <c r="E186" t="s">
        <v>4975</v>
      </c>
      <c r="F186" s="77" t="s">
        <v>4973</v>
      </c>
      <c r="G186" t="s">
        <v>4983</v>
      </c>
      <c r="H186" s="3" t="s">
        <v>4984</v>
      </c>
      <c r="I186" s="3" t="s">
        <v>5194</v>
      </c>
      <c r="J186" s="78"/>
      <c r="K186" s="78"/>
      <c r="M186" s="78"/>
      <c r="N186" s="8">
        <f>+SUMIFS(N$2:N$149,$CB$2:$CB$149,Table1[[#This Row],[BAĞLANTI]])</f>
        <v>0</v>
      </c>
      <c r="O186" s="8">
        <f>+SUMIFS(O$2:O$149,$CB$2:$CB$149,Table1[[#This Row],[BAĞLANTI]])</f>
        <v>0</v>
      </c>
      <c r="P186" s="8">
        <f>+SUMIFS(P$2:P$149,$CB$2:$CB$149,Table1[[#This Row],[BAĞLANTI]])</f>
        <v>0</v>
      </c>
      <c r="Q186" s="8">
        <f>+SUMIFS(Q$2:Q$149,$CB$2:$CB$149,Table1[[#This Row],[BAĞLANTI]])</f>
        <v>0</v>
      </c>
      <c r="R186" s="8">
        <f>+SUMIFS(R$2:R$149,$CB$2:$CB$149,Table1[[#This Row],[BAĞLANTI]])</f>
        <v>6267</v>
      </c>
      <c r="S186" s="8">
        <f>+SUMIFS(S$2:S$149,$CB$2:$CB$149,Table1[[#This Row],[BAĞLANTI]])</f>
        <v>1581</v>
      </c>
      <c r="T186" s="8">
        <f>+SUMIFS(T$2:T$149,$CB$2:$CB$149,Table1[[#This Row],[BAĞLANTI]])</f>
        <v>0</v>
      </c>
      <c r="U186" s="8">
        <f>+SUMIFS(U$2:U$149,$CB$2:$CB$149,Table1[[#This Row],[BAĞLANTI]])</f>
        <v>0</v>
      </c>
      <c r="V186" s="8">
        <f>+SUMIFS(V$2:V$149,$CB$2:$CB$149,Table1[[#This Row],[BAĞLANTI]])</f>
        <v>605</v>
      </c>
      <c r="W186" s="8">
        <f>+SUMIFS(W$2:W$149,$CB$2:$CB$149,Table1[[#This Row],[BAĞLANTI]])</f>
        <v>0</v>
      </c>
      <c r="X186" s="10">
        <f>+SUMIFS(X$2:X$149,$CB$2:$CB$149,Table1[[#This Row],[BAĞLANTI]])</f>
        <v>0</v>
      </c>
      <c r="Y186" s="8">
        <f>+SUMIFS(Y$2:Y$149,$CB$2:$CB$149,Table1[[#This Row],[BAĞLANTI]])</f>
        <v>20.684169862416525</v>
      </c>
      <c r="Z186" s="8">
        <f>+SUMIFS(Z$2:Z$149,$CB$2:$CB$149,Table1[[#This Row],[BAĞLANTI]])</f>
        <v>14.119200633336726</v>
      </c>
      <c r="AA186" s="8">
        <f>+SUMIFS(AA$2:AA$149,$CB$2:$CB$149,Table1[[#This Row],[BAĞLANTI]])</f>
        <v>22.000629830680609</v>
      </c>
      <c r="AB186" s="8">
        <f>+SUMIFS(AB$2:AB$149,$CB$2:$CB$149,Table1[[#This Row],[BAĞLANTI]])</f>
        <v>15.435660601600809</v>
      </c>
      <c r="AC186" s="8">
        <f>+SUMIFS(AC$2:AC$149,$CB$2:$CB$149,Table1[[#This Row],[BAĞLANTI]])</f>
        <v>19.731717949298265</v>
      </c>
      <c r="AD186" s="8">
        <f>+SUMIFS(AD$2:AD$149,$CB$2:$CB$149,Table1[[#This Row],[BAĞLANTI]])</f>
        <v>42.521222251518353</v>
      </c>
      <c r="AE186" s="8">
        <f>+SUMIFS(AE$2:AE$149,$CB$2:$CB$149,Table1[[#This Row],[BAĞLANTI]])</f>
        <v>37.558001530660576</v>
      </c>
      <c r="AF186" s="8">
        <f>+SUMIFS(AF$2:AF$149,$CB$2:$CB$149,Table1[[#This Row],[BAĞLANTI]])</f>
        <v>41.038872496405212</v>
      </c>
      <c r="AG186" s="8">
        <f>+SUMIFS(AG$2:AG$149,$CB$2:$CB$149,Table1[[#This Row],[BAĞLANTI]])</f>
        <v>36.241541562396584</v>
      </c>
      <c r="AH186" s="8">
        <f>+SUMIFS(AH$2:AH$149,$CB$2:$CB$149,Table1[[#This Row],[BAĞLANTI]])</f>
        <v>36.241541562396584</v>
      </c>
      <c r="AI186" s="8">
        <f>+SUMIFS(AI$2:AI$149,$CB$2:$CB$149,Table1[[#This Row],[BAĞLANTI]])</f>
        <v>30.922376728600501</v>
      </c>
      <c r="AJ186" s="8">
        <f>+SUMIFS(AJ$2:AJ$149,$CB$2:$CB$149,Table1[[#This Row],[BAĞLANTI]])</f>
        <v>30.922376728600501</v>
      </c>
      <c r="AK186" s="8">
        <f>+SUMIFS(AK$2:AK$149,$CB$2:$CB$149,Table1[[#This Row],[BAĞLANTI]])</f>
        <v>29.180432107679124</v>
      </c>
      <c r="AL186" s="8">
        <f>+SUMIFS(AL$2:AL$149,$CB$2:$CB$149,Table1[[#This Row],[BAĞLANTI]])</f>
        <v>29.180432107679124</v>
      </c>
      <c r="AM186" s="8">
        <f>+SUMIFS(AM$2:AM$149,$CB$2:$CB$149,Table1[[#This Row],[BAĞLANTI]])</f>
        <v>27.568185247811478</v>
      </c>
      <c r="AN186" s="8">
        <f>+SUMIFS(AN$2:AN$149,$CB$2:$CB$149,Table1[[#This Row],[BAĞLANTI]])</f>
        <v>21.003216018731589</v>
      </c>
      <c r="AO186" s="8">
        <f>+SUMIFS(AO$2:AO$149,$CB$2:$CB$149,Table1[[#This Row],[BAĞLANTI]])</f>
        <v>21.860253954539377</v>
      </c>
      <c r="AP186" s="8">
        <f>+SUMIFS(AP$2:AP$149,$CB$2:$CB$149,Table1[[#This Row],[BAĞLANTI]])</f>
        <v>40.309357246494969</v>
      </c>
      <c r="AQ186" s="8">
        <f>+SUMIFS(AQ$2:AQ$149,$CB$2:$CB$149,Table1[[#This Row],[BAĞLANTI]])</f>
        <v>45.628522080290971</v>
      </c>
      <c r="AR186" s="8">
        <f>+SUMIFS(AR$2:AR$149,$CB$2:$CB$149,Table1[[#This Row],[BAĞLANTI]])</f>
        <v>45.628522080290971</v>
      </c>
      <c r="AS186" s="8">
        <f>+SUMIFS(AS$2:AS$149,$CB$2:$CB$149,Table1[[#This Row],[BAĞLANTI]])</f>
        <v>45.628522080290971</v>
      </c>
      <c r="AT186" s="8">
        <f>+SUMIFS(AT$2:AT$149,$CB$2:$CB$149,Table1[[#This Row],[BAĞLANTI]])</f>
        <v>40.309357246494969</v>
      </c>
      <c r="AU186" s="8">
        <f>+SUMIFS(AU$2:AU$149,$CB$2:$CB$149,Table1[[#This Row],[BAĞLANTI]])</f>
        <v>67.633067129573391</v>
      </c>
      <c r="AV186" s="8">
        <f>+SUMIFS(AV$2:AV$149,$CB$2:$CB$149,Table1[[#This Row],[BAĞLANTI]])</f>
        <v>67.633067129573391</v>
      </c>
      <c r="AW186" s="8">
        <f>+SUMIFS(AW$2:AW$149,$CB$2:$CB$149,Table1[[#This Row],[BAĞLANTI]])</f>
        <v>52.519753832638401</v>
      </c>
      <c r="AX186" s="8">
        <f>+SUMIFS(AX$2:AX$149,$CB$2:$CB$149,Table1[[#This Row],[BAĞLANTI]])</f>
        <v>0</v>
      </c>
      <c r="AY186" s="8">
        <f>+SUMIFS(AY$2:AY$149,$CB$2:$CB$149,Table1[[#This Row],[BAĞLANTI]])</f>
        <v>0</v>
      </c>
      <c r="AZ186" s="8">
        <f>+SUMIFS(AZ$2:AZ$149,$CB$2:$CB$149,Table1[[#This Row],[BAĞLANTI]])</f>
        <v>0</v>
      </c>
      <c r="BA186" s="8">
        <f>+SUMIFS(BA$2:BA$149,$CB$2:$CB$149,Table1[[#This Row],[BAĞLANTI]])</f>
        <v>0</v>
      </c>
      <c r="BB186" s="8">
        <f>+SUMIFS(BB$2:BB$149,$CB$2:$CB$149,Table1[[#This Row],[BAĞLANTI]])</f>
        <v>0</v>
      </c>
      <c r="BC186" s="8">
        <f>+SUMIFS(BC$2:BC$149,$CB$2:$CB$149,Table1[[#This Row],[BAĞLANTI]])</f>
        <v>0</v>
      </c>
      <c r="BD186" s="8">
        <f>+SUMIFS(BD$2:BD$149,$CB$2:$CB$149,Table1[[#This Row],[BAĞLANTI]])</f>
        <v>0</v>
      </c>
      <c r="BE186" s="8">
        <f>+SUMIFS(BE$2:BE$149,$CB$2:$CB$149,Table1[[#This Row],[BAĞLANTI]])</f>
        <v>0</v>
      </c>
      <c r="BF186" s="8">
        <f>+SUMIFS(BF$2:BF$149,$CB$2:$CB$149,Table1[[#This Row],[BAĞLANTI]])</f>
        <v>0</v>
      </c>
      <c r="BG186" s="8">
        <f>+SUMIFS(BG$2:BG$149,$CB$2:$CB$149,Table1[[#This Row],[BAĞLANTI]])</f>
        <v>0</v>
      </c>
      <c r="BH186" s="8">
        <f>+SUMIFS(BH$2:BH$149,$CB$2:$CB$149,Table1[[#This Row],[BAĞLANTI]])</f>
        <v>0</v>
      </c>
      <c r="BI186" s="8">
        <f>+SUMIFS(BI$2:BI$149,$CB$2:$CB$149,Table1[[#This Row],[BAĞLANTI]])</f>
        <v>0</v>
      </c>
      <c r="BJ186" s="8">
        <f>+SUMIFS(BJ$2:BJ$149,$CB$2:$CB$149,Table1[[#This Row],[BAĞLANTI]])</f>
        <v>0</v>
      </c>
      <c r="BK186" s="8">
        <f>+SUMIFS(BK$2:BK$149,$CB$2:$CB$149,Table1[[#This Row],[BAĞLANTI]])</f>
        <v>0</v>
      </c>
      <c r="BL186" s="8">
        <f>+SUMIFS(BL$2:BL$149,$CB$2:$CB$149,Table1[[#This Row],[BAĞLANTI]])</f>
        <v>0</v>
      </c>
      <c r="BM186" s="8">
        <f>+SUMIFS(BM$2:BM$149,$CB$2:$CB$149,Table1[[#This Row],[BAĞLANTI]])</f>
        <v>0</v>
      </c>
      <c r="BN186" s="8">
        <f>+SUMIFS(BN$2:BN$149,$CB$2:$CB$149,Table1[[#This Row],[BAĞLANTI]])</f>
        <v>0</v>
      </c>
      <c r="BO186" s="8">
        <f>+SUMIFS(BO$2:BO$149,$CB$2:$CB$149,Table1[[#This Row],[BAĞLANTI]])</f>
        <v>0</v>
      </c>
      <c r="BP186" s="8">
        <f>+SUMIFS(BP$2:BP$149,$CB$2:$CB$149,Table1[[#This Row],[BAĞLANTI]])</f>
        <v>0</v>
      </c>
      <c r="BQ186" s="8">
        <f>+SUMIFS(BQ$2:BQ$149,$CB$2:$CB$149,Table1[[#This Row],[BAĞLANTI]])</f>
        <v>0</v>
      </c>
      <c r="BR186" s="8">
        <f>+SUMIFS(BR$2:BR$149,$CB$2:$CB$149,Table1[[#This Row],[BAĞLANTI]])</f>
        <v>0</v>
      </c>
      <c r="BS186" s="8">
        <f>+SUMIFS(BS$2:BS$149,$CB$2:$CB$149,Table1[[#This Row],[BAĞLANTI]])</f>
        <v>0</v>
      </c>
      <c r="BT186" s="8">
        <f>+SUMIFS(BT$2:BT$149,$CB$2:$CB$149,Table1[[#This Row],[BAĞLANTI]])</f>
        <v>0</v>
      </c>
      <c r="BU186" s="8">
        <f>+SUMIFS(BU$2:BU$149,$CB$2:$CB$149,Table1[[#This Row],[BAĞLANTI]])</f>
        <v>0</v>
      </c>
      <c r="BV186" s="8">
        <f>+SUMIFS(BV$2:BV$149,$CB$2:$CB$149,Table1[[#This Row],[BAĞLANTI]])</f>
        <v>0</v>
      </c>
      <c r="BW186" s="8">
        <f>+SUMIFS(BW$2:BW$149,$CB$2:$CB$149,Table1[[#This Row],[BAĞLANTI]])</f>
        <v>0</v>
      </c>
      <c r="BX186" s="8">
        <f>+SUMIFS(BX$2:BX$149,$CB$2:$CB$149,Table1[[#This Row],[BAĞLANTI]])</f>
        <v>0</v>
      </c>
      <c r="BY186" s="8">
        <f>+SUMIFS(BY$2:BY$149,$CB$2:$CB$149,Table1[[#This Row],[BAĞLANTI]])</f>
        <v>0</v>
      </c>
      <c r="BZ186" s="8">
        <f>+SUMIFS(BZ$2:BZ$149,$CB$2:$CB$149,Table1[[#This Row],[BAĞLANTI]])</f>
        <v>0</v>
      </c>
      <c r="CA186" s="8">
        <f>+SUMIFS(CA$2:CA$149,$CB$2:$CB$149,Table1[[#This Row],[BAĞLANTI]])</f>
        <v>0</v>
      </c>
      <c r="CB186" s="8" t="s">
        <v>5389</v>
      </c>
    </row>
    <row r="187" spans="1:80">
      <c r="A187" s="3" t="s">
        <v>5444</v>
      </c>
      <c r="B187" t="s">
        <v>14</v>
      </c>
      <c r="C187" t="s">
        <v>235</v>
      </c>
      <c r="D187" t="s">
        <v>76</v>
      </c>
      <c r="E187" t="s">
        <v>5184</v>
      </c>
      <c r="F187" s="77" t="s">
        <v>4973</v>
      </c>
      <c r="G187" t="s">
        <v>4983</v>
      </c>
      <c r="H187" s="3" t="s">
        <v>4984</v>
      </c>
      <c r="I187" s="3" t="s">
        <v>5194</v>
      </c>
      <c r="J187" s="78"/>
      <c r="K187" s="78"/>
      <c r="M187" s="78"/>
      <c r="N187" s="8">
        <f>+SUMIFS(N$2:N$149,$CB$2:$CB$149,Table1[[#This Row],[BAĞLANTI]])</f>
        <v>0</v>
      </c>
      <c r="O187" s="8">
        <f>+SUMIFS(O$2:O$149,$CB$2:$CB$149,Table1[[#This Row],[BAĞLANTI]])</f>
        <v>0</v>
      </c>
      <c r="P187" s="8">
        <f>+SUMIFS(P$2:P$149,$CB$2:$CB$149,Table1[[#This Row],[BAĞLANTI]])</f>
        <v>0</v>
      </c>
      <c r="Q187" s="8">
        <f>+SUMIFS(Q$2:Q$149,$CB$2:$CB$149,Table1[[#This Row],[BAĞLANTI]])</f>
        <v>0</v>
      </c>
      <c r="R187" s="8">
        <f>+SUMIFS(R$2:R$149,$CB$2:$CB$149,Table1[[#This Row],[BAĞLANTI]])</f>
        <v>308</v>
      </c>
      <c r="S187" s="8">
        <f>+SUMIFS(S$2:S$149,$CB$2:$CB$149,Table1[[#This Row],[BAĞLANTI]])</f>
        <v>772</v>
      </c>
      <c r="T187" s="8">
        <f>+SUMIFS(T$2:T$149,$CB$2:$CB$149,Table1[[#This Row],[BAĞLANTI]])</f>
        <v>0</v>
      </c>
      <c r="U187" s="8">
        <f>+SUMIFS(U$2:U$149,$CB$2:$CB$149,Table1[[#This Row],[BAĞLANTI]])</f>
        <v>0</v>
      </c>
      <c r="V187" s="8">
        <f>+SUMIFS(V$2:V$149,$CB$2:$CB$149,Table1[[#This Row],[BAĞLANTI]])</f>
        <v>1176</v>
      </c>
      <c r="W187" s="8">
        <f>+SUMIFS(W$2:W$149,$CB$2:$CB$149,Table1[[#This Row],[BAĞLANTI]])</f>
        <v>0</v>
      </c>
      <c r="X187" s="10">
        <f>+SUMIFS(X$2:X$149,$CB$2:$CB$149,Table1[[#This Row],[BAĞLANTI]])</f>
        <v>-718</v>
      </c>
      <c r="Y187" s="8">
        <f>+SUMIFS(Y$2:Y$149,$CB$2:$CB$149,Table1[[#This Row],[BAĞLANTI]])</f>
        <v>51.763220325003807</v>
      </c>
      <c r="Z187" s="8">
        <f>+SUMIFS(Z$2:Z$149,$CB$2:$CB$149,Table1[[#This Row],[BAĞLANTI]])</f>
        <v>35.334040382462639</v>
      </c>
      <c r="AA187" s="8">
        <f>+SUMIFS(AA$2:AA$149,$CB$2:$CB$149,Table1[[#This Row],[BAĞLANTI]])</f>
        <v>55.057730466796848</v>
      </c>
      <c r="AB187" s="8">
        <f>+SUMIFS(AB$2:AB$149,$CB$2:$CB$149,Table1[[#This Row],[BAĞLANTI]])</f>
        <v>38.628550524255687</v>
      </c>
      <c r="AC187" s="8">
        <f>+SUMIFS(AC$2:AC$149,$CB$2:$CB$149,Table1[[#This Row],[BAĞLANTI]])</f>
        <v>50.428352358964872</v>
      </c>
      <c r="AD187" s="8">
        <f>+SUMIFS(AD$2:AD$149,$CB$2:$CB$149,Table1[[#This Row],[BAĞLANTI]])</f>
        <v>107.46028258097</v>
      </c>
      <c r="AE187" s="8">
        <f>+SUMIFS(AE$2:AE$149,$CB$2:$CB$149,Table1[[#This Row],[BAĞLANTI]])</f>
        <v>95.039562319810329</v>
      </c>
      <c r="AF187" s="8">
        <f>+SUMIFS(AF$2:AF$149,$CB$2:$CB$149,Table1[[#This Row],[BAĞLANTI]])</f>
        <v>81.728073240565877</v>
      </c>
      <c r="AG187" s="8">
        <f>+SUMIFS(AG$2:AG$149,$CB$2:$CB$149,Table1[[#This Row],[BAĞLANTI]])</f>
        <v>91.745052178017517</v>
      </c>
      <c r="AH187" s="8">
        <f>+SUMIFS(AH$2:AH$149,$CB$2:$CB$149,Table1[[#This Row],[BAĞLANTI]])</f>
        <v>91.745052178017517</v>
      </c>
      <c r="AI187" s="8">
        <f>+SUMIFS(AI$2:AI$149,$CB$2:$CB$149,Table1[[#This Row],[BAĞLANTI]])</f>
        <v>78.433563098772851</v>
      </c>
      <c r="AJ187" s="8">
        <f>+SUMIFS(AJ$2:AJ$149,$CB$2:$CB$149,Table1[[#This Row],[BAĞLANTI]])</f>
        <v>78.433563098772851</v>
      </c>
      <c r="AK187" s="8">
        <f>+SUMIFS(AK$2:AK$149,$CB$2:$CB$149,Table1[[#This Row],[BAĞLANTI]])</f>
        <v>74.07425528963779</v>
      </c>
      <c r="AL187" s="8">
        <f>+SUMIFS(AL$2:AL$149,$CB$2:$CB$149,Table1[[#This Row],[BAĞLANTI]])</f>
        <v>74.07425528963779</v>
      </c>
      <c r="AM187" s="8">
        <f>+SUMIFS(AM$2:AM$149,$CB$2:$CB$149,Table1[[#This Row],[BAĞLANTI]])</f>
        <v>70.039522932442082</v>
      </c>
      <c r="AN187" s="8">
        <f>+SUMIFS(AN$2:AN$149,$CB$2:$CB$149,Table1[[#This Row],[BAĞLANTI]])</f>
        <v>53.610342989900687</v>
      </c>
      <c r="AO187" s="8">
        <f>+SUMIFS(AO$2:AO$149,$CB$2:$CB$149,Table1[[#This Row],[BAĞLANTI]])</f>
        <v>55.755125390799122</v>
      </c>
      <c r="AP187" s="8">
        <f>+SUMIFS(AP$2:AP$149,$CB$2:$CB$149,Table1[[#This Row],[BAĞLANTI]])</f>
        <v>101.9249743551259</v>
      </c>
      <c r="AQ187" s="8">
        <f>+SUMIFS(AQ$2:AQ$149,$CB$2:$CB$149,Table1[[#This Row],[BAĞLANTI]])</f>
        <v>115.23646343437034</v>
      </c>
      <c r="AR187" s="8">
        <f>+SUMIFS(AR$2:AR$149,$CB$2:$CB$149,Table1[[#This Row],[BAĞLANTI]])</f>
        <v>115.23646343437034</v>
      </c>
      <c r="AS187" s="8">
        <f>+SUMIFS(AS$2:AS$149,$CB$2:$CB$149,Table1[[#This Row],[BAĞLANTI]])</f>
        <v>115.23646343437034</v>
      </c>
      <c r="AT187" s="8">
        <f>+SUMIFS(AT$2:AT$149,$CB$2:$CB$149,Table1[[#This Row],[BAĞLANTI]])</f>
        <v>101.9249743551259</v>
      </c>
      <c r="AU187" s="8">
        <f>+SUMIFS(AU$2:AU$149,$CB$2:$CB$149,Table1[[#This Row],[BAĞLANTI]])</f>
        <v>170.30399194113957</v>
      </c>
      <c r="AV187" s="8">
        <f>+SUMIFS(AV$2:AV$149,$CB$2:$CB$149,Table1[[#This Row],[BAĞLANTI]])</f>
        <v>170.30399194113957</v>
      </c>
      <c r="AW187" s="8">
        <f>+SUMIFS(AW$2:AW$149,$CB$2:$CB$149,Table1[[#This Row],[BAĞLANTI]])</f>
        <v>132.48213245953025</v>
      </c>
      <c r="AX187" s="8">
        <f>+SUMIFS(AX$2:AX$149,$CB$2:$CB$149,Table1[[#This Row],[BAĞLANTI]])</f>
        <v>0</v>
      </c>
      <c r="AY187" s="8">
        <f>+SUMIFS(AY$2:AY$149,$CB$2:$CB$149,Table1[[#This Row],[BAĞLANTI]])</f>
        <v>0</v>
      </c>
      <c r="AZ187" s="8">
        <f>+SUMIFS(AZ$2:AZ$149,$CB$2:$CB$149,Table1[[#This Row],[BAĞLANTI]])</f>
        <v>0</v>
      </c>
      <c r="BA187" s="8">
        <f>+SUMIFS(BA$2:BA$149,$CB$2:$CB$149,Table1[[#This Row],[BAĞLANTI]])</f>
        <v>0</v>
      </c>
      <c r="BB187" s="8">
        <f>+SUMIFS(BB$2:BB$149,$CB$2:$CB$149,Table1[[#This Row],[BAĞLANTI]])</f>
        <v>0</v>
      </c>
      <c r="BC187" s="8">
        <f>+SUMIFS(BC$2:BC$149,$CB$2:$CB$149,Table1[[#This Row],[BAĞLANTI]])</f>
        <v>0</v>
      </c>
      <c r="BD187" s="8">
        <f>+SUMIFS(BD$2:BD$149,$CB$2:$CB$149,Table1[[#This Row],[BAĞLANTI]])</f>
        <v>0</v>
      </c>
      <c r="BE187" s="8">
        <f>+SUMIFS(BE$2:BE$149,$CB$2:$CB$149,Table1[[#This Row],[BAĞLANTI]])</f>
        <v>0</v>
      </c>
      <c r="BF187" s="8">
        <f>+SUMIFS(BF$2:BF$149,$CB$2:$CB$149,Table1[[#This Row],[BAĞLANTI]])</f>
        <v>0</v>
      </c>
      <c r="BG187" s="8">
        <f>+SUMIFS(BG$2:BG$149,$CB$2:$CB$149,Table1[[#This Row],[BAĞLANTI]])</f>
        <v>0</v>
      </c>
      <c r="BH187" s="8">
        <f>+SUMIFS(BH$2:BH$149,$CB$2:$CB$149,Table1[[#This Row],[BAĞLANTI]])</f>
        <v>0</v>
      </c>
      <c r="BI187" s="8">
        <f>+SUMIFS(BI$2:BI$149,$CB$2:$CB$149,Table1[[#This Row],[BAĞLANTI]])</f>
        <v>0</v>
      </c>
      <c r="BJ187" s="8">
        <f>+SUMIFS(BJ$2:BJ$149,$CB$2:$CB$149,Table1[[#This Row],[BAĞLANTI]])</f>
        <v>0</v>
      </c>
      <c r="BK187" s="8">
        <f>+SUMIFS(BK$2:BK$149,$CB$2:$CB$149,Table1[[#This Row],[BAĞLANTI]])</f>
        <v>0</v>
      </c>
      <c r="BL187" s="8">
        <f>+SUMIFS(BL$2:BL$149,$CB$2:$CB$149,Table1[[#This Row],[BAĞLANTI]])</f>
        <v>0</v>
      </c>
      <c r="BM187" s="8">
        <f>+SUMIFS(BM$2:BM$149,$CB$2:$CB$149,Table1[[#This Row],[BAĞLANTI]])</f>
        <v>0</v>
      </c>
      <c r="BN187" s="8">
        <f>+SUMIFS(BN$2:BN$149,$CB$2:$CB$149,Table1[[#This Row],[BAĞLANTI]])</f>
        <v>0</v>
      </c>
      <c r="BO187" s="8">
        <f>+SUMIFS(BO$2:BO$149,$CB$2:$CB$149,Table1[[#This Row],[BAĞLANTI]])</f>
        <v>0</v>
      </c>
      <c r="BP187" s="8">
        <f>+SUMIFS(BP$2:BP$149,$CB$2:$CB$149,Table1[[#This Row],[BAĞLANTI]])</f>
        <v>0</v>
      </c>
      <c r="BQ187" s="8">
        <f>+SUMIFS(BQ$2:BQ$149,$CB$2:$CB$149,Table1[[#This Row],[BAĞLANTI]])</f>
        <v>0</v>
      </c>
      <c r="BR187" s="8">
        <f>+SUMIFS(BR$2:BR$149,$CB$2:$CB$149,Table1[[#This Row],[BAĞLANTI]])</f>
        <v>0</v>
      </c>
      <c r="BS187" s="8">
        <f>+SUMIFS(BS$2:BS$149,$CB$2:$CB$149,Table1[[#This Row],[BAĞLANTI]])</f>
        <v>0</v>
      </c>
      <c r="BT187" s="8">
        <f>+SUMIFS(BT$2:BT$149,$CB$2:$CB$149,Table1[[#This Row],[BAĞLANTI]])</f>
        <v>0</v>
      </c>
      <c r="BU187" s="8">
        <f>+SUMIFS(BU$2:BU$149,$CB$2:$CB$149,Table1[[#This Row],[BAĞLANTI]])</f>
        <v>0</v>
      </c>
      <c r="BV187" s="8">
        <f>+SUMIFS(BV$2:BV$149,$CB$2:$CB$149,Table1[[#This Row],[BAĞLANTI]])</f>
        <v>0</v>
      </c>
      <c r="BW187" s="8">
        <f>+SUMIFS(BW$2:BW$149,$CB$2:$CB$149,Table1[[#This Row],[BAĞLANTI]])</f>
        <v>0</v>
      </c>
      <c r="BX187" s="8">
        <f>+SUMIFS(BX$2:BX$149,$CB$2:$CB$149,Table1[[#This Row],[BAĞLANTI]])</f>
        <v>0</v>
      </c>
      <c r="BY187" s="8">
        <f>+SUMIFS(BY$2:BY$149,$CB$2:$CB$149,Table1[[#This Row],[BAĞLANTI]])</f>
        <v>0</v>
      </c>
      <c r="BZ187" s="8">
        <f>+SUMIFS(BZ$2:BZ$149,$CB$2:$CB$149,Table1[[#This Row],[BAĞLANTI]])</f>
        <v>0</v>
      </c>
      <c r="CA187" s="8">
        <f>+SUMIFS(CA$2:CA$149,$CB$2:$CB$149,Table1[[#This Row],[BAĞLANTI]])</f>
        <v>0</v>
      </c>
      <c r="CB187" s="8" t="s">
        <v>5390</v>
      </c>
    </row>
    <row r="188" spans="1:80">
      <c r="A188" s="3" t="s">
        <v>5444</v>
      </c>
      <c r="B188" t="s">
        <v>14</v>
      </c>
      <c r="C188" t="s">
        <v>235</v>
      </c>
      <c r="D188" t="s">
        <v>5181</v>
      </c>
      <c r="E188" t="s">
        <v>5183</v>
      </c>
      <c r="F188" s="77" t="s">
        <v>4973</v>
      </c>
      <c r="G188" t="s">
        <v>4983</v>
      </c>
      <c r="H188" s="3" t="s">
        <v>4984</v>
      </c>
      <c r="I188" s="3" t="s">
        <v>5194</v>
      </c>
      <c r="J188" s="78"/>
      <c r="K188" s="78"/>
      <c r="M188" s="78"/>
      <c r="N188" s="8">
        <f>+SUMIFS(N$2:N$149,$CB$2:$CB$149,Table1[[#This Row],[BAĞLANTI]])</f>
        <v>0</v>
      </c>
      <c r="O188" s="8">
        <f>+SUMIFS(O$2:O$149,$CB$2:$CB$149,Table1[[#This Row],[BAĞLANTI]])</f>
        <v>0</v>
      </c>
      <c r="P188" s="8">
        <f>+SUMIFS(P$2:P$149,$CB$2:$CB$149,Table1[[#This Row],[BAĞLANTI]])</f>
        <v>9522</v>
      </c>
      <c r="Q188" s="8">
        <f>+SUMIFS(Q$2:Q$149,$CB$2:$CB$149,Table1[[#This Row],[BAĞLANTI]])</f>
        <v>11805</v>
      </c>
      <c r="R188" s="8">
        <f>+SUMIFS(R$2:R$149,$CB$2:$CB$149,Table1[[#This Row],[BAĞLANTI]])</f>
        <v>2556</v>
      </c>
      <c r="S188" s="8">
        <f>+SUMIFS(S$2:S$149,$CB$2:$CB$149,Table1[[#This Row],[BAĞLANTI]])</f>
        <v>0</v>
      </c>
      <c r="T188" s="8">
        <f>+SUMIFS(T$2:T$149,$CB$2:$CB$149,Table1[[#This Row],[BAĞLANTI]])</f>
        <v>0</v>
      </c>
      <c r="U188" s="8">
        <f>+SUMIFS(U$2:U$149,$CB$2:$CB$149,Table1[[#This Row],[BAĞLANTI]])</f>
        <v>1</v>
      </c>
      <c r="V188" s="8">
        <f>+SUMIFS(V$2:V$149,$CB$2:$CB$149,Table1[[#This Row],[BAĞLANTI]])</f>
        <v>0</v>
      </c>
      <c r="W188" s="8">
        <f>+SUMIFS(W$2:W$149,$CB$2:$CB$149,Table1[[#This Row],[BAĞLANTI]])</f>
        <v>76</v>
      </c>
      <c r="X188" s="10">
        <f>+SUMIFS(X$2:X$149,$CB$2:$CB$149,Table1[[#This Row],[BAĞLANTI]])</f>
        <v>752</v>
      </c>
      <c r="Y188" s="8">
        <f>+SUMIFS(Y$2:Y$149,$CB$2:$CB$149,Table1[[#This Row],[BAĞLANTI]])</f>
        <v>776.96452919380147</v>
      </c>
      <c r="Z188" s="8">
        <f>+SUMIFS(Z$2:Z$149,$CB$2:$CB$149,Table1[[#This Row],[BAĞLANTI]])</f>
        <v>530.36298510612107</v>
      </c>
      <c r="AA188" s="8">
        <f>+SUMIFS(AA$2:AA$149,$CB$2:$CB$149,Table1[[#This Row],[BAĞLANTI]])</f>
        <v>826.41503681621816</v>
      </c>
      <c r="AB188" s="8">
        <f>+SUMIFS(AB$2:AB$149,$CB$2:$CB$149,Table1[[#This Row],[BAĞLANTI]])</f>
        <v>579.81349272853777</v>
      </c>
      <c r="AC188" s="8">
        <f>+SUMIFS(AC$2:AC$149,$CB$2:$CB$149,Table1[[#This Row],[BAĞLANTI]])</f>
        <v>741.18734513575055</v>
      </c>
      <c r="AD188" s="8">
        <f>+SUMIFS(AD$2:AD$149,$CB$2:$CB$149,Table1[[#This Row],[BAĞLANTI]])</f>
        <v>1597.2350665822753</v>
      </c>
      <c r="AE188" s="8">
        <f>+SUMIFS(AE$2:AE$149,$CB$2:$CB$149,Table1[[#This Row],[BAĞLANTI]])</f>
        <v>1410.8003932878423</v>
      </c>
      <c r="AF188" s="8">
        <f>+SUMIFS(AF$2:AF$149,$CB$2:$CB$149,Table1[[#This Row],[BAĞLANTI]])</f>
        <v>1210.9953042615766</v>
      </c>
      <c r="AG188" s="8">
        <f>+SUMIFS(AG$2:AG$149,$CB$2:$CB$149,Table1[[#This Row],[BAĞLANTI]])</f>
        <v>1361.3498856654292</v>
      </c>
      <c r="AH188" s="8">
        <f>+SUMIFS(AH$2:AH$149,$CB$2:$CB$149,Table1[[#This Row],[BAĞLANTI]])</f>
        <v>1361.3498856654292</v>
      </c>
      <c r="AI188" s="8">
        <f>+SUMIFS(AI$2:AI$149,$CB$2:$CB$149,Table1[[#This Row],[BAĞLANTI]])</f>
        <v>1161.5447966391603</v>
      </c>
      <c r="AJ188" s="8">
        <f>+SUMIFS(AJ$2:AJ$149,$CB$2:$CB$149,Table1[[#This Row],[BAĞLANTI]])</f>
        <v>1161.5447966391603</v>
      </c>
      <c r="AK188" s="8">
        <f>+SUMIFS(AK$2:AK$149,$CB$2:$CB$149,Table1[[#This Row],[BAĞLANTI]])</f>
        <v>1426.6696010707367</v>
      </c>
      <c r="AL188" s="8">
        <f>+SUMIFS(AL$2:AL$149,$CB$2:$CB$149,Table1[[#This Row],[BAĞLANTI]])</f>
        <v>1096.1117049908919</v>
      </c>
      <c r="AM188" s="8">
        <f>+SUMIFS(AM$2:AM$149,$CB$2:$CB$149,Table1[[#This Row],[BAĞLANTI]])</f>
        <v>1035.5504820482515</v>
      </c>
      <c r="AN188" s="8">
        <f>+SUMIFS(AN$2:AN$149,$CB$2:$CB$149,Table1[[#This Row],[BAĞLANTI]])</f>
        <v>788.94893796056772</v>
      </c>
      <c r="AO188" s="8">
        <f>+SUMIFS(AO$2:AO$149,$CB$2:$CB$149,Table1[[#This Row],[BAĞLANTI]])</f>
        <v>821.14206346308322</v>
      </c>
      <c r="AP188" s="8">
        <f>+SUMIFS(AP$2:AP$149,$CB$2:$CB$149,Table1[[#This Row],[BAĞLANTI]])</f>
        <v>1514.1502406647096</v>
      </c>
      <c r="AQ188" s="8">
        <f>+SUMIFS(AQ$2:AQ$149,$CB$2:$CB$149,Table1[[#This Row],[BAĞLANTI]])</f>
        <v>1713.9553296909751</v>
      </c>
      <c r="AR188" s="8">
        <f>+SUMIFS(AR$2:AR$149,$CB$2:$CB$149,Table1[[#This Row],[BAĞLANTI]])</f>
        <v>1713.9553296909751</v>
      </c>
      <c r="AS188" s="8">
        <f>+SUMIFS(AS$2:AS$149,$CB$2:$CB$149,Table1[[#This Row],[BAĞLANTI]])</f>
        <v>1713.9553296909751</v>
      </c>
      <c r="AT188" s="8">
        <f>+SUMIFS(AT$2:AT$149,$CB$2:$CB$149,Table1[[#This Row],[BAĞLANTI]])</f>
        <v>1514.1502406647096</v>
      </c>
      <c r="AU188" s="8">
        <f>+SUMIFS(AU$2:AU$149,$CB$2:$CB$149,Table1[[#This Row],[BAĞLANTI]])</f>
        <v>2540.517434820686</v>
      </c>
      <c r="AV188" s="8">
        <f>+SUMIFS(AV$2:AV$149,$CB$2:$CB$149,Table1[[#This Row],[BAĞLANTI]])</f>
        <v>2540.517434820686</v>
      </c>
      <c r="AW188" s="8">
        <f>+SUMIFS(AW$2:AW$149,$CB$2:$CB$149,Table1[[#This Row],[BAĞLANTI]])</f>
        <v>1972.8123527014436</v>
      </c>
      <c r="AX188" s="8">
        <f>+SUMIFS(AX$2:AX$149,$CB$2:$CB$149,Table1[[#This Row],[BAĞLANTI]])</f>
        <v>0</v>
      </c>
      <c r="AY188" s="8">
        <f>+SUMIFS(AY$2:AY$149,$CB$2:$CB$149,Table1[[#This Row],[BAĞLANTI]])</f>
        <v>0</v>
      </c>
      <c r="AZ188" s="8">
        <f>+SUMIFS(AZ$2:AZ$149,$CB$2:$CB$149,Table1[[#This Row],[BAĞLANTI]])</f>
        <v>0</v>
      </c>
      <c r="BA188" s="8">
        <f>+SUMIFS(BA$2:BA$149,$CB$2:$CB$149,Table1[[#This Row],[BAĞLANTI]])</f>
        <v>0</v>
      </c>
      <c r="BB188" s="8">
        <f>+SUMIFS(BB$2:BB$149,$CB$2:$CB$149,Table1[[#This Row],[BAĞLANTI]])</f>
        <v>0</v>
      </c>
      <c r="BC188" s="8">
        <f>+SUMIFS(BC$2:BC$149,$CB$2:$CB$149,Table1[[#This Row],[BAĞLANTI]])</f>
        <v>0</v>
      </c>
      <c r="BD188" s="8">
        <f>+SUMIFS(BD$2:BD$149,$CB$2:$CB$149,Table1[[#This Row],[BAĞLANTI]])</f>
        <v>0</v>
      </c>
      <c r="BE188" s="8">
        <f>+SUMIFS(BE$2:BE$149,$CB$2:$CB$149,Table1[[#This Row],[BAĞLANTI]])</f>
        <v>0</v>
      </c>
      <c r="BF188" s="8">
        <f>+SUMIFS(BF$2:BF$149,$CB$2:$CB$149,Table1[[#This Row],[BAĞLANTI]])</f>
        <v>0</v>
      </c>
      <c r="BG188" s="8">
        <f>+SUMIFS(BG$2:BG$149,$CB$2:$CB$149,Table1[[#This Row],[BAĞLANTI]])</f>
        <v>0</v>
      </c>
      <c r="BH188" s="8">
        <f>+SUMIFS(BH$2:BH$149,$CB$2:$CB$149,Table1[[#This Row],[BAĞLANTI]])</f>
        <v>0</v>
      </c>
      <c r="BI188" s="8">
        <f>+SUMIFS(BI$2:BI$149,$CB$2:$CB$149,Table1[[#This Row],[BAĞLANTI]])</f>
        <v>0</v>
      </c>
      <c r="BJ188" s="8">
        <f>+SUMIFS(BJ$2:BJ$149,$CB$2:$CB$149,Table1[[#This Row],[BAĞLANTI]])</f>
        <v>0</v>
      </c>
      <c r="BK188" s="8">
        <f>+SUMIFS(BK$2:BK$149,$CB$2:$CB$149,Table1[[#This Row],[BAĞLANTI]])</f>
        <v>0</v>
      </c>
      <c r="BL188" s="8">
        <f>+SUMIFS(BL$2:BL$149,$CB$2:$CB$149,Table1[[#This Row],[BAĞLANTI]])</f>
        <v>0</v>
      </c>
      <c r="BM188" s="8">
        <f>+SUMIFS(BM$2:BM$149,$CB$2:$CB$149,Table1[[#This Row],[BAĞLANTI]])</f>
        <v>0</v>
      </c>
      <c r="BN188" s="8">
        <f>+SUMIFS(BN$2:BN$149,$CB$2:$CB$149,Table1[[#This Row],[BAĞLANTI]])</f>
        <v>0</v>
      </c>
      <c r="BO188" s="8">
        <f>+SUMIFS(BO$2:BO$149,$CB$2:$CB$149,Table1[[#This Row],[BAĞLANTI]])</f>
        <v>0</v>
      </c>
      <c r="BP188" s="8">
        <f>+SUMIFS(BP$2:BP$149,$CB$2:$CB$149,Table1[[#This Row],[BAĞLANTI]])</f>
        <v>0</v>
      </c>
      <c r="BQ188" s="8">
        <f>+SUMIFS(BQ$2:BQ$149,$CB$2:$CB$149,Table1[[#This Row],[BAĞLANTI]])</f>
        <v>0</v>
      </c>
      <c r="BR188" s="8">
        <f>+SUMIFS(BR$2:BR$149,$CB$2:$CB$149,Table1[[#This Row],[BAĞLANTI]])</f>
        <v>0</v>
      </c>
      <c r="BS188" s="8">
        <f>+SUMIFS(BS$2:BS$149,$CB$2:$CB$149,Table1[[#This Row],[BAĞLANTI]])</f>
        <v>0</v>
      </c>
      <c r="BT188" s="8">
        <f>+SUMIFS(BT$2:BT$149,$CB$2:$CB$149,Table1[[#This Row],[BAĞLANTI]])</f>
        <v>0</v>
      </c>
      <c r="BU188" s="8">
        <f>+SUMIFS(BU$2:BU$149,$CB$2:$CB$149,Table1[[#This Row],[BAĞLANTI]])</f>
        <v>0</v>
      </c>
      <c r="BV188" s="8">
        <f>+SUMIFS(BV$2:BV$149,$CB$2:$CB$149,Table1[[#This Row],[BAĞLANTI]])</f>
        <v>0</v>
      </c>
      <c r="BW188" s="8">
        <f>+SUMIFS(BW$2:BW$149,$CB$2:$CB$149,Table1[[#This Row],[BAĞLANTI]])</f>
        <v>0</v>
      </c>
      <c r="BX188" s="8">
        <f>+SUMIFS(BX$2:BX$149,$CB$2:$CB$149,Table1[[#This Row],[BAĞLANTI]])</f>
        <v>0</v>
      </c>
      <c r="BY188" s="8">
        <f>+SUMIFS(BY$2:BY$149,$CB$2:$CB$149,Table1[[#This Row],[BAĞLANTI]])</f>
        <v>0</v>
      </c>
      <c r="BZ188" s="8">
        <f>+SUMIFS(BZ$2:BZ$149,$CB$2:$CB$149,Table1[[#This Row],[BAĞLANTI]])</f>
        <v>0</v>
      </c>
      <c r="CA188" s="8">
        <f>+SUMIFS(CA$2:CA$149,$CB$2:$CB$149,Table1[[#This Row],[BAĞLANTI]])</f>
        <v>0</v>
      </c>
      <c r="CB188" s="8" t="s">
        <v>5391</v>
      </c>
    </row>
    <row r="189" spans="1:80">
      <c r="A189" s="3" t="s">
        <v>5444</v>
      </c>
      <c r="B189" t="s">
        <v>15</v>
      </c>
      <c r="C189" t="s">
        <v>240</v>
      </c>
      <c r="D189" t="s">
        <v>71</v>
      </c>
      <c r="E189" t="s">
        <v>4974</v>
      </c>
      <c r="F189" s="77" t="s">
        <v>4973</v>
      </c>
      <c r="G189" t="s">
        <v>4983</v>
      </c>
      <c r="H189" s="3" t="s">
        <v>4984</v>
      </c>
      <c r="I189" s="3" t="s">
        <v>5194</v>
      </c>
      <c r="J189" s="78"/>
      <c r="K189" s="78"/>
      <c r="M189" s="78"/>
      <c r="N189" s="8">
        <f>+SUMIFS(N$2:N$149,$CB$2:$CB$149,Table1[[#This Row],[BAĞLANTI]])</f>
        <v>0</v>
      </c>
      <c r="O189" s="8">
        <f>+SUMIFS(O$2:O$149,$CB$2:$CB$149,Table1[[#This Row],[BAĞLANTI]])</f>
        <v>0</v>
      </c>
      <c r="P189" s="8">
        <f>+SUMIFS(P$2:P$149,$CB$2:$CB$149,Table1[[#This Row],[BAĞLANTI]])</f>
        <v>0</v>
      </c>
      <c r="Q189" s="8">
        <f>+SUMIFS(Q$2:Q$149,$CB$2:$CB$149,Table1[[#This Row],[BAĞLANTI]])</f>
        <v>0</v>
      </c>
      <c r="R189" s="8">
        <f>+SUMIFS(R$2:R$149,$CB$2:$CB$149,Table1[[#This Row],[BAĞLANTI]])</f>
        <v>114</v>
      </c>
      <c r="S189" s="8">
        <f>+SUMIFS(S$2:S$149,$CB$2:$CB$149,Table1[[#This Row],[BAĞLANTI]])</f>
        <v>426</v>
      </c>
      <c r="T189" s="8">
        <f>+SUMIFS(T$2:T$149,$CB$2:$CB$149,Table1[[#This Row],[BAĞLANTI]])</f>
        <v>420</v>
      </c>
      <c r="U189" s="8">
        <f>+SUMIFS(U$2:U$149,$CB$2:$CB$149,Table1[[#This Row],[BAĞLANTI]])</f>
        <v>-2</v>
      </c>
      <c r="V189" s="8">
        <f>+SUMIFS(V$2:V$149,$CB$2:$CB$149,Table1[[#This Row],[BAĞLANTI]])</f>
        <v>0</v>
      </c>
      <c r="W189" s="8">
        <f>+SUMIFS(W$2:W$149,$CB$2:$CB$149,Table1[[#This Row],[BAĞLANTI]])</f>
        <v>0</v>
      </c>
      <c r="X189" s="10">
        <f>+SUMIFS(X$2:X$149,$CB$2:$CB$149,Table1[[#This Row],[BAĞLANTI]])</f>
        <v>0</v>
      </c>
      <c r="Y189" s="8">
        <f>+SUMIFS(Y$2:Y$149,$CB$2:$CB$149,Table1[[#This Row],[BAĞLANTI]])</f>
        <v>65.267179208521341</v>
      </c>
      <c r="Z189" s="8">
        <f>+SUMIFS(Z$2:Z$149,$CB$2:$CB$149,Table1[[#This Row],[BAĞLANTI]])</f>
        <v>44.55196433536711</v>
      </c>
      <c r="AA189" s="8">
        <f>+SUMIFS(AA$2:AA$149,$CB$2:$CB$149,Table1[[#This Row],[BAĞLANTI]])</f>
        <v>69.421159244512893</v>
      </c>
      <c r="AB189" s="8">
        <f>+SUMIFS(AB$2:AB$149,$CB$2:$CB$149,Table1[[#This Row],[BAĞLANTI]])</f>
        <v>48.705944371358648</v>
      </c>
      <c r="AC189" s="8">
        <f>+SUMIFS(AC$2:AC$149,$CB$2:$CB$149,Table1[[#This Row],[BAĞLANTI]])</f>
        <v>62.261796342567351</v>
      </c>
      <c r="AD189" s="8">
        <f>+SUMIFS(AD$2:AD$149,$CB$2:$CB$149,Table1[[#This Row],[BAĞLANTI]])</f>
        <v>134.17218342892602</v>
      </c>
      <c r="AE189" s="8">
        <f>+SUMIFS(AE$2:AE$149,$CB$2:$CB$149,Table1[[#This Row],[BAĞLANTI]])</f>
        <v>118.51115287298059</v>
      </c>
      <c r="AF189" s="8">
        <f>+SUMIFS(AF$2:AF$149,$CB$2:$CB$149,Table1[[#This Row],[BAĞLANTI]])</f>
        <v>101.72697024654433</v>
      </c>
      <c r="AG189" s="8">
        <f>+SUMIFS(AG$2:AG$149,$CB$2:$CB$149,Table1[[#This Row],[BAĞLANTI]])</f>
        <v>114.35717283698933</v>
      </c>
      <c r="AH189" s="8">
        <f>+SUMIFS(AH$2:AH$149,$CB$2:$CB$149,Table1[[#This Row],[BAĞLANTI]])</f>
        <v>114.35717283698933</v>
      </c>
      <c r="AI189" s="8">
        <f>+SUMIFS(AI$2:AI$149,$CB$2:$CB$149,Table1[[#This Row],[BAĞLANTI]])</f>
        <v>97.572990210552803</v>
      </c>
      <c r="AJ189" s="8">
        <f>+SUMIFS(AJ$2:AJ$149,$CB$2:$CB$149,Table1[[#This Row],[BAĞLANTI]])</f>
        <v>97.572990210552803</v>
      </c>
      <c r="AK189" s="8">
        <f>+SUMIFS(AK$2:AK$149,$CB$2:$CB$149,Table1[[#This Row],[BAĞLANTI]])</f>
        <v>92.076428709596684</v>
      </c>
      <c r="AL189" s="8">
        <f>+SUMIFS(AL$2:AL$149,$CB$2:$CB$149,Table1[[#This Row],[BAĞLANTI]])</f>
        <v>92.076428709596684</v>
      </c>
      <c r="AM189" s="8">
        <f>+SUMIFS(AM$2:AM$149,$CB$2:$CB$149,Table1[[#This Row],[BAĞLANTI]])</f>
        <v>86.989117716151583</v>
      </c>
      <c r="AN189" s="8">
        <f>+SUMIFS(AN$2:AN$149,$CB$2:$CB$149,Table1[[#This Row],[BAĞLANTI]])</f>
        <v>66.273902842997074</v>
      </c>
      <c r="AO189" s="8">
        <f>+SUMIFS(AO$2:AO$149,$CB$2:$CB$149,Table1[[#This Row],[BAĞLANTI]])</f>
        <v>68.978214832162536</v>
      </c>
      <c r="AP189" s="8">
        <f>+SUMIFS(AP$2:AP$149,$CB$2:$CB$149,Table1[[#This Row],[BAĞLANTI]])</f>
        <v>127.19282720490727</v>
      </c>
      <c r="AQ189" s="8">
        <f>+SUMIFS(AQ$2:AQ$149,$CB$2:$CB$149,Table1[[#This Row],[BAĞLANTI]])</f>
        <v>143.97700983134354</v>
      </c>
      <c r="AR189" s="8">
        <f>+SUMIFS(AR$2:AR$149,$CB$2:$CB$149,Table1[[#This Row],[BAĞLANTI]])</f>
        <v>143.97700983134354</v>
      </c>
      <c r="AS189" s="8">
        <f>+SUMIFS(AS$2:AS$149,$CB$2:$CB$149,Table1[[#This Row],[BAĞLANTI]])</f>
        <v>143.97700983134354</v>
      </c>
      <c r="AT189" s="8">
        <f>+SUMIFS(AT$2:AT$149,$CB$2:$CB$149,Table1[[#This Row],[BAĞLANTI]])</f>
        <v>154.96060891383797</v>
      </c>
      <c r="AU189" s="8">
        <f>+SUMIFS(AU$2:AU$149,$CB$2:$CB$149,Table1[[#This Row],[BAĞLANTI]])</f>
        <v>213.41052322281203</v>
      </c>
      <c r="AV189" s="8">
        <f>+SUMIFS(AV$2:AV$149,$CB$2:$CB$149,Table1[[#This Row],[BAĞLANTI]])</f>
        <v>213.41052322281203</v>
      </c>
      <c r="AW189" s="8">
        <f>+SUMIFS(AW$2:AW$149,$CB$2:$CB$149,Table1[[#This Row],[BAĞLANTI]])</f>
        <v>165.72171898523396</v>
      </c>
      <c r="AX189" s="8">
        <f>+SUMIFS(AX$2:AX$149,$CB$2:$CB$149,Table1[[#This Row],[BAĞLANTI]])</f>
        <v>0</v>
      </c>
      <c r="AY189" s="8">
        <f>+SUMIFS(AY$2:AY$149,$CB$2:$CB$149,Table1[[#This Row],[BAĞLANTI]])</f>
        <v>0</v>
      </c>
      <c r="AZ189" s="8">
        <f>+SUMIFS(AZ$2:AZ$149,$CB$2:$CB$149,Table1[[#This Row],[BAĞLANTI]])</f>
        <v>0</v>
      </c>
      <c r="BA189" s="8">
        <f>+SUMIFS(BA$2:BA$149,$CB$2:$CB$149,Table1[[#This Row],[BAĞLANTI]])</f>
        <v>0</v>
      </c>
      <c r="BB189" s="8">
        <f>+SUMIFS(BB$2:BB$149,$CB$2:$CB$149,Table1[[#This Row],[BAĞLANTI]])</f>
        <v>0</v>
      </c>
      <c r="BC189" s="8">
        <f>+SUMIFS(BC$2:BC$149,$CB$2:$CB$149,Table1[[#This Row],[BAĞLANTI]])</f>
        <v>0</v>
      </c>
      <c r="BD189" s="8">
        <f>+SUMIFS(BD$2:BD$149,$CB$2:$CB$149,Table1[[#This Row],[BAĞLANTI]])</f>
        <v>0</v>
      </c>
      <c r="BE189" s="8">
        <f>+SUMIFS(BE$2:BE$149,$CB$2:$CB$149,Table1[[#This Row],[BAĞLANTI]])</f>
        <v>0</v>
      </c>
      <c r="BF189" s="8">
        <f>+SUMIFS(BF$2:BF$149,$CB$2:$CB$149,Table1[[#This Row],[BAĞLANTI]])</f>
        <v>0</v>
      </c>
      <c r="BG189" s="8">
        <f>+SUMIFS(BG$2:BG$149,$CB$2:$CB$149,Table1[[#This Row],[BAĞLANTI]])</f>
        <v>0</v>
      </c>
      <c r="BH189" s="8">
        <f>+SUMIFS(BH$2:BH$149,$CB$2:$CB$149,Table1[[#This Row],[BAĞLANTI]])</f>
        <v>0</v>
      </c>
      <c r="BI189" s="8">
        <f>+SUMIFS(BI$2:BI$149,$CB$2:$CB$149,Table1[[#This Row],[BAĞLANTI]])</f>
        <v>0</v>
      </c>
      <c r="BJ189" s="8">
        <f>+SUMIFS(BJ$2:BJ$149,$CB$2:$CB$149,Table1[[#This Row],[BAĞLANTI]])</f>
        <v>0</v>
      </c>
      <c r="BK189" s="8">
        <f>+SUMIFS(BK$2:BK$149,$CB$2:$CB$149,Table1[[#This Row],[BAĞLANTI]])</f>
        <v>0</v>
      </c>
      <c r="BL189" s="8">
        <f>+SUMIFS(BL$2:BL$149,$CB$2:$CB$149,Table1[[#This Row],[BAĞLANTI]])</f>
        <v>0</v>
      </c>
      <c r="BM189" s="8">
        <f>+SUMIFS(BM$2:BM$149,$CB$2:$CB$149,Table1[[#This Row],[BAĞLANTI]])</f>
        <v>0</v>
      </c>
      <c r="BN189" s="8">
        <f>+SUMIFS(BN$2:BN$149,$CB$2:$CB$149,Table1[[#This Row],[BAĞLANTI]])</f>
        <v>0</v>
      </c>
      <c r="BO189" s="8">
        <f>+SUMIFS(BO$2:BO$149,$CB$2:$CB$149,Table1[[#This Row],[BAĞLANTI]])</f>
        <v>0</v>
      </c>
      <c r="BP189" s="8">
        <f>+SUMIFS(BP$2:BP$149,$CB$2:$CB$149,Table1[[#This Row],[BAĞLANTI]])</f>
        <v>0</v>
      </c>
      <c r="BQ189" s="8">
        <f>+SUMIFS(BQ$2:BQ$149,$CB$2:$CB$149,Table1[[#This Row],[BAĞLANTI]])</f>
        <v>0</v>
      </c>
      <c r="BR189" s="8">
        <f>+SUMIFS(BR$2:BR$149,$CB$2:$CB$149,Table1[[#This Row],[BAĞLANTI]])</f>
        <v>0</v>
      </c>
      <c r="BS189" s="8">
        <f>+SUMIFS(BS$2:BS$149,$CB$2:$CB$149,Table1[[#This Row],[BAĞLANTI]])</f>
        <v>0</v>
      </c>
      <c r="BT189" s="8">
        <f>+SUMIFS(BT$2:BT$149,$CB$2:$CB$149,Table1[[#This Row],[BAĞLANTI]])</f>
        <v>0</v>
      </c>
      <c r="BU189" s="8">
        <f>+SUMIFS(BU$2:BU$149,$CB$2:$CB$149,Table1[[#This Row],[BAĞLANTI]])</f>
        <v>0</v>
      </c>
      <c r="BV189" s="8">
        <f>+SUMIFS(BV$2:BV$149,$CB$2:$CB$149,Table1[[#This Row],[BAĞLANTI]])</f>
        <v>0</v>
      </c>
      <c r="BW189" s="8">
        <f>+SUMIFS(BW$2:BW$149,$CB$2:$CB$149,Table1[[#This Row],[BAĞLANTI]])</f>
        <v>0</v>
      </c>
      <c r="BX189" s="8">
        <f>+SUMIFS(BX$2:BX$149,$CB$2:$CB$149,Table1[[#This Row],[BAĞLANTI]])</f>
        <v>0</v>
      </c>
      <c r="BY189" s="8">
        <f>+SUMIFS(BY$2:BY$149,$CB$2:$CB$149,Table1[[#This Row],[BAĞLANTI]])</f>
        <v>0</v>
      </c>
      <c r="BZ189" s="8">
        <f>+SUMIFS(BZ$2:BZ$149,$CB$2:$CB$149,Table1[[#This Row],[BAĞLANTI]])</f>
        <v>0</v>
      </c>
      <c r="CA189" s="8">
        <f>+SUMIFS(CA$2:CA$149,$CB$2:$CB$149,Table1[[#This Row],[BAĞLANTI]])</f>
        <v>0</v>
      </c>
      <c r="CB189" s="8" t="s">
        <v>5392</v>
      </c>
    </row>
    <row r="190" spans="1:80">
      <c r="A190" s="3" t="s">
        <v>5444</v>
      </c>
      <c r="B190" t="s">
        <v>15</v>
      </c>
      <c r="C190" t="s">
        <v>240</v>
      </c>
      <c r="D190" t="s">
        <v>73</v>
      </c>
      <c r="E190" t="s">
        <v>4975</v>
      </c>
      <c r="F190" s="77" t="s">
        <v>4973</v>
      </c>
      <c r="G190" t="s">
        <v>4983</v>
      </c>
      <c r="H190" s="3" t="s">
        <v>4984</v>
      </c>
      <c r="I190" s="3" t="s">
        <v>5194</v>
      </c>
      <c r="J190" s="78"/>
      <c r="K190" s="78"/>
      <c r="M190" s="78"/>
      <c r="N190" s="8">
        <f>+SUMIFS(N$2:N$149,$CB$2:$CB$149,Table1[[#This Row],[BAĞLANTI]])</f>
        <v>0</v>
      </c>
      <c r="O190" s="8">
        <f>+SUMIFS(O$2:O$149,$CB$2:$CB$149,Table1[[#This Row],[BAĞLANTI]])</f>
        <v>0</v>
      </c>
      <c r="P190" s="8">
        <f>+SUMIFS(P$2:P$149,$CB$2:$CB$149,Table1[[#This Row],[BAĞLANTI]])</f>
        <v>0</v>
      </c>
      <c r="Q190" s="8">
        <f>+SUMIFS(Q$2:Q$149,$CB$2:$CB$149,Table1[[#This Row],[BAĞLANTI]])</f>
        <v>0</v>
      </c>
      <c r="R190" s="8">
        <f>+SUMIFS(R$2:R$149,$CB$2:$CB$149,Table1[[#This Row],[BAĞLANTI]])</f>
        <v>1215</v>
      </c>
      <c r="S190" s="8">
        <f>+SUMIFS(S$2:S$149,$CB$2:$CB$149,Table1[[#This Row],[BAĞLANTI]])</f>
        <v>612</v>
      </c>
      <c r="T190" s="8">
        <f>+SUMIFS(T$2:T$149,$CB$2:$CB$149,Table1[[#This Row],[BAĞLANTI]])</f>
        <v>84</v>
      </c>
      <c r="U190" s="8">
        <f>+SUMIFS(U$2:U$149,$CB$2:$CB$149,Table1[[#This Row],[BAĞLANTI]])</f>
        <v>0</v>
      </c>
      <c r="V190" s="8">
        <f>+SUMIFS(V$2:V$149,$CB$2:$CB$149,Table1[[#This Row],[BAĞLANTI]])</f>
        <v>184</v>
      </c>
      <c r="W190" s="8">
        <f>+SUMIFS(W$2:W$149,$CB$2:$CB$149,Table1[[#This Row],[BAĞLANTI]])</f>
        <v>0</v>
      </c>
      <c r="X190" s="10">
        <f>+SUMIFS(X$2:X$149,$CB$2:$CB$149,Table1[[#This Row],[BAĞLANTI]])</f>
        <v>0</v>
      </c>
      <c r="Y190" s="8">
        <f>+SUMIFS(Y$2:Y$149,$CB$2:$CB$149,Table1[[#This Row],[BAĞLANTI]])</f>
        <v>5.5963409100242103</v>
      </c>
      <c r="Z190" s="8">
        <f>+SUMIFS(Z$2:Z$149,$CB$2:$CB$149,Table1[[#This Row],[BAĞLANTI]])</f>
        <v>3.8201127068074978</v>
      </c>
      <c r="AA190" s="8">
        <f>+SUMIFS(AA$2:AA$149,$CB$2:$CB$149,Table1[[#This Row],[BAĞLANTI]])</f>
        <v>5.9525243501047358</v>
      </c>
      <c r="AB190" s="8">
        <f>+SUMIFS(AB$2:AB$149,$CB$2:$CB$149,Table1[[#This Row],[BAĞLANTI]])</f>
        <v>4.1762961468880242</v>
      </c>
      <c r="AC190" s="8">
        <f>+SUMIFS(AC$2:AC$149,$CB$2:$CB$149,Table1[[#This Row],[BAĞLANTI]])</f>
        <v>5.3386440509445672</v>
      </c>
      <c r="AD190" s="8">
        <f>+SUMIFS(AD$2:AD$149,$CB$2:$CB$149,Table1[[#This Row],[BAĞLANTI]])</f>
        <v>11.504607495164068</v>
      </c>
      <c r="AE190" s="8">
        <f>+SUMIFS(AE$2:AE$149,$CB$2:$CB$149,Table1[[#This Row],[BAĞLANTI]])</f>
        <v>10.161750839549118</v>
      </c>
      <c r="AF190" s="8">
        <f>+SUMIFS(AF$2:AF$149,$CB$2:$CB$149,Table1[[#This Row],[BAĞLANTI]])</f>
        <v>11.103540658414779</v>
      </c>
      <c r="AG190" s="8">
        <f>+SUMIFS(AG$2:AG$149,$CB$2:$CB$149,Table1[[#This Row],[BAĞLANTI]])</f>
        <v>9.8055673994686163</v>
      </c>
      <c r="AH190" s="8">
        <f>+SUMIFS(AH$2:AH$149,$CB$2:$CB$149,Table1[[#This Row],[BAĞLANTI]])</f>
        <v>9.8055673994686163</v>
      </c>
      <c r="AI190" s="8">
        <f>+SUMIFS(AI$2:AI$149,$CB$2:$CB$149,Table1[[#This Row],[BAĞLANTI]])</f>
        <v>8.3664059554976955</v>
      </c>
      <c r="AJ190" s="8">
        <f>+SUMIFS(AJ$2:AJ$149,$CB$2:$CB$149,Table1[[#This Row],[BAĞLANTI]])</f>
        <v>8.3664059554976955</v>
      </c>
      <c r="AK190" s="8">
        <f>+SUMIFS(AK$2:AK$149,$CB$2:$CB$149,Table1[[#This Row],[BAĞLANTI]])</f>
        <v>7.8951027313459683</v>
      </c>
      <c r="AL190" s="8">
        <f>+SUMIFS(AL$2:AL$149,$CB$2:$CB$149,Table1[[#This Row],[BAĞLANTI]])</f>
        <v>7.8951027313459683</v>
      </c>
      <c r="AM190" s="8">
        <f>+SUMIFS(AM$2:AM$149,$CB$2:$CB$149,Table1[[#This Row],[BAĞLANTI]])</f>
        <v>7.458890733525851</v>
      </c>
      <c r="AN190" s="8">
        <f>+SUMIFS(AN$2:AN$149,$CB$2:$CB$149,Table1[[#This Row],[BAĞLANTI]])</f>
        <v>5.6826625303091145</v>
      </c>
      <c r="AO190" s="8">
        <f>+SUMIFS(AO$2:AO$149,$CB$2:$CB$149,Table1[[#This Row],[BAĞLANTI]])</f>
        <v>5.9145440364805912</v>
      </c>
      <c r="AP190" s="8">
        <f>+SUMIFS(AP$2:AP$149,$CB$2:$CB$149,Table1[[#This Row],[BAĞLANTI]])</f>
        <v>10.906161886884913</v>
      </c>
      <c r="AQ190" s="8">
        <f>+SUMIFS(AQ$2:AQ$149,$CB$2:$CB$149,Table1[[#This Row],[BAĞLANTI]])</f>
        <v>12.345323330855811</v>
      </c>
      <c r="AR190" s="8">
        <f>+SUMIFS(AR$2:AR$149,$CB$2:$CB$149,Table1[[#This Row],[BAĞLANTI]])</f>
        <v>12.345323330855811</v>
      </c>
      <c r="AS190" s="8">
        <f>+SUMIFS(AS$2:AS$149,$CB$2:$CB$149,Table1[[#This Row],[BAĞLANTI]])</f>
        <v>12.345323330855811</v>
      </c>
      <c r="AT190" s="8">
        <f>+SUMIFS(AT$2:AT$149,$CB$2:$CB$149,Table1[[#This Row],[BAĞLANTI]])</f>
        <v>10.906161886884913</v>
      </c>
      <c r="AU190" s="8">
        <f>+SUMIFS(AU$2:AU$149,$CB$2:$CB$149,Table1[[#This Row],[BAĞLANTI]])</f>
        <v>18.298906988545959</v>
      </c>
      <c r="AV190" s="8">
        <f>+SUMIFS(AV$2:AV$149,$CB$2:$CB$149,Table1[[#This Row],[BAĞLANTI]])</f>
        <v>18.298906988545959</v>
      </c>
      <c r="AW190" s="8">
        <f>+SUMIFS(AW$2:AW$149,$CB$2:$CB$149,Table1[[#This Row],[BAĞLANTI]])</f>
        <v>14.2098256257337</v>
      </c>
      <c r="AX190" s="8">
        <f>+SUMIFS(AX$2:AX$149,$CB$2:$CB$149,Table1[[#This Row],[BAĞLANTI]])</f>
        <v>0</v>
      </c>
      <c r="AY190" s="8">
        <f>+SUMIFS(AY$2:AY$149,$CB$2:$CB$149,Table1[[#This Row],[BAĞLANTI]])</f>
        <v>0</v>
      </c>
      <c r="AZ190" s="8">
        <f>+SUMIFS(AZ$2:AZ$149,$CB$2:$CB$149,Table1[[#This Row],[BAĞLANTI]])</f>
        <v>0</v>
      </c>
      <c r="BA190" s="8">
        <f>+SUMIFS(BA$2:BA$149,$CB$2:$CB$149,Table1[[#This Row],[BAĞLANTI]])</f>
        <v>0</v>
      </c>
      <c r="BB190" s="8">
        <f>+SUMIFS(BB$2:BB$149,$CB$2:$CB$149,Table1[[#This Row],[BAĞLANTI]])</f>
        <v>0</v>
      </c>
      <c r="BC190" s="8">
        <f>+SUMIFS(BC$2:BC$149,$CB$2:$CB$149,Table1[[#This Row],[BAĞLANTI]])</f>
        <v>0</v>
      </c>
      <c r="BD190" s="8">
        <f>+SUMIFS(BD$2:BD$149,$CB$2:$CB$149,Table1[[#This Row],[BAĞLANTI]])</f>
        <v>0</v>
      </c>
      <c r="BE190" s="8">
        <f>+SUMIFS(BE$2:BE$149,$CB$2:$CB$149,Table1[[#This Row],[BAĞLANTI]])</f>
        <v>0</v>
      </c>
      <c r="BF190" s="8">
        <f>+SUMIFS(BF$2:BF$149,$CB$2:$CB$149,Table1[[#This Row],[BAĞLANTI]])</f>
        <v>0</v>
      </c>
      <c r="BG190" s="8">
        <f>+SUMIFS(BG$2:BG$149,$CB$2:$CB$149,Table1[[#This Row],[BAĞLANTI]])</f>
        <v>0</v>
      </c>
      <c r="BH190" s="8">
        <f>+SUMIFS(BH$2:BH$149,$CB$2:$CB$149,Table1[[#This Row],[BAĞLANTI]])</f>
        <v>0</v>
      </c>
      <c r="BI190" s="8">
        <f>+SUMIFS(BI$2:BI$149,$CB$2:$CB$149,Table1[[#This Row],[BAĞLANTI]])</f>
        <v>0</v>
      </c>
      <c r="BJ190" s="8">
        <f>+SUMIFS(BJ$2:BJ$149,$CB$2:$CB$149,Table1[[#This Row],[BAĞLANTI]])</f>
        <v>0</v>
      </c>
      <c r="BK190" s="8">
        <f>+SUMIFS(BK$2:BK$149,$CB$2:$CB$149,Table1[[#This Row],[BAĞLANTI]])</f>
        <v>0</v>
      </c>
      <c r="BL190" s="8">
        <f>+SUMIFS(BL$2:BL$149,$CB$2:$CB$149,Table1[[#This Row],[BAĞLANTI]])</f>
        <v>0</v>
      </c>
      <c r="BM190" s="8">
        <f>+SUMIFS(BM$2:BM$149,$CB$2:$CB$149,Table1[[#This Row],[BAĞLANTI]])</f>
        <v>0</v>
      </c>
      <c r="BN190" s="8">
        <f>+SUMIFS(BN$2:BN$149,$CB$2:$CB$149,Table1[[#This Row],[BAĞLANTI]])</f>
        <v>0</v>
      </c>
      <c r="BO190" s="8">
        <f>+SUMIFS(BO$2:BO$149,$CB$2:$CB$149,Table1[[#This Row],[BAĞLANTI]])</f>
        <v>0</v>
      </c>
      <c r="BP190" s="8">
        <f>+SUMIFS(BP$2:BP$149,$CB$2:$CB$149,Table1[[#This Row],[BAĞLANTI]])</f>
        <v>0</v>
      </c>
      <c r="BQ190" s="8">
        <f>+SUMIFS(BQ$2:BQ$149,$CB$2:$CB$149,Table1[[#This Row],[BAĞLANTI]])</f>
        <v>0</v>
      </c>
      <c r="BR190" s="8">
        <f>+SUMIFS(BR$2:BR$149,$CB$2:$CB$149,Table1[[#This Row],[BAĞLANTI]])</f>
        <v>0</v>
      </c>
      <c r="BS190" s="8">
        <f>+SUMIFS(BS$2:BS$149,$CB$2:$CB$149,Table1[[#This Row],[BAĞLANTI]])</f>
        <v>0</v>
      </c>
      <c r="BT190" s="8">
        <f>+SUMIFS(BT$2:BT$149,$CB$2:$CB$149,Table1[[#This Row],[BAĞLANTI]])</f>
        <v>0</v>
      </c>
      <c r="BU190" s="8">
        <f>+SUMIFS(BU$2:BU$149,$CB$2:$CB$149,Table1[[#This Row],[BAĞLANTI]])</f>
        <v>0</v>
      </c>
      <c r="BV190" s="8">
        <f>+SUMIFS(BV$2:BV$149,$CB$2:$CB$149,Table1[[#This Row],[BAĞLANTI]])</f>
        <v>0</v>
      </c>
      <c r="BW190" s="8">
        <f>+SUMIFS(BW$2:BW$149,$CB$2:$CB$149,Table1[[#This Row],[BAĞLANTI]])</f>
        <v>0</v>
      </c>
      <c r="BX190" s="8">
        <f>+SUMIFS(BX$2:BX$149,$CB$2:$CB$149,Table1[[#This Row],[BAĞLANTI]])</f>
        <v>0</v>
      </c>
      <c r="BY190" s="8">
        <f>+SUMIFS(BY$2:BY$149,$CB$2:$CB$149,Table1[[#This Row],[BAĞLANTI]])</f>
        <v>0</v>
      </c>
      <c r="BZ190" s="8">
        <f>+SUMIFS(BZ$2:BZ$149,$CB$2:$CB$149,Table1[[#This Row],[BAĞLANTI]])</f>
        <v>0</v>
      </c>
      <c r="CA190" s="8">
        <f>+SUMIFS(CA$2:CA$149,$CB$2:$CB$149,Table1[[#This Row],[BAĞLANTI]])</f>
        <v>0</v>
      </c>
      <c r="CB190" s="8" t="s">
        <v>5393</v>
      </c>
    </row>
    <row r="191" spans="1:80">
      <c r="A191" s="3" t="s">
        <v>5444</v>
      </c>
      <c r="B191" t="s">
        <v>15</v>
      </c>
      <c r="C191" t="s">
        <v>240</v>
      </c>
      <c r="D191" t="s">
        <v>76</v>
      </c>
      <c r="E191" t="s">
        <v>5184</v>
      </c>
      <c r="F191" s="77" t="s">
        <v>4973</v>
      </c>
      <c r="G191" t="s">
        <v>4983</v>
      </c>
      <c r="H191" s="3" t="s">
        <v>4984</v>
      </c>
      <c r="I191" s="3" t="s">
        <v>5194</v>
      </c>
      <c r="J191" s="78"/>
      <c r="K191" s="78"/>
      <c r="M191" s="78"/>
      <c r="N191" s="8">
        <f>+SUMIFS(N$2:N$149,$CB$2:$CB$149,Table1[[#This Row],[BAĞLANTI]])</f>
        <v>0</v>
      </c>
      <c r="O191" s="8">
        <f>+SUMIFS(O$2:O$149,$CB$2:$CB$149,Table1[[#This Row],[BAĞLANTI]])</f>
        <v>0</v>
      </c>
      <c r="P191" s="8">
        <f>+SUMIFS(P$2:P$149,$CB$2:$CB$149,Table1[[#This Row],[BAĞLANTI]])</f>
        <v>0</v>
      </c>
      <c r="Q191" s="8">
        <f>+SUMIFS(Q$2:Q$149,$CB$2:$CB$149,Table1[[#This Row],[BAĞLANTI]])</f>
        <v>0</v>
      </c>
      <c r="R191" s="8">
        <f>+SUMIFS(R$2:R$149,$CB$2:$CB$149,Table1[[#This Row],[BAĞLANTI]])</f>
        <v>148</v>
      </c>
      <c r="S191" s="8">
        <f>+SUMIFS(S$2:S$149,$CB$2:$CB$149,Table1[[#This Row],[BAĞLANTI]])</f>
        <v>360</v>
      </c>
      <c r="T191" s="8">
        <f>+SUMIFS(T$2:T$149,$CB$2:$CB$149,Table1[[#This Row],[BAĞLANTI]])</f>
        <v>472</v>
      </c>
      <c r="U191" s="8">
        <f>+SUMIFS(U$2:U$149,$CB$2:$CB$149,Table1[[#This Row],[BAĞLANTI]])</f>
        <v>0</v>
      </c>
      <c r="V191" s="8">
        <f>+SUMIFS(V$2:V$149,$CB$2:$CB$149,Table1[[#This Row],[BAĞLANTI]])</f>
        <v>0</v>
      </c>
      <c r="W191" s="8">
        <f>+SUMIFS(W$2:W$149,$CB$2:$CB$149,Table1[[#This Row],[BAĞLANTI]])</f>
        <v>0</v>
      </c>
      <c r="X191" s="10">
        <f>+SUMIFS(X$2:X$149,$CB$2:$CB$149,Table1[[#This Row],[BAĞLANTI]])</f>
        <v>2196</v>
      </c>
      <c r="Y191" s="8">
        <f>+SUMIFS(Y$2:Y$149,$CB$2:$CB$149,Table1[[#This Row],[BAĞLANTI]])</f>
        <v>13.32797332030923</v>
      </c>
      <c r="Z191" s="8">
        <f>+SUMIFS(Z$2:Z$149,$CB$2:$CB$149,Table1[[#This Row],[BAĞLANTI]])</f>
        <v>9.0977946225017146</v>
      </c>
      <c r="AA191" s="8">
        <f>+SUMIFS(AA$2:AA$149,$CB$2:$CB$149,Table1[[#This Row],[BAĞLANTI]])</f>
        <v>14.176242477398281</v>
      </c>
      <c r="AB191" s="8">
        <f>+SUMIFS(AB$2:AB$149,$CB$2:$CB$149,Table1[[#This Row],[BAĞLANTI]])</f>
        <v>9.9460637795907658</v>
      </c>
      <c r="AC191" s="8">
        <f>+SUMIFS(AC$2:AC$149,$CB$2:$CB$149,Table1[[#This Row],[BAĞLANTI]])</f>
        <v>12.984272048908455</v>
      </c>
      <c r="AD191" s="8">
        <f>+SUMIFS(AD$2:AD$149,$CB$2:$CB$149,Table1[[#This Row],[BAĞLANTI]])</f>
        <v>27.668830691745676</v>
      </c>
      <c r="AE191" s="8">
        <f>+SUMIFS(AE$2:AE$149,$CB$2:$CB$149,Table1[[#This Row],[BAĞLANTI]])</f>
        <v>24.470748593677364</v>
      </c>
      <c r="AF191" s="8">
        <f>+SUMIFS(AF$2:AF$149,$CB$2:$CB$149,Table1[[#This Row],[BAĞLANTI]])</f>
        <v>21.043311695667008</v>
      </c>
      <c r="AG191" s="8">
        <f>+SUMIFS(AG$2:AG$149,$CB$2:$CB$149,Table1[[#This Row],[BAĞLANTI]])</f>
        <v>23.622479436588371</v>
      </c>
      <c r="AH191" s="8">
        <f>+SUMIFS(AH$2:AH$149,$CB$2:$CB$149,Table1[[#This Row],[BAĞLANTI]])</f>
        <v>23.622479436588371</v>
      </c>
      <c r="AI191" s="8">
        <f>+SUMIFS(AI$2:AI$149,$CB$2:$CB$149,Table1[[#This Row],[BAĞLANTI]])</f>
        <v>20.195042538577958</v>
      </c>
      <c r="AJ191" s="8">
        <f>+SUMIFS(AJ$2:AJ$149,$CB$2:$CB$149,Table1[[#This Row],[BAĞLANTI]])</f>
        <v>20.195042538577958</v>
      </c>
      <c r="AK191" s="8">
        <f>+SUMIFS(AK$2:AK$149,$CB$2:$CB$149,Table1[[#This Row],[BAĞLANTI]])</f>
        <v>19.072609702862316</v>
      </c>
      <c r="AL191" s="8">
        <f>+SUMIFS(AL$2:AL$149,$CB$2:$CB$149,Table1[[#This Row],[BAĞLANTI]])</f>
        <v>19.072609702862316</v>
      </c>
      <c r="AM191" s="8">
        <f>+SUMIFS(AM$2:AM$149,$CB$2:$CB$149,Table1[[#This Row],[BAĞLANTI]])</f>
        <v>18.03374842503495</v>
      </c>
      <c r="AN191" s="8">
        <f>+SUMIFS(AN$2:AN$149,$CB$2:$CB$149,Table1[[#This Row],[BAĞLANTI]])</f>
        <v>13.803569727227377</v>
      </c>
      <c r="AO191" s="8">
        <f>+SUMIFS(AO$2:AO$149,$CB$2:$CB$149,Table1[[#This Row],[BAĞLANTI]])</f>
        <v>14.355807444231145</v>
      </c>
      <c r="AP191" s="8">
        <f>+SUMIFS(AP$2:AP$149,$CB$2:$CB$149,Table1[[#This Row],[BAĞLANTI]])</f>
        <v>26.24360173785653</v>
      </c>
      <c r="AQ191" s="8">
        <f>+SUMIFS(AQ$2:AQ$149,$CB$2:$CB$149,Table1[[#This Row],[BAĞLANTI]])</f>
        <v>29.671038635866886</v>
      </c>
      <c r="AR191" s="8">
        <f>+SUMIFS(AR$2:AR$149,$CB$2:$CB$149,Table1[[#This Row],[BAĞLANTI]])</f>
        <v>29.671038635866886</v>
      </c>
      <c r="AS191" s="8">
        <f>+SUMIFS(AS$2:AS$149,$CB$2:$CB$149,Table1[[#This Row],[BAĞLANTI]])</f>
        <v>29.671038635866886</v>
      </c>
      <c r="AT191" s="8">
        <f>+SUMIFS(AT$2:AT$149,$CB$2:$CB$149,Table1[[#This Row],[BAĞLANTI]])</f>
        <v>26.24360173785653</v>
      </c>
      <c r="AU191" s="8">
        <f>+SUMIFS(AU$2:AU$149,$CB$2:$CB$149,Table1[[#This Row],[BAĞLANTI]])</f>
        <v>43.849803908688685</v>
      </c>
      <c r="AV191" s="8">
        <f>+SUMIFS(AV$2:AV$149,$CB$2:$CB$149,Table1[[#This Row],[BAĞLANTI]])</f>
        <v>43.849803908688685</v>
      </c>
      <c r="AW191" s="8">
        <f>+SUMIFS(AW$2:AW$149,$CB$2:$CB$149,Table1[[#This Row],[BAĞLANTI]])</f>
        <v>34.111446616959753</v>
      </c>
      <c r="AX191" s="8">
        <f>+SUMIFS(AX$2:AX$149,$CB$2:$CB$149,Table1[[#This Row],[BAĞLANTI]])</f>
        <v>0</v>
      </c>
      <c r="AY191" s="8">
        <f>+SUMIFS(AY$2:AY$149,$CB$2:$CB$149,Table1[[#This Row],[BAĞLANTI]])</f>
        <v>0</v>
      </c>
      <c r="AZ191" s="8">
        <f>+SUMIFS(AZ$2:AZ$149,$CB$2:$CB$149,Table1[[#This Row],[BAĞLANTI]])</f>
        <v>0</v>
      </c>
      <c r="BA191" s="8">
        <f>+SUMIFS(BA$2:BA$149,$CB$2:$CB$149,Table1[[#This Row],[BAĞLANTI]])</f>
        <v>0</v>
      </c>
      <c r="BB191" s="8">
        <f>+SUMIFS(BB$2:BB$149,$CB$2:$CB$149,Table1[[#This Row],[BAĞLANTI]])</f>
        <v>0</v>
      </c>
      <c r="BC191" s="8">
        <f>+SUMIFS(BC$2:BC$149,$CB$2:$CB$149,Table1[[#This Row],[BAĞLANTI]])</f>
        <v>0</v>
      </c>
      <c r="BD191" s="8">
        <f>+SUMIFS(BD$2:BD$149,$CB$2:$CB$149,Table1[[#This Row],[BAĞLANTI]])</f>
        <v>0</v>
      </c>
      <c r="BE191" s="8">
        <f>+SUMIFS(BE$2:BE$149,$CB$2:$CB$149,Table1[[#This Row],[BAĞLANTI]])</f>
        <v>0</v>
      </c>
      <c r="BF191" s="8">
        <f>+SUMIFS(BF$2:BF$149,$CB$2:$CB$149,Table1[[#This Row],[BAĞLANTI]])</f>
        <v>0</v>
      </c>
      <c r="BG191" s="8">
        <f>+SUMIFS(BG$2:BG$149,$CB$2:$CB$149,Table1[[#This Row],[BAĞLANTI]])</f>
        <v>0</v>
      </c>
      <c r="BH191" s="8">
        <f>+SUMIFS(BH$2:BH$149,$CB$2:$CB$149,Table1[[#This Row],[BAĞLANTI]])</f>
        <v>0</v>
      </c>
      <c r="BI191" s="8">
        <f>+SUMIFS(BI$2:BI$149,$CB$2:$CB$149,Table1[[#This Row],[BAĞLANTI]])</f>
        <v>0</v>
      </c>
      <c r="BJ191" s="8">
        <f>+SUMIFS(BJ$2:BJ$149,$CB$2:$CB$149,Table1[[#This Row],[BAĞLANTI]])</f>
        <v>0</v>
      </c>
      <c r="BK191" s="8">
        <f>+SUMIFS(BK$2:BK$149,$CB$2:$CB$149,Table1[[#This Row],[BAĞLANTI]])</f>
        <v>0</v>
      </c>
      <c r="BL191" s="8">
        <f>+SUMIFS(BL$2:BL$149,$CB$2:$CB$149,Table1[[#This Row],[BAĞLANTI]])</f>
        <v>0</v>
      </c>
      <c r="BM191" s="8">
        <f>+SUMIFS(BM$2:BM$149,$CB$2:$CB$149,Table1[[#This Row],[BAĞLANTI]])</f>
        <v>0</v>
      </c>
      <c r="BN191" s="8">
        <f>+SUMIFS(BN$2:BN$149,$CB$2:$CB$149,Table1[[#This Row],[BAĞLANTI]])</f>
        <v>0</v>
      </c>
      <c r="BO191" s="8">
        <f>+SUMIFS(BO$2:BO$149,$CB$2:$CB$149,Table1[[#This Row],[BAĞLANTI]])</f>
        <v>0</v>
      </c>
      <c r="BP191" s="8">
        <f>+SUMIFS(BP$2:BP$149,$CB$2:$CB$149,Table1[[#This Row],[BAĞLANTI]])</f>
        <v>0</v>
      </c>
      <c r="BQ191" s="8">
        <f>+SUMIFS(BQ$2:BQ$149,$CB$2:$CB$149,Table1[[#This Row],[BAĞLANTI]])</f>
        <v>0</v>
      </c>
      <c r="BR191" s="8">
        <f>+SUMIFS(BR$2:BR$149,$CB$2:$CB$149,Table1[[#This Row],[BAĞLANTI]])</f>
        <v>0</v>
      </c>
      <c r="BS191" s="8">
        <f>+SUMIFS(BS$2:BS$149,$CB$2:$CB$149,Table1[[#This Row],[BAĞLANTI]])</f>
        <v>0</v>
      </c>
      <c r="BT191" s="8">
        <f>+SUMIFS(BT$2:BT$149,$CB$2:$CB$149,Table1[[#This Row],[BAĞLANTI]])</f>
        <v>0</v>
      </c>
      <c r="BU191" s="8">
        <f>+SUMIFS(BU$2:BU$149,$CB$2:$CB$149,Table1[[#This Row],[BAĞLANTI]])</f>
        <v>0</v>
      </c>
      <c r="BV191" s="8">
        <f>+SUMIFS(BV$2:BV$149,$CB$2:$CB$149,Table1[[#This Row],[BAĞLANTI]])</f>
        <v>0</v>
      </c>
      <c r="BW191" s="8">
        <f>+SUMIFS(BW$2:BW$149,$CB$2:$CB$149,Table1[[#This Row],[BAĞLANTI]])</f>
        <v>0</v>
      </c>
      <c r="BX191" s="8">
        <f>+SUMIFS(BX$2:BX$149,$CB$2:$CB$149,Table1[[#This Row],[BAĞLANTI]])</f>
        <v>0</v>
      </c>
      <c r="BY191" s="8">
        <f>+SUMIFS(BY$2:BY$149,$CB$2:$CB$149,Table1[[#This Row],[BAĞLANTI]])</f>
        <v>0</v>
      </c>
      <c r="BZ191" s="8">
        <f>+SUMIFS(BZ$2:BZ$149,$CB$2:$CB$149,Table1[[#This Row],[BAĞLANTI]])</f>
        <v>0</v>
      </c>
      <c r="CA191" s="8">
        <f>+SUMIFS(CA$2:CA$149,$CB$2:$CB$149,Table1[[#This Row],[BAĞLANTI]])</f>
        <v>0</v>
      </c>
      <c r="CB191" s="8" t="s">
        <v>5394</v>
      </c>
    </row>
    <row r="192" spans="1:80">
      <c r="A192" s="3" t="s">
        <v>5444</v>
      </c>
      <c r="B192" t="s">
        <v>15</v>
      </c>
      <c r="C192" t="s">
        <v>240</v>
      </c>
      <c r="D192" t="s">
        <v>5181</v>
      </c>
      <c r="E192" t="s">
        <v>5183</v>
      </c>
      <c r="F192" s="77" t="s">
        <v>4973</v>
      </c>
      <c r="G192" t="s">
        <v>4983</v>
      </c>
      <c r="H192" s="3" t="s">
        <v>4984</v>
      </c>
      <c r="I192" s="3" t="s">
        <v>5194</v>
      </c>
      <c r="J192" s="78"/>
      <c r="K192" s="78"/>
      <c r="M192" s="78"/>
      <c r="N192" s="8">
        <f>+SUMIFS(N$2:N$149,$CB$2:$CB$149,Table1[[#This Row],[BAĞLANTI]])</f>
        <v>0</v>
      </c>
      <c r="O192" s="8">
        <f>+SUMIFS(O$2:O$149,$CB$2:$CB$149,Table1[[#This Row],[BAĞLANTI]])</f>
        <v>0</v>
      </c>
      <c r="P192" s="8">
        <f>+SUMIFS(P$2:P$149,$CB$2:$CB$149,Table1[[#This Row],[BAĞLANTI]])</f>
        <v>2646</v>
      </c>
      <c r="Q192" s="8">
        <f>+SUMIFS(Q$2:Q$149,$CB$2:$CB$149,Table1[[#This Row],[BAĞLANTI]])</f>
        <v>2550</v>
      </c>
      <c r="R192" s="8">
        <f>+SUMIFS(R$2:R$149,$CB$2:$CB$149,Table1[[#This Row],[BAĞLANTI]])</f>
        <v>138</v>
      </c>
      <c r="S192" s="8">
        <f>+SUMIFS(S$2:S$149,$CB$2:$CB$149,Table1[[#This Row],[BAĞLANTI]])</f>
        <v>0</v>
      </c>
      <c r="T192" s="8">
        <f>+SUMIFS(T$2:T$149,$CB$2:$CB$149,Table1[[#This Row],[BAĞLANTI]])</f>
        <v>-170</v>
      </c>
      <c r="U192" s="8">
        <f>+SUMIFS(U$2:U$149,$CB$2:$CB$149,Table1[[#This Row],[BAĞLANTI]])</f>
        <v>0</v>
      </c>
      <c r="V192" s="8">
        <f>+SUMIFS(V$2:V$149,$CB$2:$CB$149,Table1[[#This Row],[BAĞLANTI]])</f>
        <v>0</v>
      </c>
      <c r="W192" s="8">
        <f>+SUMIFS(W$2:W$149,$CB$2:$CB$149,Table1[[#This Row],[BAĞLANTI]])</f>
        <v>24</v>
      </c>
      <c r="X192" s="10">
        <f>+SUMIFS(X$2:X$149,$CB$2:$CB$149,Table1[[#This Row],[BAĞLANTI]])</f>
        <v>472</v>
      </c>
      <c r="Y192" s="8">
        <f>+SUMIFS(Y$2:Y$149,$CB$2:$CB$149,Table1[[#This Row],[BAĞLANTI]])</f>
        <v>206.39586853070421</v>
      </c>
      <c r="Z192" s="8">
        <f>+SUMIFS(Z$2:Z$149,$CB$2:$CB$149,Table1[[#This Row],[BAĞLANTI]])</f>
        <v>140.88767869634697</v>
      </c>
      <c r="AA192" s="8">
        <f>+SUMIFS(AA$2:AA$149,$CB$2:$CB$149,Table1[[#This Row],[BAĞLANTI]])</f>
        <v>219.53209301266776</v>
      </c>
      <c r="AB192" s="8">
        <f>+SUMIFS(AB$2:AB$149,$CB$2:$CB$149,Table1[[#This Row],[BAĞLANTI]])</f>
        <v>154.02390317831052</v>
      </c>
      <c r="AC192" s="8">
        <f>+SUMIFS(AC$2:AC$149,$CB$2:$CB$149,Table1[[#This Row],[BAĞLANTI]])</f>
        <v>196.89187870904993</v>
      </c>
      <c r="AD192" s="8">
        <f>+SUMIFS(AD$2:AD$149,$CB$2:$CB$149,Table1[[#This Row],[BAĞLANTI]])</f>
        <v>424.29571290340942</v>
      </c>
      <c r="AE192" s="8">
        <f>+SUMIFS(AE$2:AE$149,$CB$2:$CB$149,Table1[[#This Row],[BAĞLANTI]])</f>
        <v>374.77048379318256</v>
      </c>
      <c r="AF192" s="8">
        <f>+SUMIFS(AF$2:AF$149,$CB$2:$CB$149,Table1[[#This Row],[BAĞLANTI]])</f>
        <v>321.69348563314895</v>
      </c>
      <c r="AG192" s="8">
        <f>+SUMIFS(AG$2:AG$149,$CB$2:$CB$149,Table1[[#This Row],[BAĞLANTI]])</f>
        <v>361.63425931121992</v>
      </c>
      <c r="AH192" s="8">
        <f>+SUMIFS(AH$2:AH$149,$CB$2:$CB$149,Table1[[#This Row],[BAĞLANTI]])</f>
        <v>361.63425931121992</v>
      </c>
      <c r="AI192" s="8">
        <f>+SUMIFS(AI$2:AI$149,$CB$2:$CB$149,Table1[[#This Row],[BAĞLANTI]])</f>
        <v>308.55726115118546</v>
      </c>
      <c r="AJ192" s="8">
        <f>+SUMIFS(AJ$2:AJ$149,$CB$2:$CB$149,Table1[[#This Row],[BAĞLANTI]])</f>
        <v>308.55726115118546</v>
      </c>
      <c r="AK192" s="8">
        <f>+SUMIFS(AK$2:AK$149,$CB$2:$CB$149,Table1[[#This Row],[BAĞLANTI]])</f>
        <v>378.98604164708337</v>
      </c>
      <c r="AL192" s="8">
        <f>+SUMIFS(AL$2:AL$149,$CB$2:$CB$149,Table1[[#This Row],[BAĞLANTI]])</f>
        <v>291.17536111077203</v>
      </c>
      <c r="AM192" s="8">
        <f>+SUMIFS(AM$2:AM$149,$CB$2:$CB$149,Table1[[#This Row],[BAĞLANTI]])</f>
        <v>275.08764315343137</v>
      </c>
      <c r="AN192" s="8">
        <f>+SUMIFS(AN$2:AN$149,$CB$2:$CB$149,Table1[[#This Row],[BAĞLANTI]])</f>
        <v>209.57945331907325</v>
      </c>
      <c r="AO192" s="8">
        <f>+SUMIFS(AO$2:AO$149,$CB$2:$CB$149,Table1[[#This Row],[BAĞLANTI]])</f>
        <v>218.13135993661751</v>
      </c>
      <c r="AP192" s="8">
        <f>+SUMIFS(AP$2:AP$149,$CB$2:$CB$149,Table1[[#This Row],[BAĞLANTI]])</f>
        <v>402.2247377653656</v>
      </c>
      <c r="AQ192" s="8">
        <f>+SUMIFS(AQ$2:AQ$149,$CB$2:$CB$149,Table1[[#This Row],[BAĞLANTI]])</f>
        <v>455.30173592539916</v>
      </c>
      <c r="AR192" s="8">
        <f>+SUMIFS(AR$2:AR$149,$CB$2:$CB$149,Table1[[#This Row],[BAĞLANTI]])</f>
        <v>455.30173592539916</v>
      </c>
      <c r="AS192" s="8">
        <f>+SUMIFS(AS$2:AS$149,$CB$2:$CB$149,Table1[[#This Row],[BAĞLANTI]])</f>
        <v>455.30173592539916</v>
      </c>
      <c r="AT192" s="8">
        <f>+SUMIFS(AT$2:AT$149,$CB$2:$CB$149,Table1[[#This Row],[BAĞLANTI]])</f>
        <v>402.2247377653656</v>
      </c>
      <c r="AU192" s="8">
        <f>+SUMIFS(AU$2:AU$149,$CB$2:$CB$149,Table1[[#This Row],[BAĞLANTI]])</f>
        <v>674.87289673480177</v>
      </c>
      <c r="AV192" s="8">
        <f>+SUMIFS(AV$2:AV$149,$CB$2:$CB$149,Table1[[#This Row],[BAĞLANTI]])</f>
        <v>674.87289673480177</v>
      </c>
      <c r="AW192" s="8">
        <f>+SUMIFS(AW$2:AW$149,$CB$2:$CB$149,Table1[[#This Row],[BAĞLANTI]])</f>
        <v>524.06551867485803</v>
      </c>
      <c r="AX192" s="8">
        <f>+SUMIFS(AX$2:AX$149,$CB$2:$CB$149,Table1[[#This Row],[BAĞLANTI]])</f>
        <v>0</v>
      </c>
      <c r="AY192" s="8">
        <f>+SUMIFS(AY$2:AY$149,$CB$2:$CB$149,Table1[[#This Row],[BAĞLANTI]])</f>
        <v>0</v>
      </c>
      <c r="AZ192" s="8">
        <f>+SUMIFS(AZ$2:AZ$149,$CB$2:$CB$149,Table1[[#This Row],[BAĞLANTI]])</f>
        <v>0</v>
      </c>
      <c r="BA192" s="8">
        <f>+SUMIFS(BA$2:BA$149,$CB$2:$CB$149,Table1[[#This Row],[BAĞLANTI]])</f>
        <v>0</v>
      </c>
      <c r="BB192" s="8">
        <f>+SUMIFS(BB$2:BB$149,$CB$2:$CB$149,Table1[[#This Row],[BAĞLANTI]])</f>
        <v>0</v>
      </c>
      <c r="BC192" s="8">
        <f>+SUMIFS(BC$2:BC$149,$CB$2:$CB$149,Table1[[#This Row],[BAĞLANTI]])</f>
        <v>0</v>
      </c>
      <c r="BD192" s="8">
        <f>+SUMIFS(BD$2:BD$149,$CB$2:$CB$149,Table1[[#This Row],[BAĞLANTI]])</f>
        <v>0</v>
      </c>
      <c r="BE192" s="8">
        <f>+SUMIFS(BE$2:BE$149,$CB$2:$CB$149,Table1[[#This Row],[BAĞLANTI]])</f>
        <v>0</v>
      </c>
      <c r="BF192" s="8">
        <f>+SUMIFS(BF$2:BF$149,$CB$2:$CB$149,Table1[[#This Row],[BAĞLANTI]])</f>
        <v>0</v>
      </c>
      <c r="BG192" s="8">
        <f>+SUMIFS(BG$2:BG$149,$CB$2:$CB$149,Table1[[#This Row],[BAĞLANTI]])</f>
        <v>0</v>
      </c>
      <c r="BH192" s="8">
        <f>+SUMIFS(BH$2:BH$149,$CB$2:$CB$149,Table1[[#This Row],[BAĞLANTI]])</f>
        <v>0</v>
      </c>
      <c r="BI192" s="8">
        <f>+SUMIFS(BI$2:BI$149,$CB$2:$CB$149,Table1[[#This Row],[BAĞLANTI]])</f>
        <v>0</v>
      </c>
      <c r="BJ192" s="8">
        <f>+SUMIFS(BJ$2:BJ$149,$CB$2:$CB$149,Table1[[#This Row],[BAĞLANTI]])</f>
        <v>0</v>
      </c>
      <c r="BK192" s="8">
        <f>+SUMIFS(BK$2:BK$149,$CB$2:$CB$149,Table1[[#This Row],[BAĞLANTI]])</f>
        <v>0</v>
      </c>
      <c r="BL192" s="8">
        <f>+SUMIFS(BL$2:BL$149,$CB$2:$CB$149,Table1[[#This Row],[BAĞLANTI]])</f>
        <v>0</v>
      </c>
      <c r="BM192" s="8">
        <f>+SUMIFS(BM$2:BM$149,$CB$2:$CB$149,Table1[[#This Row],[BAĞLANTI]])</f>
        <v>0</v>
      </c>
      <c r="BN192" s="8">
        <f>+SUMIFS(BN$2:BN$149,$CB$2:$CB$149,Table1[[#This Row],[BAĞLANTI]])</f>
        <v>0</v>
      </c>
      <c r="BO192" s="8">
        <f>+SUMIFS(BO$2:BO$149,$CB$2:$CB$149,Table1[[#This Row],[BAĞLANTI]])</f>
        <v>0</v>
      </c>
      <c r="BP192" s="8">
        <f>+SUMIFS(BP$2:BP$149,$CB$2:$CB$149,Table1[[#This Row],[BAĞLANTI]])</f>
        <v>0</v>
      </c>
      <c r="BQ192" s="8">
        <f>+SUMIFS(BQ$2:BQ$149,$CB$2:$CB$149,Table1[[#This Row],[BAĞLANTI]])</f>
        <v>0</v>
      </c>
      <c r="BR192" s="8">
        <f>+SUMIFS(BR$2:BR$149,$CB$2:$CB$149,Table1[[#This Row],[BAĞLANTI]])</f>
        <v>0</v>
      </c>
      <c r="BS192" s="8">
        <f>+SUMIFS(BS$2:BS$149,$CB$2:$CB$149,Table1[[#This Row],[BAĞLANTI]])</f>
        <v>0</v>
      </c>
      <c r="BT192" s="8">
        <f>+SUMIFS(BT$2:BT$149,$CB$2:$CB$149,Table1[[#This Row],[BAĞLANTI]])</f>
        <v>0</v>
      </c>
      <c r="BU192" s="8">
        <f>+SUMIFS(BU$2:BU$149,$CB$2:$CB$149,Table1[[#This Row],[BAĞLANTI]])</f>
        <v>0</v>
      </c>
      <c r="BV192" s="8">
        <f>+SUMIFS(BV$2:BV$149,$CB$2:$CB$149,Table1[[#This Row],[BAĞLANTI]])</f>
        <v>0</v>
      </c>
      <c r="BW192" s="8">
        <f>+SUMIFS(BW$2:BW$149,$CB$2:$CB$149,Table1[[#This Row],[BAĞLANTI]])</f>
        <v>0</v>
      </c>
      <c r="BX192" s="8">
        <f>+SUMIFS(BX$2:BX$149,$CB$2:$CB$149,Table1[[#This Row],[BAĞLANTI]])</f>
        <v>0</v>
      </c>
      <c r="BY192" s="8">
        <f>+SUMIFS(BY$2:BY$149,$CB$2:$CB$149,Table1[[#This Row],[BAĞLANTI]])</f>
        <v>0</v>
      </c>
      <c r="BZ192" s="8">
        <f>+SUMIFS(BZ$2:BZ$149,$CB$2:$CB$149,Table1[[#This Row],[BAĞLANTI]])</f>
        <v>0</v>
      </c>
      <c r="CA192" s="8">
        <f>+SUMIFS(CA$2:CA$149,$CB$2:$CB$149,Table1[[#This Row],[BAĞLANTI]])</f>
        <v>0</v>
      </c>
      <c r="CB192" s="8" t="s">
        <v>5395</v>
      </c>
    </row>
    <row r="193" spans="1:80">
      <c r="A193" s="3" t="s">
        <v>5444</v>
      </c>
      <c r="B193" t="s">
        <v>16</v>
      </c>
      <c r="C193" t="s">
        <v>308</v>
      </c>
      <c r="D193" t="s">
        <v>72</v>
      </c>
      <c r="E193" t="s">
        <v>4974</v>
      </c>
      <c r="F193" s="77" t="s">
        <v>4973</v>
      </c>
      <c r="G193" t="s">
        <v>4983</v>
      </c>
      <c r="H193" s="3" t="s">
        <v>4984</v>
      </c>
      <c r="I193" s="3" t="s">
        <v>5194</v>
      </c>
      <c r="J193" s="78"/>
      <c r="K193" s="78"/>
      <c r="M193" s="78"/>
      <c r="N193" s="8">
        <f>+SUMIFS(N$2:N$149,$CB$2:$CB$149,Table1[[#This Row],[BAĞLANTI]])</f>
        <v>0</v>
      </c>
      <c r="O193" s="8">
        <f>+SUMIFS(O$2:O$149,$CB$2:$CB$149,Table1[[#This Row],[BAĞLANTI]])</f>
        <v>0</v>
      </c>
      <c r="P193" s="8">
        <f>+SUMIFS(P$2:P$149,$CB$2:$CB$149,Table1[[#This Row],[BAĞLANTI]])</f>
        <v>0</v>
      </c>
      <c r="Q193" s="8">
        <f>+SUMIFS(Q$2:Q$149,$CB$2:$CB$149,Table1[[#This Row],[BAĞLANTI]])</f>
        <v>0</v>
      </c>
      <c r="R193" s="8">
        <f>+SUMIFS(R$2:R$149,$CB$2:$CB$149,Table1[[#This Row],[BAĞLANTI]])</f>
        <v>0</v>
      </c>
      <c r="S193" s="8">
        <f>+SUMIFS(S$2:S$149,$CB$2:$CB$149,Table1[[#This Row],[BAĞLANTI]])</f>
        <v>0</v>
      </c>
      <c r="T193" s="8">
        <f>+SUMIFS(T$2:T$149,$CB$2:$CB$149,Table1[[#This Row],[BAĞLANTI]])</f>
        <v>1353.0989999999999</v>
      </c>
      <c r="U193" s="8">
        <f>+SUMIFS(U$2:U$149,$CB$2:$CB$149,Table1[[#This Row],[BAĞLANTI]])</f>
        <v>5832.6714000000029</v>
      </c>
      <c r="V193" s="8">
        <f>+SUMIFS(V$2:V$149,$CB$2:$CB$149,Table1[[#This Row],[BAĞLANTI]])</f>
        <v>5603.6745999999948</v>
      </c>
      <c r="W193" s="8">
        <f>+SUMIFS(W$2:W$149,$CB$2:$CB$149,Table1[[#This Row],[BAĞLANTI]])</f>
        <v>8092.3069999999989</v>
      </c>
      <c r="X193" s="10">
        <f>+SUMIFS(X$2:X$149,$CB$2:$CB$149,Table1[[#This Row],[BAĞLANTI]])</f>
        <v>12165.103000000021</v>
      </c>
      <c r="Y193" s="8">
        <f>+SUMIFS(Y$2:Y$149,$CB$2:$CB$149,Table1[[#This Row],[BAĞLANTI]])</f>
        <v>14872.544317880804</v>
      </c>
      <c r="Z193" s="8">
        <f>+SUMIFS(Z$2:Z$149,$CB$2:$CB$149,Table1[[#This Row],[BAĞLANTI]])</f>
        <v>13689.501019867543</v>
      </c>
      <c r="AA193" s="8">
        <f>+SUMIFS(AA$2:AA$149,$CB$2:$CB$149,Table1[[#This Row],[BAĞLANTI]])</f>
        <v>7436.2721589403909</v>
      </c>
      <c r="AB193" s="8">
        <f>+SUMIFS(AB$2:AB$149,$CB$2:$CB$149,Table1[[#This Row],[BAĞLANTI]])</f>
        <v>7436.2721589403909</v>
      </c>
      <c r="AC193" s="8">
        <f>+SUMIFS(AC$2:AC$149,$CB$2:$CB$149,Table1[[#This Row],[BAĞLANTI]])</f>
        <v>7436.2721589403909</v>
      </c>
      <c r="AD193" s="8">
        <f>+SUMIFS(AD$2:AD$149,$CB$2:$CB$149,Table1[[#This Row],[BAĞLANTI]])</f>
        <v>7436.2721589403909</v>
      </c>
      <c r="AE193" s="8">
        <f>+SUMIFS(AE$2:AE$149,$CB$2:$CB$149,Table1[[#This Row],[BAĞLANTI]])</f>
        <v>7436.2721589403909</v>
      </c>
      <c r="AF193" s="8">
        <f>+SUMIFS(AF$2:AF$149,$CB$2:$CB$149,Table1[[#This Row],[BAĞLANTI]])</f>
        <v>5577.2041192052939</v>
      </c>
      <c r="AG193" s="8">
        <f>+SUMIFS(AG$2:AG$149,$CB$2:$CB$149,Table1[[#This Row],[BAĞLANTI]])</f>
        <v>7436.2721589403909</v>
      </c>
      <c r="AH193" s="8">
        <f>+SUMIFS(AH$2:AH$149,$CB$2:$CB$149,Table1[[#This Row],[BAĞLANTI]])</f>
        <v>5577.2041192052939</v>
      </c>
      <c r="AI193" s="8">
        <f>+SUMIFS(AI$2:AI$149,$CB$2:$CB$149,Table1[[#This Row],[BAĞLANTI]])</f>
        <v>7436.2721589403909</v>
      </c>
      <c r="AJ193" s="8">
        <f>+SUMIFS(AJ$2:AJ$149,$CB$2:$CB$149,Table1[[#This Row],[BAĞLANTI]])</f>
        <v>7436.2721589403909</v>
      </c>
      <c r="AK193" s="8">
        <f>+SUMIFS(AK$2:AK$149,$CB$2:$CB$149,Table1[[#This Row],[BAĞLANTI]])</f>
        <v>7436.2721589403909</v>
      </c>
      <c r="AL193" s="8">
        <f>+SUMIFS(AL$2:AL$149,$CB$2:$CB$149,Table1[[#This Row],[BAĞLANTI]])</f>
        <v>7436.2721589403909</v>
      </c>
      <c r="AM193" s="8">
        <f>+SUMIFS(AM$2:AM$149,$CB$2:$CB$149,Table1[[#This Row],[BAĞLANTI]])</f>
        <v>7436.2721589403909</v>
      </c>
      <c r="AN193" s="8">
        <f>+SUMIFS(AN$2:AN$149,$CB$2:$CB$149,Table1[[#This Row],[BAĞLANTI]])</f>
        <v>7436.2721589403909</v>
      </c>
      <c r="AO193" s="8">
        <f>+SUMIFS(AO$2:AO$149,$CB$2:$CB$149,Table1[[#This Row],[BAĞLANTI]])</f>
        <v>7436.2721589403909</v>
      </c>
      <c r="AP193" s="8">
        <f>+SUMIFS(AP$2:AP$149,$CB$2:$CB$149,Table1[[#This Row],[BAĞLANTI]])</f>
        <v>7436.2721589403909</v>
      </c>
      <c r="AQ193" s="8">
        <f>+SUMIFS(AQ$2:AQ$149,$CB$2:$CB$149,Table1[[#This Row],[BAĞLANTI]])</f>
        <v>5577.2041192052939</v>
      </c>
      <c r="AR193" s="8">
        <f>+SUMIFS(AR$2:AR$149,$CB$2:$CB$149,Table1[[#This Row],[BAĞLANTI]])</f>
        <v>6591.2412317880726</v>
      </c>
      <c r="AS193" s="8">
        <f>+SUMIFS(AS$2:AS$149,$CB$2:$CB$149,Table1[[#This Row],[BAĞLANTI]])</f>
        <v>4056.1484503311344</v>
      </c>
      <c r="AT193" s="8">
        <f>+SUMIFS(AT$2:AT$149,$CB$2:$CB$149,Table1[[#This Row],[BAĞLANTI]])</f>
        <v>12506.457721854396</v>
      </c>
      <c r="AU193" s="8">
        <f>+SUMIFS(AU$2:AU$149,$CB$2:$CB$149,Table1[[#This Row],[BAĞLANTI]])</f>
        <v>4056.1484503311344</v>
      </c>
      <c r="AV193" s="8">
        <f>+SUMIFS(AV$2:AV$149,$CB$2:$CB$149,Table1[[#This Row],[BAĞLANTI]])</f>
        <v>4056.1484503311344</v>
      </c>
      <c r="AW193" s="8">
        <f>+SUMIFS(AW$2:AW$149,$CB$2:$CB$149,Table1[[#This Row],[BAĞLANTI]])</f>
        <v>4056.1484503311344</v>
      </c>
      <c r="AX193" s="8">
        <f>+SUMIFS(AX$2:AX$149,$CB$2:$CB$149,Table1[[#This Row],[BAĞLANTI]])</f>
        <v>4056.1484503311344</v>
      </c>
      <c r="AY193" s="8">
        <f>+SUMIFS(AY$2:AY$149,$CB$2:$CB$149,Table1[[#This Row],[BAĞLANTI]])</f>
        <v>2619.5958741721774</v>
      </c>
      <c r="AZ193" s="8">
        <f>+SUMIFS(AZ$2:AZ$149,$CB$2:$CB$149,Table1[[#This Row],[BAĞLANTI]])</f>
        <v>0</v>
      </c>
      <c r="BA193" s="8">
        <f>+SUMIFS(BA$2:BA$149,$CB$2:$CB$149,Table1[[#This Row],[BAĞLANTI]])</f>
        <v>0</v>
      </c>
      <c r="BB193" s="8">
        <f>+SUMIFS(BB$2:BB$149,$CB$2:$CB$149,Table1[[#This Row],[BAĞLANTI]])</f>
        <v>0</v>
      </c>
      <c r="BC193" s="8">
        <f>+SUMIFS(BC$2:BC$149,$CB$2:$CB$149,Table1[[#This Row],[BAĞLANTI]])</f>
        <v>0</v>
      </c>
      <c r="BD193" s="8">
        <f>+SUMIFS(BD$2:BD$149,$CB$2:$CB$149,Table1[[#This Row],[BAĞLANTI]])</f>
        <v>0</v>
      </c>
      <c r="BE193" s="8">
        <f>+SUMIFS(BE$2:BE$149,$CB$2:$CB$149,Table1[[#This Row],[BAĞLANTI]])</f>
        <v>0</v>
      </c>
      <c r="BF193" s="8">
        <f>+SUMIFS(BF$2:BF$149,$CB$2:$CB$149,Table1[[#This Row],[BAĞLANTI]])</f>
        <v>0</v>
      </c>
      <c r="BG193" s="8">
        <f>+SUMIFS(BG$2:BG$149,$CB$2:$CB$149,Table1[[#This Row],[BAĞLANTI]])</f>
        <v>0</v>
      </c>
      <c r="BH193" s="8">
        <f>+SUMIFS(BH$2:BH$149,$CB$2:$CB$149,Table1[[#This Row],[BAĞLANTI]])</f>
        <v>0</v>
      </c>
      <c r="BI193" s="8">
        <f>+SUMIFS(BI$2:BI$149,$CB$2:$CB$149,Table1[[#This Row],[BAĞLANTI]])</f>
        <v>0</v>
      </c>
      <c r="BJ193" s="8">
        <f>+SUMIFS(BJ$2:BJ$149,$CB$2:$CB$149,Table1[[#This Row],[BAĞLANTI]])</f>
        <v>0</v>
      </c>
      <c r="BK193" s="8">
        <f>+SUMIFS(BK$2:BK$149,$CB$2:$CB$149,Table1[[#This Row],[BAĞLANTI]])</f>
        <v>0</v>
      </c>
      <c r="BL193" s="8">
        <f>+SUMIFS(BL$2:BL$149,$CB$2:$CB$149,Table1[[#This Row],[BAĞLANTI]])</f>
        <v>0</v>
      </c>
      <c r="BM193" s="8">
        <f>+SUMIFS(BM$2:BM$149,$CB$2:$CB$149,Table1[[#This Row],[BAĞLANTI]])</f>
        <v>0</v>
      </c>
      <c r="BN193" s="8">
        <f>+SUMIFS(BN$2:BN$149,$CB$2:$CB$149,Table1[[#This Row],[BAĞLANTI]])</f>
        <v>0</v>
      </c>
      <c r="BO193" s="8">
        <f>+SUMIFS(BO$2:BO$149,$CB$2:$CB$149,Table1[[#This Row],[BAĞLANTI]])</f>
        <v>0</v>
      </c>
      <c r="BP193" s="8">
        <f>+SUMIFS(BP$2:BP$149,$CB$2:$CB$149,Table1[[#This Row],[BAĞLANTI]])</f>
        <v>0</v>
      </c>
      <c r="BQ193" s="8">
        <f>+SUMIFS(BQ$2:BQ$149,$CB$2:$CB$149,Table1[[#This Row],[BAĞLANTI]])</f>
        <v>0</v>
      </c>
      <c r="BR193" s="8">
        <f>+SUMIFS(BR$2:BR$149,$CB$2:$CB$149,Table1[[#This Row],[BAĞLANTI]])</f>
        <v>0</v>
      </c>
      <c r="BS193" s="8">
        <f>+SUMIFS(BS$2:BS$149,$CB$2:$CB$149,Table1[[#This Row],[BAĞLANTI]])</f>
        <v>0</v>
      </c>
      <c r="BT193" s="8">
        <f>+SUMIFS(BT$2:BT$149,$CB$2:$CB$149,Table1[[#This Row],[BAĞLANTI]])</f>
        <v>0</v>
      </c>
      <c r="BU193" s="8">
        <f>+SUMIFS(BU$2:BU$149,$CB$2:$CB$149,Table1[[#This Row],[BAĞLANTI]])</f>
        <v>0</v>
      </c>
      <c r="BV193" s="8">
        <f>+SUMIFS(BV$2:BV$149,$CB$2:$CB$149,Table1[[#This Row],[BAĞLANTI]])</f>
        <v>0</v>
      </c>
      <c r="BW193" s="8">
        <f>+SUMIFS(BW$2:BW$149,$CB$2:$CB$149,Table1[[#This Row],[BAĞLANTI]])</f>
        <v>0</v>
      </c>
      <c r="BX193" s="8">
        <f>+SUMIFS(BX$2:BX$149,$CB$2:$CB$149,Table1[[#This Row],[BAĞLANTI]])</f>
        <v>0</v>
      </c>
      <c r="BY193" s="8">
        <f>+SUMIFS(BY$2:BY$149,$CB$2:$CB$149,Table1[[#This Row],[BAĞLANTI]])</f>
        <v>0</v>
      </c>
      <c r="BZ193" s="8">
        <f>+SUMIFS(BZ$2:BZ$149,$CB$2:$CB$149,Table1[[#This Row],[BAĞLANTI]])</f>
        <v>0</v>
      </c>
      <c r="CA193" s="8">
        <f>+SUMIFS(CA$2:CA$149,$CB$2:$CB$149,Table1[[#This Row],[BAĞLANTI]])</f>
        <v>0</v>
      </c>
      <c r="CB193" s="8" t="s">
        <v>5397</v>
      </c>
    </row>
    <row r="194" spans="1:80">
      <c r="A194" s="3" t="s">
        <v>5444</v>
      </c>
      <c r="B194" t="s">
        <v>16</v>
      </c>
      <c r="C194" t="s">
        <v>308</v>
      </c>
      <c r="D194" t="s">
        <v>74</v>
      </c>
      <c r="E194" t="s">
        <v>4975</v>
      </c>
      <c r="F194" s="77" t="s">
        <v>4973</v>
      </c>
      <c r="G194" t="s">
        <v>4983</v>
      </c>
      <c r="H194" s="3" t="s">
        <v>4984</v>
      </c>
      <c r="I194" s="3" t="s">
        <v>5194</v>
      </c>
      <c r="J194" s="78"/>
      <c r="K194" s="78"/>
      <c r="M194" s="78"/>
      <c r="N194" s="8">
        <f>+SUMIFS(N$2:N$149,$CB$2:$CB$149,Table1[[#This Row],[BAĞLANTI]])</f>
        <v>0</v>
      </c>
      <c r="O194" s="8">
        <f>+SUMIFS(O$2:O$149,$CB$2:$CB$149,Table1[[#This Row],[BAĞLANTI]])</f>
        <v>0</v>
      </c>
      <c r="P194" s="8">
        <f>+SUMIFS(P$2:P$149,$CB$2:$CB$149,Table1[[#This Row],[BAĞLANTI]])</f>
        <v>0</v>
      </c>
      <c r="Q194" s="8">
        <f>+SUMIFS(Q$2:Q$149,$CB$2:$CB$149,Table1[[#This Row],[BAĞLANTI]])</f>
        <v>0</v>
      </c>
      <c r="R194" s="8">
        <f>+SUMIFS(R$2:R$149,$CB$2:$CB$149,Table1[[#This Row],[BAĞLANTI]])</f>
        <v>1124.54</v>
      </c>
      <c r="S194" s="8">
        <f>+SUMIFS(S$2:S$149,$CB$2:$CB$149,Table1[[#This Row],[BAĞLANTI]])</f>
        <v>6547.55</v>
      </c>
      <c r="T194" s="8">
        <f>+SUMIFS(T$2:T$149,$CB$2:$CB$149,Table1[[#This Row],[BAĞLANTI]])</f>
        <v>5140.7640000000001</v>
      </c>
      <c r="U194" s="8">
        <f>+SUMIFS(U$2:U$149,$CB$2:$CB$149,Table1[[#This Row],[BAĞLANTI]])</f>
        <v>10127.77</v>
      </c>
      <c r="V194" s="8">
        <f>+SUMIFS(V$2:V$149,$CB$2:$CB$149,Table1[[#This Row],[BAĞLANTI]])</f>
        <v>12070.26</v>
      </c>
      <c r="W194" s="8">
        <f>+SUMIFS(W$2:W$149,$CB$2:$CB$149,Table1[[#This Row],[BAĞLANTI]])</f>
        <v>9680.1299999999992</v>
      </c>
      <c r="X194" s="10">
        <f>+SUMIFS(X$2:X$149,$CB$2:$CB$149,Table1[[#This Row],[BAĞLANTI]])</f>
        <v>9210.07</v>
      </c>
      <c r="Y194" s="8">
        <f>+SUMIFS(Y$2:Y$149,$CB$2:$CB$149,Table1[[#This Row],[BAĞLANTI]])</f>
        <v>24547.550133802863</v>
      </c>
      <c r="Z194" s="8">
        <f>+SUMIFS(Z$2:Z$149,$CB$2:$CB$149,Table1[[#This Row],[BAĞLANTI]])</f>
        <v>16470.517063380226</v>
      </c>
      <c r="AA194" s="8">
        <f>+SUMIFS(AA$2:AA$149,$CB$2:$CB$149,Table1[[#This Row],[BAĞLANTI]])</f>
        <v>16470.517063380226</v>
      </c>
      <c r="AB194" s="8">
        <f>+SUMIFS(AB$2:AB$149,$CB$2:$CB$149,Table1[[#This Row],[BAĞLANTI]])</f>
        <v>17796.597119718364</v>
      </c>
      <c r="AC194" s="8">
        <f>+SUMIFS(AC$2:AC$149,$CB$2:$CB$149,Table1[[#This Row],[BAĞLANTI]])</f>
        <v>14300.567880281682</v>
      </c>
      <c r="AD194" s="8">
        <f>+SUMIFS(AD$2:AD$149,$CB$2:$CB$149,Table1[[#This Row],[BAĞLANTI]])</f>
        <v>12251.171429577467</v>
      </c>
      <c r="AE194" s="8">
        <f>+SUMIFS(AE$2:AE$149,$CB$2:$CB$149,Table1[[#This Row],[BAĞLANTI]])</f>
        <v>12251.171429577467</v>
      </c>
      <c r="AF194" s="8">
        <f>+SUMIFS(AF$2:AF$149,$CB$2:$CB$149,Table1[[#This Row],[BAĞLANTI]])</f>
        <v>5741.323880281685</v>
      </c>
      <c r="AG194" s="8">
        <f>+SUMIFS(AG$2:AG$149,$CB$2:$CB$149,Table1[[#This Row],[BAĞLANTI]])</f>
        <v>0</v>
      </c>
      <c r="AH194" s="8">
        <f>+SUMIFS(AH$2:AH$149,$CB$2:$CB$149,Table1[[#This Row],[BAĞLANTI]])</f>
        <v>0</v>
      </c>
      <c r="AI194" s="8">
        <f>+SUMIFS(AI$2:AI$149,$CB$2:$CB$149,Table1[[#This Row],[BAĞLANTI]])</f>
        <v>0</v>
      </c>
      <c r="AJ194" s="8">
        <f>+SUMIFS(AJ$2:AJ$149,$CB$2:$CB$149,Table1[[#This Row],[BAĞLANTI]])</f>
        <v>0</v>
      </c>
      <c r="AK194" s="8">
        <f>+SUMIFS(AK$2:AK$149,$CB$2:$CB$149,Table1[[#This Row],[BAĞLANTI]])</f>
        <v>0</v>
      </c>
      <c r="AL194" s="8">
        <f>+SUMIFS(AL$2:AL$149,$CB$2:$CB$149,Table1[[#This Row],[BAĞLANTI]])</f>
        <v>0</v>
      </c>
      <c r="AM194" s="8">
        <f>+SUMIFS(AM$2:AM$149,$CB$2:$CB$149,Table1[[#This Row],[BAĞLANTI]])</f>
        <v>0</v>
      </c>
      <c r="AN194" s="8">
        <f>+SUMIFS(AN$2:AN$149,$CB$2:$CB$149,Table1[[#This Row],[BAĞLANTI]])</f>
        <v>0</v>
      </c>
      <c r="AO194" s="8">
        <f>+SUMIFS(AO$2:AO$149,$CB$2:$CB$149,Table1[[#This Row],[BAĞLANTI]])</f>
        <v>0</v>
      </c>
      <c r="AP194" s="8">
        <f>+SUMIFS(AP$2:AP$149,$CB$2:$CB$149,Table1[[#This Row],[BAĞLANTI]])</f>
        <v>0</v>
      </c>
      <c r="AQ194" s="8">
        <f>+SUMIFS(AQ$2:AQ$149,$CB$2:$CB$149,Table1[[#This Row],[BAĞLANTI]])</f>
        <v>0</v>
      </c>
      <c r="AR194" s="8">
        <f>+SUMIFS(AR$2:AR$149,$CB$2:$CB$149,Table1[[#This Row],[BAĞLANTI]])</f>
        <v>0</v>
      </c>
      <c r="AS194" s="8">
        <f>+SUMIFS(AS$2:AS$149,$CB$2:$CB$149,Table1[[#This Row],[BAĞLANTI]])</f>
        <v>0</v>
      </c>
      <c r="AT194" s="8">
        <f>+SUMIFS(AT$2:AT$149,$CB$2:$CB$149,Table1[[#This Row],[BAĞLANTI]])</f>
        <v>0</v>
      </c>
      <c r="AU194" s="8">
        <f>+SUMIFS(AU$2:AU$149,$CB$2:$CB$149,Table1[[#This Row],[BAĞLANTI]])</f>
        <v>0</v>
      </c>
      <c r="AV194" s="8">
        <f>+SUMIFS(AV$2:AV$149,$CB$2:$CB$149,Table1[[#This Row],[BAĞLANTI]])</f>
        <v>0</v>
      </c>
      <c r="AW194" s="8">
        <f>+SUMIFS(AW$2:AW$149,$CB$2:$CB$149,Table1[[#This Row],[BAĞLANTI]])</f>
        <v>0</v>
      </c>
      <c r="AX194" s="8">
        <f>+SUMIFS(AX$2:AX$149,$CB$2:$CB$149,Table1[[#This Row],[BAĞLANTI]])</f>
        <v>0</v>
      </c>
      <c r="AY194" s="8">
        <f>+SUMIFS(AY$2:AY$149,$CB$2:$CB$149,Table1[[#This Row],[BAĞLANTI]])</f>
        <v>0</v>
      </c>
      <c r="AZ194" s="8">
        <f>+SUMIFS(AZ$2:AZ$149,$CB$2:$CB$149,Table1[[#This Row],[BAĞLANTI]])</f>
        <v>0</v>
      </c>
      <c r="BA194" s="8">
        <f>+SUMIFS(BA$2:BA$149,$CB$2:$CB$149,Table1[[#This Row],[BAĞLANTI]])</f>
        <v>0</v>
      </c>
      <c r="BB194" s="8">
        <f>+SUMIFS(BB$2:BB$149,$CB$2:$CB$149,Table1[[#This Row],[BAĞLANTI]])</f>
        <v>0</v>
      </c>
      <c r="BC194" s="8">
        <f>+SUMIFS(BC$2:BC$149,$CB$2:$CB$149,Table1[[#This Row],[BAĞLANTI]])</f>
        <v>0</v>
      </c>
      <c r="BD194" s="8">
        <f>+SUMIFS(BD$2:BD$149,$CB$2:$CB$149,Table1[[#This Row],[BAĞLANTI]])</f>
        <v>0</v>
      </c>
      <c r="BE194" s="8">
        <f>+SUMIFS(BE$2:BE$149,$CB$2:$CB$149,Table1[[#This Row],[BAĞLANTI]])</f>
        <v>0</v>
      </c>
      <c r="BF194" s="8">
        <f>+SUMIFS(BF$2:BF$149,$CB$2:$CB$149,Table1[[#This Row],[BAĞLANTI]])</f>
        <v>0</v>
      </c>
      <c r="BG194" s="8">
        <f>+SUMIFS(BG$2:BG$149,$CB$2:$CB$149,Table1[[#This Row],[BAĞLANTI]])</f>
        <v>0</v>
      </c>
      <c r="BH194" s="8">
        <f>+SUMIFS(BH$2:BH$149,$CB$2:$CB$149,Table1[[#This Row],[BAĞLANTI]])</f>
        <v>0</v>
      </c>
      <c r="BI194" s="8">
        <f>+SUMIFS(BI$2:BI$149,$CB$2:$CB$149,Table1[[#This Row],[BAĞLANTI]])</f>
        <v>0</v>
      </c>
      <c r="BJ194" s="8">
        <f>+SUMIFS(BJ$2:BJ$149,$CB$2:$CB$149,Table1[[#This Row],[BAĞLANTI]])</f>
        <v>0</v>
      </c>
      <c r="BK194" s="8">
        <f>+SUMIFS(BK$2:BK$149,$CB$2:$CB$149,Table1[[#This Row],[BAĞLANTI]])</f>
        <v>0</v>
      </c>
      <c r="BL194" s="8">
        <f>+SUMIFS(BL$2:BL$149,$CB$2:$CB$149,Table1[[#This Row],[BAĞLANTI]])</f>
        <v>0</v>
      </c>
      <c r="BM194" s="8">
        <f>+SUMIFS(BM$2:BM$149,$CB$2:$CB$149,Table1[[#This Row],[BAĞLANTI]])</f>
        <v>0</v>
      </c>
      <c r="BN194" s="8">
        <f>+SUMIFS(BN$2:BN$149,$CB$2:$CB$149,Table1[[#This Row],[BAĞLANTI]])</f>
        <v>0</v>
      </c>
      <c r="BO194" s="8">
        <f>+SUMIFS(BO$2:BO$149,$CB$2:$CB$149,Table1[[#This Row],[BAĞLANTI]])</f>
        <v>0</v>
      </c>
      <c r="BP194" s="8">
        <f>+SUMIFS(BP$2:BP$149,$CB$2:$CB$149,Table1[[#This Row],[BAĞLANTI]])</f>
        <v>0</v>
      </c>
      <c r="BQ194" s="8">
        <f>+SUMIFS(BQ$2:BQ$149,$CB$2:$CB$149,Table1[[#This Row],[BAĞLANTI]])</f>
        <v>0</v>
      </c>
      <c r="BR194" s="8">
        <f>+SUMIFS(BR$2:BR$149,$CB$2:$CB$149,Table1[[#This Row],[BAĞLANTI]])</f>
        <v>0</v>
      </c>
      <c r="BS194" s="8">
        <f>+SUMIFS(BS$2:BS$149,$CB$2:$CB$149,Table1[[#This Row],[BAĞLANTI]])</f>
        <v>0</v>
      </c>
      <c r="BT194" s="8">
        <f>+SUMIFS(BT$2:BT$149,$CB$2:$CB$149,Table1[[#This Row],[BAĞLANTI]])</f>
        <v>0</v>
      </c>
      <c r="BU194" s="8">
        <f>+SUMIFS(BU$2:BU$149,$CB$2:$CB$149,Table1[[#This Row],[BAĞLANTI]])</f>
        <v>0</v>
      </c>
      <c r="BV194" s="8">
        <f>+SUMIFS(BV$2:BV$149,$CB$2:$CB$149,Table1[[#This Row],[BAĞLANTI]])</f>
        <v>0</v>
      </c>
      <c r="BW194" s="8">
        <f>+SUMIFS(BW$2:BW$149,$CB$2:$CB$149,Table1[[#This Row],[BAĞLANTI]])</f>
        <v>0</v>
      </c>
      <c r="BX194" s="8">
        <f>+SUMIFS(BX$2:BX$149,$CB$2:$CB$149,Table1[[#This Row],[BAĞLANTI]])</f>
        <v>0</v>
      </c>
      <c r="BY194" s="8">
        <f>+SUMIFS(BY$2:BY$149,$CB$2:$CB$149,Table1[[#This Row],[BAĞLANTI]])</f>
        <v>0</v>
      </c>
      <c r="BZ194" s="8">
        <f>+SUMIFS(BZ$2:BZ$149,$CB$2:$CB$149,Table1[[#This Row],[BAĞLANTI]])</f>
        <v>0</v>
      </c>
      <c r="CA194" s="8">
        <f>+SUMIFS(CA$2:CA$149,$CB$2:$CB$149,Table1[[#This Row],[BAĞLANTI]])</f>
        <v>0</v>
      </c>
      <c r="CB194" s="8" t="s">
        <v>5398</v>
      </c>
    </row>
    <row r="195" spans="1:80">
      <c r="A195" s="3" t="s">
        <v>5444</v>
      </c>
      <c r="B195" t="s">
        <v>16</v>
      </c>
      <c r="C195" t="s">
        <v>308</v>
      </c>
      <c r="D195" t="s">
        <v>5182</v>
      </c>
      <c r="E195" t="s">
        <v>5183</v>
      </c>
      <c r="F195" s="77" t="s">
        <v>4973</v>
      </c>
      <c r="G195" t="s">
        <v>4983</v>
      </c>
      <c r="H195" s="3" t="s">
        <v>4984</v>
      </c>
      <c r="I195" s="3" t="s">
        <v>5194</v>
      </c>
      <c r="J195" s="78"/>
      <c r="K195" s="78"/>
      <c r="M195" s="78"/>
      <c r="N195" s="8">
        <f>+SUMIFS(N$2:N$149,$CB$2:$CB$149,Table1[[#This Row],[BAĞLANTI]])</f>
        <v>0</v>
      </c>
      <c r="O195" s="8">
        <f>+SUMIFS(O$2:O$149,$CB$2:$CB$149,Table1[[#This Row],[BAĞLANTI]])</f>
        <v>0</v>
      </c>
      <c r="P195" s="8">
        <f>+SUMIFS(P$2:P$149,$CB$2:$CB$149,Table1[[#This Row],[BAĞLANTI]])</f>
        <v>0</v>
      </c>
      <c r="Q195" s="8">
        <f>+SUMIFS(Q$2:Q$149,$CB$2:$CB$149,Table1[[#This Row],[BAĞLANTI]])</f>
        <v>0</v>
      </c>
      <c r="R195" s="8">
        <f>+SUMIFS(R$2:R$149,$CB$2:$CB$149,Table1[[#This Row],[BAĞLANTI]])</f>
        <v>0</v>
      </c>
      <c r="S195" s="8">
        <f>+SUMIFS(S$2:S$149,$CB$2:$CB$149,Table1[[#This Row],[BAĞLANTI]])</f>
        <v>0</v>
      </c>
      <c r="T195" s="8">
        <f>+SUMIFS(T$2:T$149,$CB$2:$CB$149,Table1[[#This Row],[BAĞLANTI]])</f>
        <v>0</v>
      </c>
      <c r="U195" s="8">
        <f>+SUMIFS(U$2:U$149,$CB$2:$CB$149,Table1[[#This Row],[BAĞLANTI]])</f>
        <v>1400.3529016666666</v>
      </c>
      <c r="V195" s="8">
        <f>+SUMIFS(V$2:V$149,$CB$2:$CB$149,Table1[[#This Row],[BAĞLANTI]])</f>
        <v>834.56409833333328</v>
      </c>
      <c r="W195" s="8">
        <f>+SUMIFS(W$2:W$149,$CB$2:$CB$149,Table1[[#This Row],[BAĞLANTI]])</f>
        <v>3012.3340000000003</v>
      </c>
      <c r="X195" s="10">
        <f>+SUMIFS(X$2:X$149,$CB$2:$CB$149,Table1[[#This Row],[BAĞLANTI]])</f>
        <v>5853.5390000000007</v>
      </c>
      <c r="Y195" s="8">
        <f>+SUMIFS(Y$2:Y$149,$CB$2:$CB$149,Table1[[#This Row],[BAĞLANTI]])</f>
        <v>5458.2773513800439</v>
      </c>
      <c r="Z195" s="8">
        <f>+SUMIFS(Z$2:Z$149,$CB$2:$CB$149,Table1[[#This Row],[BAĞLANTI]])</f>
        <v>5458.2773513800439</v>
      </c>
      <c r="AA195" s="8">
        <f>+SUMIFS(AA$2:AA$149,$CB$2:$CB$149,Table1[[#This Row],[BAĞLANTI]])</f>
        <v>5458.2773513800439</v>
      </c>
      <c r="AB195" s="8">
        <f>+SUMIFS(AB$2:AB$149,$CB$2:$CB$149,Table1[[#This Row],[BAĞLANTI]])</f>
        <v>5458.2773513800439</v>
      </c>
      <c r="AC195" s="8">
        <f>+SUMIFS(AC$2:AC$149,$CB$2:$CB$149,Table1[[#This Row],[BAĞLANTI]])</f>
        <v>10408.80797239915</v>
      </c>
      <c r="AD195" s="8">
        <f>+SUMIFS(AD$2:AD$149,$CB$2:$CB$149,Table1[[#This Row],[BAĞLANTI]])</f>
        <v>10408.80797239915</v>
      </c>
      <c r="AE195" s="8">
        <f>+SUMIFS(AE$2:AE$149,$CB$2:$CB$149,Table1[[#This Row],[BAĞLANTI]])</f>
        <v>12947.541624203815</v>
      </c>
      <c r="AF195" s="8">
        <f>+SUMIFS(AF$2:AF$149,$CB$2:$CB$149,Table1[[#This Row],[BAĞLANTI]])</f>
        <v>12947.541624203815</v>
      </c>
      <c r="AG195" s="8">
        <f>+SUMIFS(AG$2:AG$149,$CB$2:$CB$149,Table1[[#This Row],[BAĞLANTI]])</f>
        <v>6854.5808598726107</v>
      </c>
      <c r="AH195" s="8">
        <f>+SUMIFS(AH$2:AH$149,$CB$2:$CB$149,Table1[[#This Row],[BAĞLANTI]])</f>
        <v>9393.3145116772885</v>
      </c>
      <c r="AI195" s="8">
        <f>+SUMIFS(AI$2:AI$149,$CB$2:$CB$149,Table1[[#This Row],[BAĞLANTI]])</f>
        <v>9393.3145116772885</v>
      </c>
      <c r="AJ195" s="8">
        <f>+SUMIFS(AJ$2:AJ$149,$CB$2:$CB$149,Table1[[#This Row],[BAĞLANTI]])</f>
        <v>9139.4411464968198</v>
      </c>
      <c r="AK195" s="8">
        <f>+SUMIFS(AK$2:AK$149,$CB$2:$CB$149,Table1[[#This Row],[BAĞLANTI]])</f>
        <v>14597.718497876855</v>
      </c>
      <c r="AL195" s="8">
        <f>+SUMIFS(AL$2:AL$149,$CB$2:$CB$149,Table1[[#This Row],[BAĞLANTI]])</f>
        <v>1650.1768736730355</v>
      </c>
      <c r="AM195" s="8">
        <f>+SUMIFS(AM$2:AM$149,$CB$2:$CB$149,Table1[[#This Row],[BAĞLANTI]])</f>
        <v>0</v>
      </c>
      <c r="AN195" s="8">
        <f>+SUMIFS(AN$2:AN$149,$CB$2:$CB$149,Table1[[#This Row],[BAĞLANTI]])</f>
        <v>0</v>
      </c>
      <c r="AO195" s="8">
        <f>+SUMIFS(AO$2:AO$149,$CB$2:$CB$149,Table1[[#This Row],[BAĞLANTI]])</f>
        <v>0</v>
      </c>
      <c r="AP195" s="8">
        <f>+SUMIFS(AP$2:AP$149,$CB$2:$CB$149,Table1[[#This Row],[BAĞLANTI]])</f>
        <v>0</v>
      </c>
      <c r="AQ195" s="8">
        <f>+SUMIFS(AQ$2:AQ$149,$CB$2:$CB$149,Table1[[#This Row],[BAĞLANTI]])</f>
        <v>0</v>
      </c>
      <c r="AR195" s="8">
        <f>+SUMIFS(AR$2:AR$149,$CB$2:$CB$149,Table1[[#This Row],[BAĞLANTI]])</f>
        <v>0</v>
      </c>
      <c r="AS195" s="8">
        <f>+SUMIFS(AS$2:AS$149,$CB$2:$CB$149,Table1[[#This Row],[BAĞLANTI]])</f>
        <v>0</v>
      </c>
      <c r="AT195" s="8">
        <f>+SUMIFS(AT$2:AT$149,$CB$2:$CB$149,Table1[[#This Row],[BAĞLANTI]])</f>
        <v>0</v>
      </c>
      <c r="AU195" s="8">
        <f>+SUMIFS(AU$2:AU$149,$CB$2:$CB$149,Table1[[#This Row],[BAĞLANTI]])</f>
        <v>0</v>
      </c>
      <c r="AV195" s="8">
        <f>+SUMIFS(AV$2:AV$149,$CB$2:$CB$149,Table1[[#This Row],[BAĞLANTI]])</f>
        <v>0</v>
      </c>
      <c r="AW195" s="8">
        <f>+SUMIFS(AW$2:AW$149,$CB$2:$CB$149,Table1[[#This Row],[BAĞLANTI]])</f>
        <v>0</v>
      </c>
      <c r="AX195" s="8">
        <f>+SUMIFS(AX$2:AX$149,$CB$2:$CB$149,Table1[[#This Row],[BAĞLANTI]])</f>
        <v>0</v>
      </c>
      <c r="AY195" s="8">
        <f>+SUMIFS(AY$2:AY$149,$CB$2:$CB$149,Table1[[#This Row],[BAĞLANTI]])</f>
        <v>0</v>
      </c>
      <c r="AZ195" s="8">
        <f>+SUMIFS(AZ$2:AZ$149,$CB$2:$CB$149,Table1[[#This Row],[BAĞLANTI]])</f>
        <v>0</v>
      </c>
      <c r="BA195" s="8">
        <f>+SUMIFS(BA$2:BA$149,$CB$2:$CB$149,Table1[[#This Row],[BAĞLANTI]])</f>
        <v>0</v>
      </c>
      <c r="BB195" s="8">
        <f>+SUMIFS(BB$2:BB$149,$CB$2:$CB$149,Table1[[#This Row],[BAĞLANTI]])</f>
        <v>0</v>
      </c>
      <c r="BC195" s="8">
        <f>+SUMIFS(BC$2:BC$149,$CB$2:$CB$149,Table1[[#This Row],[BAĞLANTI]])</f>
        <v>0</v>
      </c>
      <c r="BD195" s="8">
        <f>+SUMIFS(BD$2:BD$149,$CB$2:$CB$149,Table1[[#This Row],[BAĞLANTI]])</f>
        <v>0</v>
      </c>
      <c r="BE195" s="8">
        <f>+SUMIFS(BE$2:BE$149,$CB$2:$CB$149,Table1[[#This Row],[BAĞLANTI]])</f>
        <v>0</v>
      </c>
      <c r="BF195" s="8">
        <f>+SUMIFS(BF$2:BF$149,$CB$2:$CB$149,Table1[[#This Row],[BAĞLANTI]])</f>
        <v>0</v>
      </c>
      <c r="BG195" s="8">
        <f>+SUMIFS(BG$2:BG$149,$CB$2:$CB$149,Table1[[#This Row],[BAĞLANTI]])</f>
        <v>0</v>
      </c>
      <c r="BH195" s="8">
        <f>+SUMIFS(BH$2:BH$149,$CB$2:$CB$149,Table1[[#This Row],[BAĞLANTI]])</f>
        <v>0</v>
      </c>
      <c r="BI195" s="8">
        <f>+SUMIFS(BI$2:BI$149,$CB$2:$CB$149,Table1[[#This Row],[BAĞLANTI]])</f>
        <v>0</v>
      </c>
      <c r="BJ195" s="8">
        <f>+SUMIFS(BJ$2:BJ$149,$CB$2:$CB$149,Table1[[#This Row],[BAĞLANTI]])</f>
        <v>0</v>
      </c>
      <c r="BK195" s="8">
        <f>+SUMIFS(BK$2:BK$149,$CB$2:$CB$149,Table1[[#This Row],[BAĞLANTI]])</f>
        <v>0</v>
      </c>
      <c r="BL195" s="8">
        <f>+SUMIFS(BL$2:BL$149,$CB$2:$CB$149,Table1[[#This Row],[BAĞLANTI]])</f>
        <v>0</v>
      </c>
      <c r="BM195" s="8">
        <f>+SUMIFS(BM$2:BM$149,$CB$2:$CB$149,Table1[[#This Row],[BAĞLANTI]])</f>
        <v>0</v>
      </c>
      <c r="BN195" s="8">
        <f>+SUMIFS(BN$2:BN$149,$CB$2:$CB$149,Table1[[#This Row],[BAĞLANTI]])</f>
        <v>0</v>
      </c>
      <c r="BO195" s="8">
        <f>+SUMIFS(BO$2:BO$149,$CB$2:$CB$149,Table1[[#This Row],[BAĞLANTI]])</f>
        <v>0</v>
      </c>
      <c r="BP195" s="8">
        <f>+SUMIFS(BP$2:BP$149,$CB$2:$CB$149,Table1[[#This Row],[BAĞLANTI]])</f>
        <v>0</v>
      </c>
      <c r="BQ195" s="8">
        <f>+SUMIFS(BQ$2:BQ$149,$CB$2:$CB$149,Table1[[#This Row],[BAĞLANTI]])</f>
        <v>0</v>
      </c>
      <c r="BR195" s="8">
        <f>+SUMIFS(BR$2:BR$149,$CB$2:$CB$149,Table1[[#This Row],[BAĞLANTI]])</f>
        <v>0</v>
      </c>
      <c r="BS195" s="8">
        <f>+SUMIFS(BS$2:BS$149,$CB$2:$CB$149,Table1[[#This Row],[BAĞLANTI]])</f>
        <v>0</v>
      </c>
      <c r="BT195" s="8">
        <f>+SUMIFS(BT$2:BT$149,$CB$2:$CB$149,Table1[[#This Row],[BAĞLANTI]])</f>
        <v>0</v>
      </c>
      <c r="BU195" s="8">
        <f>+SUMIFS(BU$2:BU$149,$CB$2:$CB$149,Table1[[#This Row],[BAĞLANTI]])</f>
        <v>0</v>
      </c>
      <c r="BV195" s="8">
        <f>+SUMIFS(BV$2:BV$149,$CB$2:$CB$149,Table1[[#This Row],[BAĞLANTI]])</f>
        <v>0</v>
      </c>
      <c r="BW195" s="8">
        <f>+SUMIFS(BW$2:BW$149,$CB$2:$CB$149,Table1[[#This Row],[BAĞLANTI]])</f>
        <v>0</v>
      </c>
      <c r="BX195" s="8">
        <f>+SUMIFS(BX$2:BX$149,$CB$2:$CB$149,Table1[[#This Row],[BAĞLANTI]])</f>
        <v>0</v>
      </c>
      <c r="BY195" s="8">
        <f>+SUMIFS(BY$2:BY$149,$CB$2:$CB$149,Table1[[#This Row],[BAĞLANTI]])</f>
        <v>0</v>
      </c>
      <c r="BZ195" s="8">
        <f>+SUMIFS(BZ$2:BZ$149,$CB$2:$CB$149,Table1[[#This Row],[BAĞLANTI]])</f>
        <v>0</v>
      </c>
      <c r="CA195" s="8">
        <f>+SUMIFS(CA$2:CA$149,$CB$2:$CB$149,Table1[[#This Row],[BAĞLANTI]])</f>
        <v>0</v>
      </c>
      <c r="CB195" s="8" t="s">
        <v>5411</v>
      </c>
    </row>
    <row r="196" spans="1:80">
      <c r="A196" s="3" t="s">
        <v>5444</v>
      </c>
      <c r="B196" t="s">
        <v>17</v>
      </c>
      <c r="C196" t="s">
        <v>312</v>
      </c>
      <c r="D196" t="s">
        <v>72</v>
      </c>
      <c r="E196" t="s">
        <v>4974</v>
      </c>
      <c r="F196" s="77" t="s">
        <v>4973</v>
      </c>
      <c r="G196" t="s">
        <v>4983</v>
      </c>
      <c r="H196" s="3" t="s">
        <v>4984</v>
      </c>
      <c r="I196" s="3" t="s">
        <v>5194</v>
      </c>
      <c r="J196" s="78"/>
      <c r="K196" s="78"/>
      <c r="M196" s="78"/>
      <c r="N196" s="8">
        <f>+SUMIFS(N$2:N$149,$CB$2:$CB$149,Table1[[#This Row],[BAĞLANTI]])</f>
        <v>0</v>
      </c>
      <c r="O196" s="8">
        <f>+SUMIFS(O$2:O$149,$CB$2:$CB$149,Table1[[#This Row],[BAĞLANTI]])</f>
        <v>0</v>
      </c>
      <c r="P196" s="8">
        <f>+SUMIFS(P$2:P$149,$CB$2:$CB$149,Table1[[#This Row],[BAĞLANTI]])</f>
        <v>0</v>
      </c>
      <c r="Q196" s="8">
        <f>+SUMIFS(Q$2:Q$149,$CB$2:$CB$149,Table1[[#This Row],[BAĞLANTI]])</f>
        <v>0</v>
      </c>
      <c r="R196" s="8">
        <f>+SUMIFS(R$2:R$149,$CB$2:$CB$149,Table1[[#This Row],[BAĞLANTI]])</f>
        <v>0</v>
      </c>
      <c r="S196" s="8">
        <f>+SUMIFS(S$2:S$149,$CB$2:$CB$149,Table1[[#This Row],[BAĞLANTI]])</f>
        <v>0</v>
      </c>
      <c r="T196" s="8">
        <f>+SUMIFS(T$2:T$149,$CB$2:$CB$149,Table1[[#This Row],[BAĞLANTI]])</f>
        <v>12.093</v>
      </c>
      <c r="U196" s="8">
        <f>+SUMIFS(U$2:U$149,$CB$2:$CB$149,Table1[[#This Row],[BAĞLANTI]])</f>
        <v>86.115600499999942</v>
      </c>
      <c r="V196" s="8">
        <f>+SUMIFS(V$2:V$149,$CB$2:$CB$149,Table1[[#This Row],[BAĞLANTI]])</f>
        <v>66.574017000000012</v>
      </c>
      <c r="W196" s="8">
        <f>+SUMIFS(W$2:W$149,$CB$2:$CB$149,Table1[[#This Row],[BAĞLANTI]])</f>
        <v>108.56200000000001</v>
      </c>
      <c r="X196" s="10">
        <f>+SUMIFS(X$2:X$149,$CB$2:$CB$149,Table1[[#This Row],[BAĞLANTI]])</f>
        <v>124.81400000000019</v>
      </c>
      <c r="Y196" s="8">
        <f>+SUMIFS(Y$2:Y$149,$CB$2:$CB$149,Table1[[#This Row],[BAĞLANTI]])</f>
        <v>25.902800582781463</v>
      </c>
      <c r="Z196" s="8">
        <f>+SUMIFS(Z$2:Z$149,$CB$2:$CB$149,Table1[[#This Row],[BAĞLANTI]])</f>
        <v>23.842350536423819</v>
      </c>
      <c r="AA196" s="8">
        <f>+SUMIFS(AA$2:AA$149,$CB$2:$CB$149,Table1[[#This Row],[BAĞLANTI]])</f>
        <v>12.951400291390712</v>
      </c>
      <c r="AB196" s="8">
        <f>+SUMIFS(AB$2:AB$149,$CB$2:$CB$149,Table1[[#This Row],[BAĞLANTI]])</f>
        <v>12.951400291390712</v>
      </c>
      <c r="AC196" s="8">
        <f>+SUMIFS(AC$2:AC$149,$CB$2:$CB$149,Table1[[#This Row],[BAĞLANTI]])</f>
        <v>12.951400291390712</v>
      </c>
      <c r="AD196" s="8">
        <f>+SUMIFS(AD$2:AD$149,$CB$2:$CB$149,Table1[[#This Row],[BAĞLANTI]])</f>
        <v>12.951400291390712</v>
      </c>
      <c r="AE196" s="8">
        <f>+SUMIFS(AE$2:AE$149,$CB$2:$CB$149,Table1[[#This Row],[BAĞLANTI]])</f>
        <v>12.951400291390712</v>
      </c>
      <c r="AF196" s="8">
        <f>+SUMIFS(AF$2:AF$149,$CB$2:$CB$149,Table1[[#This Row],[BAĞLANTI]])</f>
        <v>9.7135502185430358</v>
      </c>
      <c r="AG196" s="8">
        <f>+SUMIFS(AG$2:AG$149,$CB$2:$CB$149,Table1[[#This Row],[BAĞLANTI]])</f>
        <v>12.951400291390712</v>
      </c>
      <c r="AH196" s="8">
        <f>+SUMIFS(AH$2:AH$149,$CB$2:$CB$149,Table1[[#This Row],[BAĞLANTI]])</f>
        <v>9.7135502185430358</v>
      </c>
      <c r="AI196" s="8">
        <f>+SUMIFS(AI$2:AI$149,$CB$2:$CB$149,Table1[[#This Row],[BAĞLANTI]])</f>
        <v>12.951400291390712</v>
      </c>
      <c r="AJ196" s="8">
        <f>+SUMIFS(AJ$2:AJ$149,$CB$2:$CB$149,Table1[[#This Row],[BAĞLANTI]])</f>
        <v>12.951400291390712</v>
      </c>
      <c r="AK196" s="8">
        <f>+SUMIFS(AK$2:AK$149,$CB$2:$CB$149,Table1[[#This Row],[BAĞLANTI]])</f>
        <v>12.951400291390712</v>
      </c>
      <c r="AL196" s="8">
        <f>+SUMIFS(AL$2:AL$149,$CB$2:$CB$149,Table1[[#This Row],[BAĞLANTI]])</f>
        <v>12.951400291390712</v>
      </c>
      <c r="AM196" s="8">
        <f>+SUMIFS(AM$2:AM$149,$CB$2:$CB$149,Table1[[#This Row],[BAĞLANTI]])</f>
        <v>12.951400291390712</v>
      </c>
      <c r="AN196" s="8">
        <f>+SUMIFS(AN$2:AN$149,$CB$2:$CB$149,Table1[[#This Row],[BAĞLANTI]])</f>
        <v>12.951400291390712</v>
      </c>
      <c r="AO196" s="8">
        <f>+SUMIFS(AO$2:AO$149,$CB$2:$CB$149,Table1[[#This Row],[BAĞLANTI]])</f>
        <v>12.951400291390712</v>
      </c>
      <c r="AP196" s="8">
        <f>+SUMIFS(AP$2:AP$149,$CB$2:$CB$149,Table1[[#This Row],[BAĞLANTI]])</f>
        <v>12.951400291390712</v>
      </c>
      <c r="AQ196" s="8">
        <f>+SUMIFS(AQ$2:AQ$149,$CB$2:$CB$149,Table1[[#This Row],[BAĞLANTI]])</f>
        <v>9.7135502185430358</v>
      </c>
      <c r="AR196" s="8">
        <f>+SUMIFS(AR$2:AR$149,$CB$2:$CB$149,Table1[[#This Row],[BAĞLANTI]])</f>
        <v>11.479650258278131</v>
      </c>
      <c r="AS196" s="8">
        <f>+SUMIFS(AS$2:AS$149,$CB$2:$CB$149,Table1[[#This Row],[BAĞLANTI]])</f>
        <v>7.0644001589404102</v>
      </c>
      <c r="AT196" s="8">
        <f>+SUMIFS(AT$2:AT$149,$CB$2:$CB$149,Table1[[#This Row],[BAĞLANTI]])</f>
        <v>21.781900490066182</v>
      </c>
      <c r="AU196" s="8">
        <f>+SUMIFS(AU$2:AU$149,$CB$2:$CB$149,Table1[[#This Row],[BAĞLANTI]])</f>
        <v>7.0644001589404102</v>
      </c>
      <c r="AV196" s="8">
        <f>+SUMIFS(AV$2:AV$149,$CB$2:$CB$149,Table1[[#This Row],[BAĞLANTI]])</f>
        <v>7.0644001589404102</v>
      </c>
      <c r="AW196" s="8">
        <f>+SUMIFS(AW$2:AW$149,$CB$2:$CB$149,Table1[[#This Row],[BAĞLANTI]])</f>
        <v>7.0644001589404102</v>
      </c>
      <c r="AX196" s="8">
        <f>+SUMIFS(AX$2:AX$149,$CB$2:$CB$149,Table1[[#This Row],[BAĞLANTI]])</f>
        <v>7.0644001589404102</v>
      </c>
      <c r="AY196" s="8">
        <f>+SUMIFS(AY$2:AY$149,$CB$2:$CB$149,Table1[[#This Row],[BAĞLANTI]])</f>
        <v>4.5624251026489908</v>
      </c>
      <c r="AZ196" s="8">
        <f>+SUMIFS(AZ$2:AZ$149,$CB$2:$CB$149,Table1[[#This Row],[BAĞLANTI]])</f>
        <v>0</v>
      </c>
      <c r="BA196" s="8">
        <f>+SUMIFS(BA$2:BA$149,$CB$2:$CB$149,Table1[[#This Row],[BAĞLANTI]])</f>
        <v>0</v>
      </c>
      <c r="BB196" s="8">
        <f>+SUMIFS(BB$2:BB$149,$CB$2:$CB$149,Table1[[#This Row],[BAĞLANTI]])</f>
        <v>0</v>
      </c>
      <c r="BC196" s="8">
        <f>+SUMIFS(BC$2:BC$149,$CB$2:$CB$149,Table1[[#This Row],[BAĞLANTI]])</f>
        <v>0</v>
      </c>
      <c r="BD196" s="8">
        <f>+SUMIFS(BD$2:BD$149,$CB$2:$CB$149,Table1[[#This Row],[BAĞLANTI]])</f>
        <v>0</v>
      </c>
      <c r="BE196" s="8">
        <f>+SUMIFS(BE$2:BE$149,$CB$2:$CB$149,Table1[[#This Row],[BAĞLANTI]])</f>
        <v>0</v>
      </c>
      <c r="BF196" s="8">
        <f>+SUMIFS(BF$2:BF$149,$CB$2:$CB$149,Table1[[#This Row],[BAĞLANTI]])</f>
        <v>0</v>
      </c>
      <c r="BG196" s="8">
        <f>+SUMIFS(BG$2:BG$149,$CB$2:$CB$149,Table1[[#This Row],[BAĞLANTI]])</f>
        <v>0</v>
      </c>
      <c r="BH196" s="8">
        <f>+SUMIFS(BH$2:BH$149,$CB$2:$CB$149,Table1[[#This Row],[BAĞLANTI]])</f>
        <v>0</v>
      </c>
      <c r="BI196" s="8">
        <f>+SUMIFS(BI$2:BI$149,$CB$2:$CB$149,Table1[[#This Row],[BAĞLANTI]])</f>
        <v>0</v>
      </c>
      <c r="BJ196" s="8">
        <f>+SUMIFS(BJ$2:BJ$149,$CB$2:$CB$149,Table1[[#This Row],[BAĞLANTI]])</f>
        <v>0</v>
      </c>
      <c r="BK196" s="8">
        <f>+SUMIFS(BK$2:BK$149,$CB$2:$CB$149,Table1[[#This Row],[BAĞLANTI]])</f>
        <v>0</v>
      </c>
      <c r="BL196" s="8">
        <f>+SUMIFS(BL$2:BL$149,$CB$2:$CB$149,Table1[[#This Row],[BAĞLANTI]])</f>
        <v>0</v>
      </c>
      <c r="BM196" s="8">
        <f>+SUMIFS(BM$2:BM$149,$CB$2:$CB$149,Table1[[#This Row],[BAĞLANTI]])</f>
        <v>0</v>
      </c>
      <c r="BN196" s="8">
        <f>+SUMIFS(BN$2:BN$149,$CB$2:$CB$149,Table1[[#This Row],[BAĞLANTI]])</f>
        <v>0</v>
      </c>
      <c r="BO196" s="8">
        <f>+SUMIFS(BO$2:BO$149,$CB$2:$CB$149,Table1[[#This Row],[BAĞLANTI]])</f>
        <v>0</v>
      </c>
      <c r="BP196" s="8">
        <f>+SUMIFS(BP$2:BP$149,$CB$2:$CB$149,Table1[[#This Row],[BAĞLANTI]])</f>
        <v>0</v>
      </c>
      <c r="BQ196" s="8">
        <f>+SUMIFS(BQ$2:BQ$149,$CB$2:$CB$149,Table1[[#This Row],[BAĞLANTI]])</f>
        <v>0</v>
      </c>
      <c r="BR196" s="8">
        <f>+SUMIFS(BR$2:BR$149,$CB$2:$CB$149,Table1[[#This Row],[BAĞLANTI]])</f>
        <v>0</v>
      </c>
      <c r="BS196" s="8">
        <f>+SUMIFS(BS$2:BS$149,$CB$2:$CB$149,Table1[[#This Row],[BAĞLANTI]])</f>
        <v>0</v>
      </c>
      <c r="BT196" s="8">
        <f>+SUMIFS(BT$2:BT$149,$CB$2:$CB$149,Table1[[#This Row],[BAĞLANTI]])</f>
        <v>0</v>
      </c>
      <c r="BU196" s="8">
        <f>+SUMIFS(BU$2:BU$149,$CB$2:$CB$149,Table1[[#This Row],[BAĞLANTI]])</f>
        <v>0</v>
      </c>
      <c r="BV196" s="8">
        <f>+SUMIFS(BV$2:BV$149,$CB$2:$CB$149,Table1[[#This Row],[BAĞLANTI]])</f>
        <v>0</v>
      </c>
      <c r="BW196" s="8">
        <f>+SUMIFS(BW$2:BW$149,$CB$2:$CB$149,Table1[[#This Row],[BAĞLANTI]])</f>
        <v>0</v>
      </c>
      <c r="BX196" s="8">
        <f>+SUMIFS(BX$2:BX$149,$CB$2:$CB$149,Table1[[#This Row],[BAĞLANTI]])</f>
        <v>0</v>
      </c>
      <c r="BY196" s="8">
        <f>+SUMIFS(BY$2:BY$149,$CB$2:$CB$149,Table1[[#This Row],[BAĞLANTI]])</f>
        <v>0</v>
      </c>
      <c r="BZ196" s="8">
        <f>+SUMIFS(BZ$2:BZ$149,$CB$2:$CB$149,Table1[[#This Row],[BAĞLANTI]])</f>
        <v>0</v>
      </c>
      <c r="CA196" s="8">
        <f>+SUMIFS(CA$2:CA$149,$CB$2:$CB$149,Table1[[#This Row],[BAĞLANTI]])</f>
        <v>0</v>
      </c>
      <c r="CB196" s="8" t="s">
        <v>5399</v>
      </c>
    </row>
    <row r="197" spans="1:80">
      <c r="A197" s="3" t="s">
        <v>5444</v>
      </c>
      <c r="B197" t="s">
        <v>17</v>
      </c>
      <c r="C197" t="s">
        <v>312</v>
      </c>
      <c r="D197" t="s">
        <v>74</v>
      </c>
      <c r="E197" t="s">
        <v>4975</v>
      </c>
      <c r="F197" s="77" t="s">
        <v>4973</v>
      </c>
      <c r="G197" t="s">
        <v>4983</v>
      </c>
      <c r="H197" s="3" t="s">
        <v>4984</v>
      </c>
      <c r="I197" s="3" t="s">
        <v>5194</v>
      </c>
      <c r="J197" s="78"/>
      <c r="K197" s="78"/>
      <c r="M197" s="78"/>
      <c r="N197" s="8">
        <f>+SUMIFS(N$2:N$149,$CB$2:$CB$149,Table1[[#This Row],[BAĞLANTI]])</f>
        <v>0</v>
      </c>
      <c r="O197" s="8">
        <f>+SUMIFS(O$2:O$149,$CB$2:$CB$149,Table1[[#This Row],[BAĞLANTI]])</f>
        <v>0</v>
      </c>
      <c r="P197" s="8">
        <f>+SUMIFS(P$2:P$149,$CB$2:$CB$149,Table1[[#This Row],[BAĞLANTI]])</f>
        <v>0</v>
      </c>
      <c r="Q197" s="8">
        <f>+SUMIFS(Q$2:Q$149,$CB$2:$CB$149,Table1[[#This Row],[BAĞLANTI]])</f>
        <v>0</v>
      </c>
      <c r="R197" s="8">
        <f>+SUMIFS(R$2:R$149,$CB$2:$CB$149,Table1[[#This Row],[BAĞLANTI]])</f>
        <v>9.6999999999999993</v>
      </c>
      <c r="S197" s="8">
        <f>+SUMIFS(S$2:S$149,$CB$2:$CB$149,Table1[[#This Row],[BAĞLANTI]])</f>
        <v>56.86</v>
      </c>
      <c r="T197" s="8">
        <f>+SUMIFS(T$2:T$149,$CB$2:$CB$149,Table1[[#This Row],[BAĞLANTI]])</f>
        <v>33.866</v>
      </c>
      <c r="U197" s="8">
        <f>+SUMIFS(U$2:U$149,$CB$2:$CB$149,Table1[[#This Row],[BAĞLANTI]])</f>
        <v>87.11</v>
      </c>
      <c r="V197" s="8">
        <f>+SUMIFS(V$2:V$149,$CB$2:$CB$149,Table1[[#This Row],[BAĞLANTI]])</f>
        <v>104.61</v>
      </c>
      <c r="W197" s="8">
        <f>+SUMIFS(W$2:W$149,$CB$2:$CB$149,Table1[[#This Row],[BAĞLANTI]])</f>
        <v>70.8</v>
      </c>
      <c r="X197" s="10">
        <f>+SUMIFS(X$2:X$149,$CB$2:$CB$149,Table1[[#This Row],[BAĞLANTI]])</f>
        <v>48.1</v>
      </c>
      <c r="Y197" s="8">
        <f>+SUMIFS(Y$2:Y$149,$CB$2:$CB$149,Table1[[#This Row],[BAĞLANTI]])</f>
        <v>128.75778244466824</v>
      </c>
      <c r="Z197" s="8">
        <f>+SUMIFS(Z$2:Z$149,$CB$2:$CB$149,Table1[[#This Row],[BAĞLANTI]])</f>
        <v>86.391808601609355</v>
      </c>
      <c r="AA197" s="8">
        <f>+SUMIFS(AA$2:AA$149,$CB$2:$CB$149,Table1[[#This Row],[BAĞLANTI]])</f>
        <v>86.391808601609355</v>
      </c>
      <c r="AB197" s="8">
        <f>+SUMIFS(AB$2:AB$149,$CB$2:$CB$149,Table1[[#This Row],[BAĞLANTI]])</f>
        <v>93.347416247485199</v>
      </c>
      <c r="AC197" s="8">
        <f>+SUMIFS(AC$2:AC$149,$CB$2:$CB$149,Table1[[#This Row],[BAĞLANTI]])</f>
        <v>75.009905181086481</v>
      </c>
      <c r="AD197" s="8">
        <f>+SUMIFS(AD$2:AD$149,$CB$2:$CB$149,Table1[[#This Row],[BAĞLANTI]])</f>
        <v>64.260329728370237</v>
      </c>
      <c r="AE197" s="8">
        <f>+SUMIFS(AE$2:AE$149,$CB$2:$CB$149,Table1[[#This Row],[BAĞLANTI]])</f>
        <v>64.260329728370237</v>
      </c>
      <c r="AF197" s="8">
        <f>+SUMIFS(AF$2:AF$149,$CB$2:$CB$149,Table1[[#This Row],[BAĞLANTI]])</f>
        <v>30.114619466800793</v>
      </c>
      <c r="AG197" s="8">
        <f>+SUMIFS(AG$2:AG$149,$CB$2:$CB$149,Table1[[#This Row],[BAĞLANTI]])</f>
        <v>0</v>
      </c>
      <c r="AH197" s="8">
        <f>+SUMIFS(AH$2:AH$149,$CB$2:$CB$149,Table1[[#This Row],[BAĞLANTI]])</f>
        <v>0</v>
      </c>
      <c r="AI197" s="8">
        <f>+SUMIFS(AI$2:AI$149,$CB$2:$CB$149,Table1[[#This Row],[BAĞLANTI]])</f>
        <v>0</v>
      </c>
      <c r="AJ197" s="8">
        <f>+SUMIFS(AJ$2:AJ$149,$CB$2:$CB$149,Table1[[#This Row],[BAĞLANTI]])</f>
        <v>0</v>
      </c>
      <c r="AK197" s="8">
        <f>+SUMIFS(AK$2:AK$149,$CB$2:$CB$149,Table1[[#This Row],[BAĞLANTI]])</f>
        <v>0</v>
      </c>
      <c r="AL197" s="8">
        <f>+SUMIFS(AL$2:AL$149,$CB$2:$CB$149,Table1[[#This Row],[BAĞLANTI]])</f>
        <v>0</v>
      </c>
      <c r="AM197" s="8">
        <f>+SUMIFS(AM$2:AM$149,$CB$2:$CB$149,Table1[[#This Row],[BAĞLANTI]])</f>
        <v>0</v>
      </c>
      <c r="AN197" s="8">
        <f>+SUMIFS(AN$2:AN$149,$CB$2:$CB$149,Table1[[#This Row],[BAĞLANTI]])</f>
        <v>0</v>
      </c>
      <c r="AO197" s="8">
        <f>+SUMIFS(AO$2:AO$149,$CB$2:$CB$149,Table1[[#This Row],[BAĞLANTI]])</f>
        <v>0</v>
      </c>
      <c r="AP197" s="8">
        <f>+SUMIFS(AP$2:AP$149,$CB$2:$CB$149,Table1[[#This Row],[BAĞLANTI]])</f>
        <v>0</v>
      </c>
      <c r="AQ197" s="8">
        <f>+SUMIFS(AQ$2:AQ$149,$CB$2:$CB$149,Table1[[#This Row],[BAĞLANTI]])</f>
        <v>0</v>
      </c>
      <c r="AR197" s="8">
        <f>+SUMIFS(AR$2:AR$149,$CB$2:$CB$149,Table1[[#This Row],[BAĞLANTI]])</f>
        <v>0</v>
      </c>
      <c r="AS197" s="8">
        <f>+SUMIFS(AS$2:AS$149,$CB$2:$CB$149,Table1[[#This Row],[BAĞLANTI]])</f>
        <v>0</v>
      </c>
      <c r="AT197" s="8">
        <f>+SUMIFS(AT$2:AT$149,$CB$2:$CB$149,Table1[[#This Row],[BAĞLANTI]])</f>
        <v>0</v>
      </c>
      <c r="AU197" s="8">
        <f>+SUMIFS(AU$2:AU$149,$CB$2:$CB$149,Table1[[#This Row],[BAĞLANTI]])</f>
        <v>0</v>
      </c>
      <c r="AV197" s="8">
        <f>+SUMIFS(AV$2:AV$149,$CB$2:$CB$149,Table1[[#This Row],[BAĞLANTI]])</f>
        <v>0</v>
      </c>
      <c r="AW197" s="8">
        <f>+SUMIFS(AW$2:AW$149,$CB$2:$CB$149,Table1[[#This Row],[BAĞLANTI]])</f>
        <v>0</v>
      </c>
      <c r="AX197" s="8">
        <f>+SUMIFS(AX$2:AX$149,$CB$2:$CB$149,Table1[[#This Row],[BAĞLANTI]])</f>
        <v>0</v>
      </c>
      <c r="AY197" s="8">
        <f>+SUMIFS(AY$2:AY$149,$CB$2:$CB$149,Table1[[#This Row],[BAĞLANTI]])</f>
        <v>0</v>
      </c>
      <c r="AZ197" s="8">
        <f>+SUMIFS(AZ$2:AZ$149,$CB$2:$CB$149,Table1[[#This Row],[BAĞLANTI]])</f>
        <v>0</v>
      </c>
      <c r="BA197" s="8">
        <f>+SUMIFS(BA$2:BA$149,$CB$2:$CB$149,Table1[[#This Row],[BAĞLANTI]])</f>
        <v>0</v>
      </c>
      <c r="BB197" s="8">
        <f>+SUMIFS(BB$2:BB$149,$CB$2:$CB$149,Table1[[#This Row],[BAĞLANTI]])</f>
        <v>0</v>
      </c>
      <c r="BC197" s="8">
        <f>+SUMIFS(BC$2:BC$149,$CB$2:$CB$149,Table1[[#This Row],[BAĞLANTI]])</f>
        <v>0</v>
      </c>
      <c r="BD197" s="8">
        <f>+SUMIFS(BD$2:BD$149,$CB$2:$CB$149,Table1[[#This Row],[BAĞLANTI]])</f>
        <v>0</v>
      </c>
      <c r="BE197" s="8">
        <f>+SUMIFS(BE$2:BE$149,$CB$2:$CB$149,Table1[[#This Row],[BAĞLANTI]])</f>
        <v>0</v>
      </c>
      <c r="BF197" s="8">
        <f>+SUMIFS(BF$2:BF$149,$CB$2:$CB$149,Table1[[#This Row],[BAĞLANTI]])</f>
        <v>0</v>
      </c>
      <c r="BG197" s="8">
        <f>+SUMIFS(BG$2:BG$149,$CB$2:$CB$149,Table1[[#This Row],[BAĞLANTI]])</f>
        <v>0</v>
      </c>
      <c r="BH197" s="8">
        <f>+SUMIFS(BH$2:BH$149,$CB$2:$CB$149,Table1[[#This Row],[BAĞLANTI]])</f>
        <v>0</v>
      </c>
      <c r="BI197" s="8">
        <f>+SUMIFS(BI$2:BI$149,$CB$2:$CB$149,Table1[[#This Row],[BAĞLANTI]])</f>
        <v>0</v>
      </c>
      <c r="BJ197" s="8">
        <f>+SUMIFS(BJ$2:BJ$149,$CB$2:$CB$149,Table1[[#This Row],[BAĞLANTI]])</f>
        <v>0</v>
      </c>
      <c r="BK197" s="8">
        <f>+SUMIFS(BK$2:BK$149,$CB$2:$CB$149,Table1[[#This Row],[BAĞLANTI]])</f>
        <v>0</v>
      </c>
      <c r="BL197" s="8">
        <f>+SUMIFS(BL$2:BL$149,$CB$2:$CB$149,Table1[[#This Row],[BAĞLANTI]])</f>
        <v>0</v>
      </c>
      <c r="BM197" s="8">
        <f>+SUMIFS(BM$2:BM$149,$CB$2:$CB$149,Table1[[#This Row],[BAĞLANTI]])</f>
        <v>0</v>
      </c>
      <c r="BN197" s="8">
        <f>+SUMIFS(BN$2:BN$149,$CB$2:$CB$149,Table1[[#This Row],[BAĞLANTI]])</f>
        <v>0</v>
      </c>
      <c r="BO197" s="8">
        <f>+SUMIFS(BO$2:BO$149,$CB$2:$CB$149,Table1[[#This Row],[BAĞLANTI]])</f>
        <v>0</v>
      </c>
      <c r="BP197" s="8">
        <f>+SUMIFS(BP$2:BP$149,$CB$2:$CB$149,Table1[[#This Row],[BAĞLANTI]])</f>
        <v>0</v>
      </c>
      <c r="BQ197" s="8">
        <f>+SUMIFS(BQ$2:BQ$149,$CB$2:$CB$149,Table1[[#This Row],[BAĞLANTI]])</f>
        <v>0</v>
      </c>
      <c r="BR197" s="8">
        <f>+SUMIFS(BR$2:BR$149,$CB$2:$CB$149,Table1[[#This Row],[BAĞLANTI]])</f>
        <v>0</v>
      </c>
      <c r="BS197" s="8">
        <f>+SUMIFS(BS$2:BS$149,$CB$2:$CB$149,Table1[[#This Row],[BAĞLANTI]])</f>
        <v>0</v>
      </c>
      <c r="BT197" s="8">
        <f>+SUMIFS(BT$2:BT$149,$CB$2:$CB$149,Table1[[#This Row],[BAĞLANTI]])</f>
        <v>0</v>
      </c>
      <c r="BU197" s="8">
        <f>+SUMIFS(BU$2:BU$149,$CB$2:$CB$149,Table1[[#This Row],[BAĞLANTI]])</f>
        <v>0</v>
      </c>
      <c r="BV197" s="8">
        <f>+SUMIFS(BV$2:BV$149,$CB$2:$CB$149,Table1[[#This Row],[BAĞLANTI]])</f>
        <v>0</v>
      </c>
      <c r="BW197" s="8">
        <f>+SUMIFS(BW$2:BW$149,$CB$2:$CB$149,Table1[[#This Row],[BAĞLANTI]])</f>
        <v>0</v>
      </c>
      <c r="BX197" s="8">
        <f>+SUMIFS(BX$2:BX$149,$CB$2:$CB$149,Table1[[#This Row],[BAĞLANTI]])</f>
        <v>0</v>
      </c>
      <c r="BY197" s="8">
        <f>+SUMIFS(BY$2:BY$149,$CB$2:$CB$149,Table1[[#This Row],[BAĞLANTI]])</f>
        <v>0</v>
      </c>
      <c r="BZ197" s="8">
        <f>+SUMIFS(BZ$2:BZ$149,$CB$2:$CB$149,Table1[[#This Row],[BAĞLANTI]])</f>
        <v>0</v>
      </c>
      <c r="CA197" s="8">
        <f>+SUMIFS(CA$2:CA$149,$CB$2:$CB$149,Table1[[#This Row],[BAĞLANTI]])</f>
        <v>0</v>
      </c>
      <c r="CB197" s="8" t="s">
        <v>5400</v>
      </c>
    </row>
    <row r="198" spans="1:80">
      <c r="A198" s="3" t="s">
        <v>5444</v>
      </c>
      <c r="B198" t="s">
        <v>17</v>
      </c>
      <c r="C198" t="s">
        <v>312</v>
      </c>
      <c r="D198" t="s">
        <v>5182</v>
      </c>
      <c r="E198" t="s">
        <v>5183</v>
      </c>
      <c r="F198" s="77" t="s">
        <v>4973</v>
      </c>
      <c r="G198" t="s">
        <v>4983</v>
      </c>
      <c r="H198" s="3" t="s">
        <v>4984</v>
      </c>
      <c r="I198" s="3" t="s">
        <v>5194</v>
      </c>
      <c r="J198" s="78"/>
      <c r="K198" s="78"/>
      <c r="M198" s="78"/>
      <c r="N198" s="8">
        <f>+SUMIFS(N$2:N$149,$CB$2:$CB$149,Table1[[#This Row],[BAĞLANTI]])</f>
        <v>0</v>
      </c>
      <c r="O198" s="8">
        <f>+SUMIFS(O$2:O$149,$CB$2:$CB$149,Table1[[#This Row],[BAĞLANTI]])</f>
        <v>0</v>
      </c>
      <c r="P198" s="8">
        <f>+SUMIFS(P$2:P$149,$CB$2:$CB$149,Table1[[#This Row],[BAĞLANTI]])</f>
        <v>0</v>
      </c>
      <c r="Q198" s="8">
        <f>+SUMIFS(Q$2:Q$149,$CB$2:$CB$149,Table1[[#This Row],[BAĞLANTI]])</f>
        <v>0</v>
      </c>
      <c r="R198" s="8">
        <f>+SUMIFS(R$2:R$149,$CB$2:$CB$149,Table1[[#This Row],[BAĞLANTI]])</f>
        <v>0</v>
      </c>
      <c r="S198" s="8">
        <f>+SUMIFS(S$2:S$149,$CB$2:$CB$149,Table1[[#This Row],[BAĞLANTI]])</f>
        <v>0</v>
      </c>
      <c r="T198" s="8">
        <f>+SUMIFS(T$2:T$149,$CB$2:$CB$149,Table1[[#This Row],[BAĞLANTI]])</f>
        <v>0</v>
      </c>
      <c r="U198" s="8">
        <f>+SUMIFS(U$2:U$149,$CB$2:$CB$149,Table1[[#This Row],[BAĞLANTI]])</f>
        <v>25.864328999999991</v>
      </c>
      <c r="V198" s="8">
        <f>+SUMIFS(V$2:V$149,$CB$2:$CB$149,Table1[[#This Row],[BAĞLANTI]])</f>
        <v>29.069671000000007</v>
      </c>
      <c r="W198" s="8">
        <f>+SUMIFS(W$2:W$149,$CB$2:$CB$149,Table1[[#This Row],[BAĞLANTI]])</f>
        <v>63.734999999999999</v>
      </c>
      <c r="X198" s="10">
        <f>+SUMIFS(X$2:X$149,$CB$2:$CB$149,Table1[[#This Row],[BAĞLANTI]])</f>
        <v>89.839000000000013</v>
      </c>
      <c r="Y198" s="8">
        <f>+SUMIFS(Y$2:Y$149,$CB$2:$CB$149,Table1[[#This Row],[BAĞLANTI]])</f>
        <v>30.328420382165611</v>
      </c>
      <c r="Z198" s="8">
        <f>+SUMIFS(Z$2:Z$149,$CB$2:$CB$149,Table1[[#This Row],[BAĞLANTI]])</f>
        <v>30.328420382165611</v>
      </c>
      <c r="AA198" s="8">
        <f>+SUMIFS(AA$2:AA$149,$CB$2:$CB$149,Table1[[#This Row],[BAĞLANTI]])</f>
        <v>30.328420382165611</v>
      </c>
      <c r="AB198" s="8">
        <f>+SUMIFS(AB$2:AB$149,$CB$2:$CB$149,Table1[[#This Row],[BAĞLANTI]])</f>
        <v>30.328420382165611</v>
      </c>
      <c r="AC198" s="8">
        <f>+SUMIFS(AC$2:AC$149,$CB$2:$CB$149,Table1[[#This Row],[BAĞLANTI]])</f>
        <v>57.835592356687897</v>
      </c>
      <c r="AD198" s="8">
        <f>+SUMIFS(AD$2:AD$149,$CB$2:$CB$149,Table1[[#This Row],[BAĞLANTI]])</f>
        <v>57.835592356687897</v>
      </c>
      <c r="AE198" s="8">
        <f>+SUMIFS(AE$2:AE$149,$CB$2:$CB$149,Table1[[#This Row],[BAĞLANTI]])</f>
        <v>71.941834394904419</v>
      </c>
      <c r="AF198" s="8">
        <f>+SUMIFS(AF$2:AF$149,$CB$2:$CB$149,Table1[[#This Row],[BAĞLANTI]])</f>
        <v>71.941834394904419</v>
      </c>
      <c r="AG198" s="8">
        <f>+SUMIFS(AG$2:AG$149,$CB$2:$CB$149,Table1[[#This Row],[BAĞLANTI]])</f>
        <v>38.086853503184706</v>
      </c>
      <c r="AH198" s="8">
        <f>+SUMIFS(AH$2:AH$149,$CB$2:$CB$149,Table1[[#This Row],[BAĞLANTI]])</f>
        <v>52.193095541401298</v>
      </c>
      <c r="AI198" s="8">
        <f>+SUMIFS(AI$2:AI$149,$CB$2:$CB$149,Table1[[#This Row],[BAĞLANTI]])</f>
        <v>52.193095541401298</v>
      </c>
      <c r="AJ198" s="8">
        <f>+SUMIFS(AJ$2:AJ$149,$CB$2:$CB$149,Table1[[#This Row],[BAĞLANTI]])</f>
        <v>50.782471337579636</v>
      </c>
      <c r="AK198" s="8">
        <f>+SUMIFS(AK$2:AK$149,$CB$2:$CB$149,Table1[[#This Row],[BAĞLANTI]])</f>
        <v>81.110891719745268</v>
      </c>
      <c r="AL198" s="8">
        <f>+SUMIFS(AL$2:AL$149,$CB$2:$CB$149,Table1[[#This Row],[BAĞLANTI]])</f>
        <v>9.1690573248407592</v>
      </c>
      <c r="AM198" s="8">
        <f>+SUMIFS(AM$2:AM$149,$CB$2:$CB$149,Table1[[#This Row],[BAĞLANTI]])</f>
        <v>0</v>
      </c>
      <c r="AN198" s="8">
        <f>+SUMIFS(AN$2:AN$149,$CB$2:$CB$149,Table1[[#This Row],[BAĞLANTI]])</f>
        <v>0</v>
      </c>
      <c r="AO198" s="8">
        <f>+SUMIFS(AO$2:AO$149,$CB$2:$CB$149,Table1[[#This Row],[BAĞLANTI]])</f>
        <v>0</v>
      </c>
      <c r="AP198" s="8">
        <f>+SUMIFS(AP$2:AP$149,$CB$2:$CB$149,Table1[[#This Row],[BAĞLANTI]])</f>
        <v>0</v>
      </c>
      <c r="AQ198" s="8">
        <f>+SUMIFS(AQ$2:AQ$149,$CB$2:$CB$149,Table1[[#This Row],[BAĞLANTI]])</f>
        <v>0</v>
      </c>
      <c r="AR198" s="8">
        <f>+SUMIFS(AR$2:AR$149,$CB$2:$CB$149,Table1[[#This Row],[BAĞLANTI]])</f>
        <v>0</v>
      </c>
      <c r="AS198" s="8">
        <f>+SUMIFS(AS$2:AS$149,$CB$2:$CB$149,Table1[[#This Row],[BAĞLANTI]])</f>
        <v>0</v>
      </c>
      <c r="AT198" s="8">
        <f>+SUMIFS(AT$2:AT$149,$CB$2:$CB$149,Table1[[#This Row],[BAĞLANTI]])</f>
        <v>0</v>
      </c>
      <c r="AU198" s="8">
        <f>+SUMIFS(AU$2:AU$149,$CB$2:$CB$149,Table1[[#This Row],[BAĞLANTI]])</f>
        <v>0</v>
      </c>
      <c r="AV198" s="8">
        <f>+SUMIFS(AV$2:AV$149,$CB$2:$CB$149,Table1[[#This Row],[BAĞLANTI]])</f>
        <v>0</v>
      </c>
      <c r="AW198" s="8">
        <f>+SUMIFS(AW$2:AW$149,$CB$2:$CB$149,Table1[[#This Row],[BAĞLANTI]])</f>
        <v>0</v>
      </c>
      <c r="AX198" s="8">
        <f>+SUMIFS(AX$2:AX$149,$CB$2:$CB$149,Table1[[#This Row],[BAĞLANTI]])</f>
        <v>0</v>
      </c>
      <c r="AY198" s="8">
        <f>+SUMIFS(AY$2:AY$149,$CB$2:$CB$149,Table1[[#This Row],[BAĞLANTI]])</f>
        <v>0</v>
      </c>
      <c r="AZ198" s="8">
        <f>+SUMIFS(AZ$2:AZ$149,$CB$2:$CB$149,Table1[[#This Row],[BAĞLANTI]])</f>
        <v>0</v>
      </c>
      <c r="BA198" s="8">
        <f>+SUMIFS(BA$2:BA$149,$CB$2:$CB$149,Table1[[#This Row],[BAĞLANTI]])</f>
        <v>0</v>
      </c>
      <c r="BB198" s="8">
        <f>+SUMIFS(BB$2:BB$149,$CB$2:$CB$149,Table1[[#This Row],[BAĞLANTI]])</f>
        <v>0</v>
      </c>
      <c r="BC198" s="8">
        <f>+SUMIFS(BC$2:BC$149,$CB$2:$CB$149,Table1[[#This Row],[BAĞLANTI]])</f>
        <v>0</v>
      </c>
      <c r="BD198" s="8">
        <f>+SUMIFS(BD$2:BD$149,$CB$2:$CB$149,Table1[[#This Row],[BAĞLANTI]])</f>
        <v>0</v>
      </c>
      <c r="BE198" s="8">
        <f>+SUMIFS(BE$2:BE$149,$CB$2:$CB$149,Table1[[#This Row],[BAĞLANTI]])</f>
        <v>0</v>
      </c>
      <c r="BF198" s="8">
        <f>+SUMIFS(BF$2:BF$149,$CB$2:$CB$149,Table1[[#This Row],[BAĞLANTI]])</f>
        <v>0</v>
      </c>
      <c r="BG198" s="8">
        <f>+SUMIFS(BG$2:BG$149,$CB$2:$CB$149,Table1[[#This Row],[BAĞLANTI]])</f>
        <v>0</v>
      </c>
      <c r="BH198" s="8">
        <f>+SUMIFS(BH$2:BH$149,$CB$2:$CB$149,Table1[[#This Row],[BAĞLANTI]])</f>
        <v>0</v>
      </c>
      <c r="BI198" s="8">
        <f>+SUMIFS(BI$2:BI$149,$CB$2:$CB$149,Table1[[#This Row],[BAĞLANTI]])</f>
        <v>0</v>
      </c>
      <c r="BJ198" s="8">
        <f>+SUMIFS(BJ$2:BJ$149,$CB$2:$CB$149,Table1[[#This Row],[BAĞLANTI]])</f>
        <v>0</v>
      </c>
      <c r="BK198" s="8">
        <f>+SUMIFS(BK$2:BK$149,$CB$2:$CB$149,Table1[[#This Row],[BAĞLANTI]])</f>
        <v>0</v>
      </c>
      <c r="BL198" s="8">
        <f>+SUMIFS(BL$2:BL$149,$CB$2:$CB$149,Table1[[#This Row],[BAĞLANTI]])</f>
        <v>0</v>
      </c>
      <c r="BM198" s="8">
        <f>+SUMIFS(BM$2:BM$149,$CB$2:$CB$149,Table1[[#This Row],[BAĞLANTI]])</f>
        <v>0</v>
      </c>
      <c r="BN198" s="8">
        <f>+SUMIFS(BN$2:BN$149,$CB$2:$CB$149,Table1[[#This Row],[BAĞLANTI]])</f>
        <v>0</v>
      </c>
      <c r="BO198" s="8">
        <f>+SUMIFS(BO$2:BO$149,$CB$2:$CB$149,Table1[[#This Row],[BAĞLANTI]])</f>
        <v>0</v>
      </c>
      <c r="BP198" s="8">
        <f>+SUMIFS(BP$2:BP$149,$CB$2:$CB$149,Table1[[#This Row],[BAĞLANTI]])</f>
        <v>0</v>
      </c>
      <c r="BQ198" s="8">
        <f>+SUMIFS(BQ$2:BQ$149,$CB$2:$CB$149,Table1[[#This Row],[BAĞLANTI]])</f>
        <v>0</v>
      </c>
      <c r="BR198" s="8">
        <f>+SUMIFS(BR$2:BR$149,$CB$2:$CB$149,Table1[[#This Row],[BAĞLANTI]])</f>
        <v>0</v>
      </c>
      <c r="BS198" s="8">
        <f>+SUMIFS(BS$2:BS$149,$CB$2:$CB$149,Table1[[#This Row],[BAĞLANTI]])</f>
        <v>0</v>
      </c>
      <c r="BT198" s="8">
        <f>+SUMIFS(BT$2:BT$149,$CB$2:$CB$149,Table1[[#This Row],[BAĞLANTI]])</f>
        <v>0</v>
      </c>
      <c r="BU198" s="8">
        <f>+SUMIFS(BU$2:BU$149,$CB$2:$CB$149,Table1[[#This Row],[BAĞLANTI]])</f>
        <v>0</v>
      </c>
      <c r="BV198" s="8">
        <f>+SUMIFS(BV$2:BV$149,$CB$2:$CB$149,Table1[[#This Row],[BAĞLANTI]])</f>
        <v>0</v>
      </c>
      <c r="BW198" s="8">
        <f>+SUMIFS(BW$2:BW$149,$CB$2:$CB$149,Table1[[#This Row],[BAĞLANTI]])</f>
        <v>0</v>
      </c>
      <c r="BX198" s="8">
        <f>+SUMIFS(BX$2:BX$149,$CB$2:$CB$149,Table1[[#This Row],[BAĞLANTI]])</f>
        <v>0</v>
      </c>
      <c r="BY198" s="8">
        <f>+SUMIFS(BY$2:BY$149,$CB$2:$CB$149,Table1[[#This Row],[BAĞLANTI]])</f>
        <v>0</v>
      </c>
      <c r="BZ198" s="8">
        <f>+SUMIFS(BZ$2:BZ$149,$CB$2:$CB$149,Table1[[#This Row],[BAĞLANTI]])</f>
        <v>0</v>
      </c>
      <c r="CA198" s="8">
        <f>+SUMIFS(CA$2:CA$149,$CB$2:$CB$149,Table1[[#This Row],[BAĞLANTI]])</f>
        <v>0</v>
      </c>
      <c r="CB198" s="8" t="s">
        <v>5401</v>
      </c>
    </row>
    <row r="199" spans="1:80">
      <c r="A199" s="3" t="s">
        <v>5444</v>
      </c>
      <c r="B199" t="s">
        <v>18</v>
      </c>
      <c r="C199" t="s">
        <v>316</v>
      </c>
      <c r="D199" t="s">
        <v>72</v>
      </c>
      <c r="E199" t="s">
        <v>4974</v>
      </c>
      <c r="F199" s="77" t="s">
        <v>4973</v>
      </c>
      <c r="G199" t="s">
        <v>4983</v>
      </c>
      <c r="H199" s="3" t="s">
        <v>4984</v>
      </c>
      <c r="I199" s="3" t="s">
        <v>5194</v>
      </c>
      <c r="J199" s="78"/>
      <c r="K199" s="78"/>
      <c r="M199" s="78"/>
      <c r="N199" s="8">
        <f>+SUMIFS(N$2:N$149,$CB$2:$CB$149,Table1[[#This Row],[BAĞLANTI]])</f>
        <v>0</v>
      </c>
      <c r="O199" s="8">
        <f>+SUMIFS(O$2:O$149,$CB$2:$CB$149,Table1[[#This Row],[BAĞLANTI]])</f>
        <v>0</v>
      </c>
      <c r="P199" s="8">
        <f>+SUMIFS(P$2:P$149,$CB$2:$CB$149,Table1[[#This Row],[BAĞLANTI]])</f>
        <v>0</v>
      </c>
      <c r="Q199" s="8">
        <f>+SUMIFS(Q$2:Q$149,$CB$2:$CB$149,Table1[[#This Row],[BAĞLANTI]])</f>
        <v>0</v>
      </c>
      <c r="R199" s="8">
        <f>+SUMIFS(R$2:R$149,$CB$2:$CB$149,Table1[[#This Row],[BAĞLANTI]])</f>
        <v>0</v>
      </c>
      <c r="S199" s="8">
        <f>+SUMIFS(S$2:S$149,$CB$2:$CB$149,Table1[[#This Row],[BAĞLANTI]])</f>
        <v>0</v>
      </c>
      <c r="T199" s="8">
        <f>+SUMIFS(T$2:T$149,$CB$2:$CB$149,Table1[[#This Row],[BAĞLANTI]])</f>
        <v>3366</v>
      </c>
      <c r="U199" s="8">
        <f>+SUMIFS(U$2:U$149,$CB$2:$CB$149,Table1[[#This Row],[BAĞLANTI]])</f>
        <v>10332</v>
      </c>
      <c r="V199" s="8">
        <f>+SUMIFS(V$2:V$149,$CB$2:$CB$149,Table1[[#This Row],[BAĞLANTI]])</f>
        <v>9411</v>
      </c>
      <c r="W199" s="8">
        <f>+SUMIFS(W$2:W$149,$CB$2:$CB$149,Table1[[#This Row],[BAĞLANTI]])</f>
        <v>14580</v>
      </c>
      <c r="X199" s="10">
        <f>+SUMIFS(X$2:X$149,$CB$2:$CB$149,Table1[[#This Row],[BAĞLANTI]])</f>
        <v>8874</v>
      </c>
      <c r="Y199" s="8">
        <f>+SUMIFS(Y$2:Y$149,$CB$2:$CB$149,Table1[[#This Row],[BAĞLANTI]])</f>
        <v>267.0693156732894</v>
      </c>
      <c r="Z199" s="8">
        <f>+SUMIFS(Z$2:Z$149,$CB$2:$CB$149,Table1[[#This Row],[BAĞLANTI]])</f>
        <v>245.82516556291381</v>
      </c>
      <c r="AA199" s="8">
        <f>+SUMIFS(AA$2:AA$149,$CB$2:$CB$149,Table1[[#This Row],[BAĞLANTI]])</f>
        <v>133.5346578366445</v>
      </c>
      <c r="AB199" s="8">
        <f>+SUMIFS(AB$2:AB$149,$CB$2:$CB$149,Table1[[#This Row],[BAĞLANTI]])</f>
        <v>133.5346578366445</v>
      </c>
      <c r="AC199" s="8">
        <f>+SUMIFS(AC$2:AC$149,$CB$2:$CB$149,Table1[[#This Row],[BAĞLANTI]])</f>
        <v>133.5346578366445</v>
      </c>
      <c r="AD199" s="8">
        <f>+SUMIFS(AD$2:AD$149,$CB$2:$CB$149,Table1[[#This Row],[BAĞLANTI]])</f>
        <v>133.5346578366445</v>
      </c>
      <c r="AE199" s="8">
        <f>+SUMIFS(AE$2:AE$149,$CB$2:$CB$149,Table1[[#This Row],[BAĞLANTI]])</f>
        <v>133.5346578366445</v>
      </c>
      <c r="AF199" s="8">
        <f>+SUMIFS(AF$2:AF$149,$CB$2:$CB$149,Table1[[#This Row],[BAĞLANTI]])</f>
        <v>100.15099337748337</v>
      </c>
      <c r="AG199" s="8">
        <f>+SUMIFS(AG$2:AG$149,$CB$2:$CB$149,Table1[[#This Row],[BAĞLANTI]])</f>
        <v>133.5346578366445</v>
      </c>
      <c r="AH199" s="8">
        <f>+SUMIFS(AH$2:AH$149,$CB$2:$CB$149,Table1[[#This Row],[BAĞLANTI]])</f>
        <v>100.15099337748337</v>
      </c>
      <c r="AI199" s="8">
        <f>+SUMIFS(AI$2:AI$149,$CB$2:$CB$149,Table1[[#This Row],[BAĞLANTI]])</f>
        <v>133.5346578366445</v>
      </c>
      <c r="AJ199" s="8">
        <f>+SUMIFS(AJ$2:AJ$149,$CB$2:$CB$149,Table1[[#This Row],[BAĞLANTI]])</f>
        <v>133.5346578366445</v>
      </c>
      <c r="AK199" s="8">
        <f>+SUMIFS(AK$2:AK$149,$CB$2:$CB$149,Table1[[#This Row],[BAĞLANTI]])</f>
        <v>133.5346578366445</v>
      </c>
      <c r="AL199" s="8">
        <f>+SUMIFS(AL$2:AL$149,$CB$2:$CB$149,Table1[[#This Row],[BAĞLANTI]])</f>
        <v>133.5346578366445</v>
      </c>
      <c r="AM199" s="8">
        <f>+SUMIFS(AM$2:AM$149,$CB$2:$CB$149,Table1[[#This Row],[BAĞLANTI]])</f>
        <v>133.5346578366445</v>
      </c>
      <c r="AN199" s="8">
        <f>+SUMIFS(AN$2:AN$149,$CB$2:$CB$149,Table1[[#This Row],[BAĞLANTI]])</f>
        <v>133.5346578366445</v>
      </c>
      <c r="AO199" s="8">
        <f>+SUMIFS(AO$2:AO$149,$CB$2:$CB$149,Table1[[#This Row],[BAĞLANTI]])</f>
        <v>133.5346578366445</v>
      </c>
      <c r="AP199" s="8">
        <f>+SUMIFS(AP$2:AP$149,$CB$2:$CB$149,Table1[[#This Row],[BAĞLANTI]])</f>
        <v>133.5346578366445</v>
      </c>
      <c r="AQ199" s="8">
        <f>+SUMIFS(AQ$2:AQ$149,$CB$2:$CB$149,Table1[[#This Row],[BAĞLANTI]])</f>
        <v>100.15099337748337</v>
      </c>
      <c r="AR199" s="8">
        <f>+SUMIFS(AR$2:AR$149,$CB$2:$CB$149,Table1[[#This Row],[BAĞLANTI]])</f>
        <v>118.36026490066214</v>
      </c>
      <c r="AS199" s="8">
        <f>+SUMIFS(AS$2:AS$149,$CB$2:$CB$149,Table1[[#This Row],[BAĞLANTI]])</f>
        <v>72.837086092715396</v>
      </c>
      <c r="AT199" s="8">
        <f>+SUMIFS(AT$2:AT$149,$CB$2:$CB$149,Table1[[#This Row],[BAĞLANTI]])</f>
        <v>224.5810154525403</v>
      </c>
      <c r="AU199" s="8">
        <f>+SUMIFS(AU$2:AU$149,$CB$2:$CB$149,Table1[[#This Row],[BAĞLANTI]])</f>
        <v>72.837086092715396</v>
      </c>
      <c r="AV199" s="8">
        <f>+SUMIFS(AV$2:AV$149,$CB$2:$CB$149,Table1[[#This Row],[BAĞLANTI]])</f>
        <v>72.837086092715396</v>
      </c>
      <c r="AW199" s="8">
        <f>+SUMIFS(AW$2:AW$149,$CB$2:$CB$149,Table1[[#This Row],[BAĞLANTI]])</f>
        <v>72.837086092715396</v>
      </c>
      <c r="AX199" s="8">
        <f>+SUMIFS(AX$2:AX$149,$CB$2:$CB$149,Table1[[#This Row],[BAĞLANTI]])</f>
        <v>72.837086092715396</v>
      </c>
      <c r="AY199" s="8">
        <f>+SUMIFS(AY$2:AY$149,$CB$2:$CB$149,Table1[[#This Row],[BAĞLANTI]])</f>
        <v>47.040618101545114</v>
      </c>
      <c r="AZ199" s="8">
        <f>+SUMIFS(AZ$2:AZ$149,$CB$2:$CB$149,Table1[[#This Row],[BAĞLANTI]])</f>
        <v>0</v>
      </c>
      <c r="BA199" s="8">
        <f>+SUMIFS(BA$2:BA$149,$CB$2:$CB$149,Table1[[#This Row],[BAĞLANTI]])</f>
        <v>0</v>
      </c>
      <c r="BB199" s="8">
        <f>+SUMIFS(BB$2:BB$149,$CB$2:$CB$149,Table1[[#This Row],[BAĞLANTI]])</f>
        <v>0</v>
      </c>
      <c r="BC199" s="8">
        <f>+SUMIFS(BC$2:BC$149,$CB$2:$CB$149,Table1[[#This Row],[BAĞLANTI]])</f>
        <v>0</v>
      </c>
      <c r="BD199" s="8">
        <f>+SUMIFS(BD$2:BD$149,$CB$2:$CB$149,Table1[[#This Row],[BAĞLANTI]])</f>
        <v>0</v>
      </c>
      <c r="BE199" s="8">
        <f>+SUMIFS(BE$2:BE$149,$CB$2:$CB$149,Table1[[#This Row],[BAĞLANTI]])</f>
        <v>0</v>
      </c>
      <c r="BF199" s="8">
        <f>+SUMIFS(BF$2:BF$149,$CB$2:$CB$149,Table1[[#This Row],[BAĞLANTI]])</f>
        <v>0</v>
      </c>
      <c r="BG199" s="8">
        <f>+SUMIFS(BG$2:BG$149,$CB$2:$CB$149,Table1[[#This Row],[BAĞLANTI]])</f>
        <v>0</v>
      </c>
      <c r="BH199" s="8">
        <f>+SUMIFS(BH$2:BH$149,$CB$2:$CB$149,Table1[[#This Row],[BAĞLANTI]])</f>
        <v>0</v>
      </c>
      <c r="BI199" s="8">
        <f>+SUMIFS(BI$2:BI$149,$CB$2:$CB$149,Table1[[#This Row],[BAĞLANTI]])</f>
        <v>0</v>
      </c>
      <c r="BJ199" s="8">
        <f>+SUMIFS(BJ$2:BJ$149,$CB$2:$CB$149,Table1[[#This Row],[BAĞLANTI]])</f>
        <v>0</v>
      </c>
      <c r="BK199" s="8">
        <f>+SUMIFS(BK$2:BK$149,$CB$2:$CB$149,Table1[[#This Row],[BAĞLANTI]])</f>
        <v>0</v>
      </c>
      <c r="BL199" s="8">
        <f>+SUMIFS(BL$2:BL$149,$CB$2:$CB$149,Table1[[#This Row],[BAĞLANTI]])</f>
        <v>0</v>
      </c>
      <c r="BM199" s="8">
        <f>+SUMIFS(BM$2:BM$149,$CB$2:$CB$149,Table1[[#This Row],[BAĞLANTI]])</f>
        <v>0</v>
      </c>
      <c r="BN199" s="8">
        <f>+SUMIFS(BN$2:BN$149,$CB$2:$CB$149,Table1[[#This Row],[BAĞLANTI]])</f>
        <v>0</v>
      </c>
      <c r="BO199" s="8">
        <f>+SUMIFS(BO$2:BO$149,$CB$2:$CB$149,Table1[[#This Row],[BAĞLANTI]])</f>
        <v>0</v>
      </c>
      <c r="BP199" s="8">
        <f>+SUMIFS(BP$2:BP$149,$CB$2:$CB$149,Table1[[#This Row],[BAĞLANTI]])</f>
        <v>0</v>
      </c>
      <c r="BQ199" s="8">
        <f>+SUMIFS(BQ$2:BQ$149,$CB$2:$CB$149,Table1[[#This Row],[BAĞLANTI]])</f>
        <v>0</v>
      </c>
      <c r="BR199" s="8">
        <f>+SUMIFS(BR$2:BR$149,$CB$2:$CB$149,Table1[[#This Row],[BAĞLANTI]])</f>
        <v>0</v>
      </c>
      <c r="BS199" s="8">
        <f>+SUMIFS(BS$2:BS$149,$CB$2:$CB$149,Table1[[#This Row],[BAĞLANTI]])</f>
        <v>0</v>
      </c>
      <c r="BT199" s="8">
        <f>+SUMIFS(BT$2:BT$149,$CB$2:$CB$149,Table1[[#This Row],[BAĞLANTI]])</f>
        <v>0</v>
      </c>
      <c r="BU199" s="8">
        <f>+SUMIFS(BU$2:BU$149,$CB$2:$CB$149,Table1[[#This Row],[BAĞLANTI]])</f>
        <v>0</v>
      </c>
      <c r="BV199" s="8">
        <f>+SUMIFS(BV$2:BV$149,$CB$2:$CB$149,Table1[[#This Row],[BAĞLANTI]])</f>
        <v>0</v>
      </c>
      <c r="BW199" s="8">
        <f>+SUMIFS(BW$2:BW$149,$CB$2:$CB$149,Table1[[#This Row],[BAĞLANTI]])</f>
        <v>0</v>
      </c>
      <c r="BX199" s="8">
        <f>+SUMIFS(BX$2:BX$149,$CB$2:$CB$149,Table1[[#This Row],[BAĞLANTI]])</f>
        <v>0</v>
      </c>
      <c r="BY199" s="8">
        <f>+SUMIFS(BY$2:BY$149,$CB$2:$CB$149,Table1[[#This Row],[BAĞLANTI]])</f>
        <v>0</v>
      </c>
      <c r="BZ199" s="8">
        <f>+SUMIFS(BZ$2:BZ$149,$CB$2:$CB$149,Table1[[#This Row],[BAĞLANTI]])</f>
        <v>0</v>
      </c>
      <c r="CA199" s="8">
        <f>+SUMIFS(CA$2:CA$149,$CB$2:$CB$149,Table1[[#This Row],[BAĞLANTI]])</f>
        <v>0</v>
      </c>
      <c r="CB199" s="8" t="s">
        <v>5402</v>
      </c>
    </row>
    <row r="200" spans="1:80">
      <c r="A200" s="3" t="s">
        <v>5444</v>
      </c>
      <c r="B200" t="s">
        <v>18</v>
      </c>
      <c r="C200" t="s">
        <v>316</v>
      </c>
      <c r="D200" t="s">
        <v>74</v>
      </c>
      <c r="E200" t="s">
        <v>4975</v>
      </c>
      <c r="F200" s="77" t="s">
        <v>4973</v>
      </c>
      <c r="G200" t="s">
        <v>4983</v>
      </c>
      <c r="H200" s="3" t="s">
        <v>4984</v>
      </c>
      <c r="I200" s="3" t="s">
        <v>5194</v>
      </c>
      <c r="J200" s="78"/>
      <c r="K200" s="78"/>
      <c r="M200" s="78"/>
      <c r="N200" s="8">
        <f>+SUMIFS(N$2:N$149,$CB$2:$CB$149,Table1[[#This Row],[BAĞLANTI]])</f>
        <v>0</v>
      </c>
      <c r="O200" s="8">
        <f>+SUMIFS(O$2:O$149,$CB$2:$CB$149,Table1[[#This Row],[BAĞLANTI]])</f>
        <v>0</v>
      </c>
      <c r="P200" s="8">
        <f>+SUMIFS(P$2:P$149,$CB$2:$CB$149,Table1[[#This Row],[BAĞLANTI]])</f>
        <v>0</v>
      </c>
      <c r="Q200" s="8">
        <f>+SUMIFS(Q$2:Q$149,$CB$2:$CB$149,Table1[[#This Row],[BAĞLANTI]])</f>
        <v>0</v>
      </c>
      <c r="R200" s="8">
        <f>+SUMIFS(R$2:R$149,$CB$2:$CB$149,Table1[[#This Row],[BAĞLANTI]])</f>
        <v>0</v>
      </c>
      <c r="S200" s="8">
        <f>+SUMIFS(S$2:S$149,$CB$2:$CB$149,Table1[[#This Row],[BAĞLANTI]])</f>
        <v>1878</v>
      </c>
      <c r="T200" s="8">
        <f>+SUMIFS(T$2:T$149,$CB$2:$CB$149,Table1[[#This Row],[BAĞLANTI]])</f>
        <v>360</v>
      </c>
      <c r="U200" s="8">
        <f>+SUMIFS(U$2:U$149,$CB$2:$CB$149,Table1[[#This Row],[BAĞLANTI]])</f>
        <v>1200</v>
      </c>
      <c r="V200" s="8">
        <f>+SUMIFS(V$2:V$149,$CB$2:$CB$149,Table1[[#This Row],[BAĞLANTI]])</f>
        <v>3534</v>
      </c>
      <c r="W200" s="8">
        <f>+SUMIFS(W$2:W$149,$CB$2:$CB$149,Table1[[#This Row],[BAĞLANTI]])</f>
        <v>3303</v>
      </c>
      <c r="X200" s="10">
        <f>+SUMIFS(X$2:X$149,$CB$2:$CB$149,Table1[[#This Row],[BAĞLANTI]])</f>
        <v>0</v>
      </c>
      <c r="Y200" s="8">
        <f>+SUMIFS(Y$2:Y$149,$CB$2:$CB$149,Table1[[#This Row],[BAĞLANTI]])</f>
        <v>967.93573943662159</v>
      </c>
      <c r="Z200" s="8">
        <f>+SUMIFS(Z$2:Z$149,$CB$2:$CB$149,Table1[[#This Row],[BAĞLANTI]])</f>
        <v>649.44982394365979</v>
      </c>
      <c r="AA200" s="8">
        <f>+SUMIFS(AA$2:AA$149,$CB$2:$CB$149,Table1[[#This Row],[BAĞLANTI]])</f>
        <v>649.44982394365979</v>
      </c>
      <c r="AB200" s="8">
        <f>+SUMIFS(AB$2:AB$149,$CB$2:$CB$149,Table1[[#This Row],[BAĞLANTI]])</f>
        <v>701.73855633803032</v>
      </c>
      <c r="AC200" s="8">
        <f>+SUMIFS(AC$2:AC$149,$CB$2:$CB$149,Table1[[#This Row],[BAĞLANTI]])</f>
        <v>563.88644366197161</v>
      </c>
      <c r="AD200" s="8">
        <f>+SUMIFS(AD$2:AD$149,$CB$2:$CB$149,Table1[[#This Row],[BAĞLANTI]])</f>
        <v>483.07658450704247</v>
      </c>
      <c r="AE200" s="8">
        <f>+SUMIFS(AE$2:AE$149,$CB$2:$CB$149,Table1[[#This Row],[BAĞLANTI]])</f>
        <v>483.07658450704247</v>
      </c>
      <c r="AF200" s="8">
        <f>+SUMIFS(AF$2:AF$149,$CB$2:$CB$149,Table1[[#This Row],[BAĞLANTI]])</f>
        <v>226.38644366197173</v>
      </c>
      <c r="AG200" s="8">
        <f>+SUMIFS(AG$2:AG$149,$CB$2:$CB$149,Table1[[#This Row],[BAĞLANTI]])</f>
        <v>0</v>
      </c>
      <c r="AH200" s="8">
        <f>+SUMIFS(AH$2:AH$149,$CB$2:$CB$149,Table1[[#This Row],[BAĞLANTI]])</f>
        <v>0</v>
      </c>
      <c r="AI200" s="8">
        <f>+SUMIFS(AI$2:AI$149,$CB$2:$CB$149,Table1[[#This Row],[BAĞLANTI]])</f>
        <v>0</v>
      </c>
      <c r="AJ200" s="8">
        <f>+SUMIFS(AJ$2:AJ$149,$CB$2:$CB$149,Table1[[#This Row],[BAĞLANTI]])</f>
        <v>0</v>
      </c>
      <c r="AK200" s="8">
        <f>+SUMIFS(AK$2:AK$149,$CB$2:$CB$149,Table1[[#This Row],[BAĞLANTI]])</f>
        <v>0</v>
      </c>
      <c r="AL200" s="8">
        <f>+SUMIFS(AL$2:AL$149,$CB$2:$CB$149,Table1[[#This Row],[BAĞLANTI]])</f>
        <v>0</v>
      </c>
      <c r="AM200" s="8">
        <f>+SUMIFS(AM$2:AM$149,$CB$2:$CB$149,Table1[[#This Row],[BAĞLANTI]])</f>
        <v>0</v>
      </c>
      <c r="AN200" s="8">
        <f>+SUMIFS(AN$2:AN$149,$CB$2:$CB$149,Table1[[#This Row],[BAĞLANTI]])</f>
        <v>0</v>
      </c>
      <c r="AO200" s="8">
        <f>+SUMIFS(AO$2:AO$149,$CB$2:$CB$149,Table1[[#This Row],[BAĞLANTI]])</f>
        <v>0</v>
      </c>
      <c r="AP200" s="8">
        <f>+SUMIFS(AP$2:AP$149,$CB$2:$CB$149,Table1[[#This Row],[BAĞLANTI]])</f>
        <v>0</v>
      </c>
      <c r="AQ200" s="8">
        <f>+SUMIFS(AQ$2:AQ$149,$CB$2:$CB$149,Table1[[#This Row],[BAĞLANTI]])</f>
        <v>0</v>
      </c>
      <c r="AR200" s="8">
        <f>+SUMIFS(AR$2:AR$149,$CB$2:$CB$149,Table1[[#This Row],[BAĞLANTI]])</f>
        <v>0</v>
      </c>
      <c r="AS200" s="8">
        <f>+SUMIFS(AS$2:AS$149,$CB$2:$CB$149,Table1[[#This Row],[BAĞLANTI]])</f>
        <v>0</v>
      </c>
      <c r="AT200" s="8">
        <f>+SUMIFS(AT$2:AT$149,$CB$2:$CB$149,Table1[[#This Row],[BAĞLANTI]])</f>
        <v>0</v>
      </c>
      <c r="AU200" s="8">
        <f>+SUMIFS(AU$2:AU$149,$CB$2:$CB$149,Table1[[#This Row],[BAĞLANTI]])</f>
        <v>0</v>
      </c>
      <c r="AV200" s="8">
        <f>+SUMIFS(AV$2:AV$149,$CB$2:$CB$149,Table1[[#This Row],[BAĞLANTI]])</f>
        <v>0</v>
      </c>
      <c r="AW200" s="8">
        <f>+SUMIFS(AW$2:AW$149,$CB$2:$CB$149,Table1[[#This Row],[BAĞLANTI]])</f>
        <v>0</v>
      </c>
      <c r="AX200" s="8">
        <f>+SUMIFS(AX$2:AX$149,$CB$2:$CB$149,Table1[[#This Row],[BAĞLANTI]])</f>
        <v>0</v>
      </c>
      <c r="AY200" s="8">
        <f>+SUMIFS(AY$2:AY$149,$CB$2:$CB$149,Table1[[#This Row],[BAĞLANTI]])</f>
        <v>0</v>
      </c>
      <c r="AZ200" s="8">
        <f>+SUMIFS(AZ$2:AZ$149,$CB$2:$CB$149,Table1[[#This Row],[BAĞLANTI]])</f>
        <v>0</v>
      </c>
      <c r="BA200" s="8">
        <f>+SUMIFS(BA$2:BA$149,$CB$2:$CB$149,Table1[[#This Row],[BAĞLANTI]])</f>
        <v>0</v>
      </c>
      <c r="BB200" s="8">
        <f>+SUMIFS(BB$2:BB$149,$CB$2:$CB$149,Table1[[#This Row],[BAĞLANTI]])</f>
        <v>0</v>
      </c>
      <c r="BC200" s="8">
        <f>+SUMIFS(BC$2:BC$149,$CB$2:$CB$149,Table1[[#This Row],[BAĞLANTI]])</f>
        <v>0</v>
      </c>
      <c r="BD200" s="8">
        <f>+SUMIFS(BD$2:BD$149,$CB$2:$CB$149,Table1[[#This Row],[BAĞLANTI]])</f>
        <v>0</v>
      </c>
      <c r="BE200" s="8">
        <f>+SUMIFS(BE$2:BE$149,$CB$2:$CB$149,Table1[[#This Row],[BAĞLANTI]])</f>
        <v>0</v>
      </c>
      <c r="BF200" s="8">
        <f>+SUMIFS(BF$2:BF$149,$CB$2:$CB$149,Table1[[#This Row],[BAĞLANTI]])</f>
        <v>0</v>
      </c>
      <c r="BG200" s="8">
        <f>+SUMIFS(BG$2:BG$149,$CB$2:$CB$149,Table1[[#This Row],[BAĞLANTI]])</f>
        <v>0</v>
      </c>
      <c r="BH200" s="8">
        <f>+SUMIFS(BH$2:BH$149,$CB$2:$CB$149,Table1[[#This Row],[BAĞLANTI]])</f>
        <v>0</v>
      </c>
      <c r="BI200" s="8">
        <f>+SUMIFS(BI$2:BI$149,$CB$2:$CB$149,Table1[[#This Row],[BAĞLANTI]])</f>
        <v>0</v>
      </c>
      <c r="BJ200" s="8">
        <f>+SUMIFS(BJ$2:BJ$149,$CB$2:$CB$149,Table1[[#This Row],[BAĞLANTI]])</f>
        <v>0</v>
      </c>
      <c r="BK200" s="8">
        <f>+SUMIFS(BK$2:BK$149,$CB$2:$CB$149,Table1[[#This Row],[BAĞLANTI]])</f>
        <v>0</v>
      </c>
      <c r="BL200" s="8">
        <f>+SUMIFS(BL$2:BL$149,$CB$2:$CB$149,Table1[[#This Row],[BAĞLANTI]])</f>
        <v>0</v>
      </c>
      <c r="BM200" s="8">
        <f>+SUMIFS(BM$2:BM$149,$CB$2:$CB$149,Table1[[#This Row],[BAĞLANTI]])</f>
        <v>0</v>
      </c>
      <c r="BN200" s="8">
        <f>+SUMIFS(BN$2:BN$149,$CB$2:$CB$149,Table1[[#This Row],[BAĞLANTI]])</f>
        <v>0</v>
      </c>
      <c r="BO200" s="8">
        <f>+SUMIFS(BO$2:BO$149,$CB$2:$CB$149,Table1[[#This Row],[BAĞLANTI]])</f>
        <v>0</v>
      </c>
      <c r="BP200" s="8">
        <f>+SUMIFS(BP$2:BP$149,$CB$2:$CB$149,Table1[[#This Row],[BAĞLANTI]])</f>
        <v>0</v>
      </c>
      <c r="BQ200" s="8">
        <f>+SUMIFS(BQ$2:BQ$149,$CB$2:$CB$149,Table1[[#This Row],[BAĞLANTI]])</f>
        <v>0</v>
      </c>
      <c r="BR200" s="8">
        <f>+SUMIFS(BR$2:BR$149,$CB$2:$CB$149,Table1[[#This Row],[BAĞLANTI]])</f>
        <v>0</v>
      </c>
      <c r="BS200" s="8">
        <f>+SUMIFS(BS$2:BS$149,$CB$2:$CB$149,Table1[[#This Row],[BAĞLANTI]])</f>
        <v>0</v>
      </c>
      <c r="BT200" s="8">
        <f>+SUMIFS(BT$2:BT$149,$CB$2:$CB$149,Table1[[#This Row],[BAĞLANTI]])</f>
        <v>0</v>
      </c>
      <c r="BU200" s="8">
        <f>+SUMIFS(BU$2:BU$149,$CB$2:$CB$149,Table1[[#This Row],[BAĞLANTI]])</f>
        <v>0</v>
      </c>
      <c r="BV200" s="8">
        <f>+SUMIFS(BV$2:BV$149,$CB$2:$CB$149,Table1[[#This Row],[BAĞLANTI]])</f>
        <v>0</v>
      </c>
      <c r="BW200" s="8">
        <f>+SUMIFS(BW$2:BW$149,$CB$2:$CB$149,Table1[[#This Row],[BAĞLANTI]])</f>
        <v>0</v>
      </c>
      <c r="BX200" s="8">
        <f>+SUMIFS(BX$2:BX$149,$CB$2:$CB$149,Table1[[#This Row],[BAĞLANTI]])</f>
        <v>0</v>
      </c>
      <c r="BY200" s="8">
        <f>+SUMIFS(BY$2:BY$149,$CB$2:$CB$149,Table1[[#This Row],[BAĞLANTI]])</f>
        <v>0</v>
      </c>
      <c r="BZ200" s="8">
        <f>+SUMIFS(BZ$2:BZ$149,$CB$2:$CB$149,Table1[[#This Row],[BAĞLANTI]])</f>
        <v>0</v>
      </c>
      <c r="CA200" s="8">
        <f>+SUMIFS(CA$2:CA$149,$CB$2:$CB$149,Table1[[#This Row],[BAĞLANTI]])</f>
        <v>0</v>
      </c>
      <c r="CB200" s="8" t="s">
        <v>5403</v>
      </c>
    </row>
    <row r="201" spans="1:80">
      <c r="A201" s="3" t="s">
        <v>5444</v>
      </c>
      <c r="B201" t="s">
        <v>18</v>
      </c>
      <c r="C201" t="s">
        <v>316</v>
      </c>
      <c r="D201" t="s">
        <v>5182</v>
      </c>
      <c r="E201" t="s">
        <v>5183</v>
      </c>
      <c r="F201" s="77" t="s">
        <v>4973</v>
      </c>
      <c r="G201" t="s">
        <v>4983</v>
      </c>
      <c r="H201" s="3" t="s">
        <v>4984</v>
      </c>
      <c r="I201" s="3" t="s">
        <v>5194</v>
      </c>
      <c r="J201" s="78"/>
      <c r="K201" s="78"/>
      <c r="M201" s="78"/>
      <c r="N201" s="8">
        <f>+SUMIFS(N$2:N$149,$CB$2:$CB$149,Table1[[#This Row],[BAĞLANTI]])</f>
        <v>0</v>
      </c>
      <c r="O201" s="8">
        <f>+SUMIFS(O$2:O$149,$CB$2:$CB$149,Table1[[#This Row],[BAĞLANTI]])</f>
        <v>0</v>
      </c>
      <c r="P201" s="8">
        <f>+SUMIFS(P$2:P$149,$CB$2:$CB$149,Table1[[#This Row],[BAĞLANTI]])</f>
        <v>0</v>
      </c>
      <c r="Q201" s="8">
        <f>+SUMIFS(Q$2:Q$149,$CB$2:$CB$149,Table1[[#This Row],[BAĞLANTI]])</f>
        <v>0</v>
      </c>
      <c r="R201" s="8">
        <f>+SUMIFS(R$2:R$149,$CB$2:$CB$149,Table1[[#This Row],[BAĞLANTI]])</f>
        <v>0</v>
      </c>
      <c r="S201" s="8">
        <f>+SUMIFS(S$2:S$149,$CB$2:$CB$149,Table1[[#This Row],[BAĞLANTI]])</f>
        <v>0</v>
      </c>
      <c r="T201" s="8">
        <f>+SUMIFS(T$2:T$149,$CB$2:$CB$149,Table1[[#This Row],[BAĞLANTI]])</f>
        <v>0</v>
      </c>
      <c r="U201" s="8">
        <f>+SUMIFS(U$2:U$149,$CB$2:$CB$149,Table1[[#This Row],[BAĞLANTI]])</f>
        <v>3330</v>
      </c>
      <c r="V201" s="8">
        <f>+SUMIFS(V$2:V$149,$CB$2:$CB$149,Table1[[#This Row],[BAĞLANTI]])</f>
        <v>2880</v>
      </c>
      <c r="W201" s="8">
        <f>+SUMIFS(W$2:W$149,$CB$2:$CB$149,Table1[[#This Row],[BAĞLANTI]])</f>
        <v>11205</v>
      </c>
      <c r="X201" s="10">
        <f>+SUMIFS(X$2:X$149,$CB$2:$CB$149,Table1[[#This Row],[BAĞLANTI]])</f>
        <v>8613</v>
      </c>
      <c r="Y201" s="8">
        <f>+SUMIFS(Y$2:Y$149,$CB$2:$CB$149,Table1[[#This Row],[BAĞLANTI]])</f>
        <v>1640.9384288747349</v>
      </c>
      <c r="Z201" s="8">
        <f>+SUMIFS(Z$2:Z$149,$CB$2:$CB$149,Table1[[#This Row],[BAĞLANTI]])</f>
        <v>1640.9384288747349</v>
      </c>
      <c r="AA201" s="8">
        <f>+SUMIFS(AA$2:AA$149,$CB$2:$CB$149,Table1[[#This Row],[BAĞLANTI]])</f>
        <v>1640.9384288747349</v>
      </c>
      <c r="AB201" s="8">
        <f>+SUMIFS(AB$2:AB$149,$CB$2:$CB$149,Table1[[#This Row],[BAĞLANTI]])</f>
        <v>1640.9384288747349</v>
      </c>
      <c r="AC201" s="8">
        <f>+SUMIFS(AC$2:AC$149,$CB$2:$CB$149,Table1[[#This Row],[BAĞLANTI]])</f>
        <v>3129.2314225053078</v>
      </c>
      <c r="AD201" s="8">
        <f>+SUMIFS(AD$2:AD$149,$CB$2:$CB$149,Table1[[#This Row],[BAĞLANTI]])</f>
        <v>3129.2314225053078</v>
      </c>
      <c r="AE201" s="8">
        <f>+SUMIFS(AE$2:AE$149,$CB$2:$CB$149,Table1[[#This Row],[BAĞLANTI]])</f>
        <v>3892.4585987261121</v>
      </c>
      <c r="AF201" s="8">
        <f>+SUMIFS(AF$2:AF$149,$CB$2:$CB$149,Table1[[#This Row],[BAĞLANTI]])</f>
        <v>3892.4585987261121</v>
      </c>
      <c r="AG201" s="8">
        <f>+SUMIFS(AG$2:AG$149,$CB$2:$CB$149,Table1[[#This Row],[BAĞLANTI]])</f>
        <v>2060.7133757961778</v>
      </c>
      <c r="AH201" s="8">
        <f>+SUMIFS(AH$2:AH$149,$CB$2:$CB$149,Table1[[#This Row],[BAĞLANTI]])</f>
        <v>2823.9405520169867</v>
      </c>
      <c r="AI201" s="8">
        <f>+SUMIFS(AI$2:AI$149,$CB$2:$CB$149,Table1[[#This Row],[BAĞLANTI]])</f>
        <v>2823.9405520169867</v>
      </c>
      <c r="AJ201" s="8">
        <f>+SUMIFS(AJ$2:AJ$149,$CB$2:$CB$149,Table1[[#This Row],[BAĞLANTI]])</f>
        <v>2747.6178343949055</v>
      </c>
      <c r="AK201" s="8">
        <f>+SUMIFS(AK$2:AK$149,$CB$2:$CB$149,Table1[[#This Row],[BAĞLANTI]])</f>
        <v>4388.5562632696438</v>
      </c>
      <c r="AL201" s="8">
        <f>+SUMIFS(AL$2:AL$149,$CB$2:$CB$149,Table1[[#This Row],[BAĞLANTI]])</f>
        <v>496.09766454352416</v>
      </c>
      <c r="AM201" s="8">
        <f>+SUMIFS(AM$2:AM$149,$CB$2:$CB$149,Table1[[#This Row],[BAĞLANTI]])</f>
        <v>0</v>
      </c>
      <c r="AN201" s="8">
        <f>+SUMIFS(AN$2:AN$149,$CB$2:$CB$149,Table1[[#This Row],[BAĞLANTI]])</f>
        <v>0</v>
      </c>
      <c r="AO201" s="8">
        <f>+SUMIFS(AO$2:AO$149,$CB$2:$CB$149,Table1[[#This Row],[BAĞLANTI]])</f>
        <v>0</v>
      </c>
      <c r="AP201" s="8">
        <f>+SUMIFS(AP$2:AP$149,$CB$2:$CB$149,Table1[[#This Row],[BAĞLANTI]])</f>
        <v>0</v>
      </c>
      <c r="AQ201" s="8">
        <f>+SUMIFS(AQ$2:AQ$149,$CB$2:$CB$149,Table1[[#This Row],[BAĞLANTI]])</f>
        <v>0</v>
      </c>
      <c r="AR201" s="8">
        <f>+SUMIFS(AR$2:AR$149,$CB$2:$CB$149,Table1[[#This Row],[BAĞLANTI]])</f>
        <v>0</v>
      </c>
      <c r="AS201" s="8">
        <f>+SUMIFS(AS$2:AS$149,$CB$2:$CB$149,Table1[[#This Row],[BAĞLANTI]])</f>
        <v>0</v>
      </c>
      <c r="AT201" s="8">
        <f>+SUMIFS(AT$2:AT$149,$CB$2:$CB$149,Table1[[#This Row],[BAĞLANTI]])</f>
        <v>0</v>
      </c>
      <c r="AU201" s="8">
        <f>+SUMIFS(AU$2:AU$149,$CB$2:$CB$149,Table1[[#This Row],[BAĞLANTI]])</f>
        <v>0</v>
      </c>
      <c r="AV201" s="8">
        <f>+SUMIFS(AV$2:AV$149,$CB$2:$CB$149,Table1[[#This Row],[BAĞLANTI]])</f>
        <v>0</v>
      </c>
      <c r="AW201" s="8">
        <f>+SUMIFS(AW$2:AW$149,$CB$2:$CB$149,Table1[[#This Row],[BAĞLANTI]])</f>
        <v>0</v>
      </c>
      <c r="AX201" s="8">
        <f>+SUMIFS(AX$2:AX$149,$CB$2:$CB$149,Table1[[#This Row],[BAĞLANTI]])</f>
        <v>0</v>
      </c>
      <c r="AY201" s="8">
        <f>+SUMIFS(AY$2:AY$149,$CB$2:$CB$149,Table1[[#This Row],[BAĞLANTI]])</f>
        <v>0</v>
      </c>
      <c r="AZ201" s="8">
        <f>+SUMIFS(AZ$2:AZ$149,$CB$2:$CB$149,Table1[[#This Row],[BAĞLANTI]])</f>
        <v>0</v>
      </c>
      <c r="BA201" s="8">
        <f>+SUMIFS(BA$2:BA$149,$CB$2:$CB$149,Table1[[#This Row],[BAĞLANTI]])</f>
        <v>0</v>
      </c>
      <c r="BB201" s="8">
        <f>+SUMIFS(BB$2:BB$149,$CB$2:$CB$149,Table1[[#This Row],[BAĞLANTI]])</f>
        <v>0</v>
      </c>
      <c r="BC201" s="8">
        <f>+SUMIFS(BC$2:BC$149,$CB$2:$CB$149,Table1[[#This Row],[BAĞLANTI]])</f>
        <v>0</v>
      </c>
      <c r="BD201" s="8">
        <f>+SUMIFS(BD$2:BD$149,$CB$2:$CB$149,Table1[[#This Row],[BAĞLANTI]])</f>
        <v>0</v>
      </c>
      <c r="BE201" s="8">
        <f>+SUMIFS(BE$2:BE$149,$CB$2:$CB$149,Table1[[#This Row],[BAĞLANTI]])</f>
        <v>0</v>
      </c>
      <c r="BF201" s="8">
        <f>+SUMIFS(BF$2:BF$149,$CB$2:$CB$149,Table1[[#This Row],[BAĞLANTI]])</f>
        <v>0</v>
      </c>
      <c r="BG201" s="8">
        <f>+SUMIFS(BG$2:BG$149,$CB$2:$CB$149,Table1[[#This Row],[BAĞLANTI]])</f>
        <v>0</v>
      </c>
      <c r="BH201" s="8">
        <f>+SUMIFS(BH$2:BH$149,$CB$2:$CB$149,Table1[[#This Row],[BAĞLANTI]])</f>
        <v>0</v>
      </c>
      <c r="BI201" s="8">
        <f>+SUMIFS(BI$2:BI$149,$CB$2:$CB$149,Table1[[#This Row],[BAĞLANTI]])</f>
        <v>0</v>
      </c>
      <c r="BJ201" s="8">
        <f>+SUMIFS(BJ$2:BJ$149,$CB$2:$CB$149,Table1[[#This Row],[BAĞLANTI]])</f>
        <v>0</v>
      </c>
      <c r="BK201" s="8">
        <f>+SUMIFS(BK$2:BK$149,$CB$2:$CB$149,Table1[[#This Row],[BAĞLANTI]])</f>
        <v>0</v>
      </c>
      <c r="BL201" s="8">
        <f>+SUMIFS(BL$2:BL$149,$CB$2:$CB$149,Table1[[#This Row],[BAĞLANTI]])</f>
        <v>0</v>
      </c>
      <c r="BM201" s="8">
        <f>+SUMIFS(BM$2:BM$149,$CB$2:$CB$149,Table1[[#This Row],[BAĞLANTI]])</f>
        <v>0</v>
      </c>
      <c r="BN201" s="8">
        <f>+SUMIFS(BN$2:BN$149,$CB$2:$CB$149,Table1[[#This Row],[BAĞLANTI]])</f>
        <v>0</v>
      </c>
      <c r="BO201" s="8">
        <f>+SUMIFS(BO$2:BO$149,$CB$2:$CB$149,Table1[[#This Row],[BAĞLANTI]])</f>
        <v>0</v>
      </c>
      <c r="BP201" s="8">
        <f>+SUMIFS(BP$2:BP$149,$CB$2:$CB$149,Table1[[#This Row],[BAĞLANTI]])</f>
        <v>0</v>
      </c>
      <c r="BQ201" s="8">
        <f>+SUMIFS(BQ$2:BQ$149,$CB$2:$CB$149,Table1[[#This Row],[BAĞLANTI]])</f>
        <v>0</v>
      </c>
      <c r="BR201" s="8">
        <f>+SUMIFS(BR$2:BR$149,$CB$2:$CB$149,Table1[[#This Row],[BAĞLANTI]])</f>
        <v>0</v>
      </c>
      <c r="BS201" s="8">
        <f>+SUMIFS(BS$2:BS$149,$CB$2:$CB$149,Table1[[#This Row],[BAĞLANTI]])</f>
        <v>0</v>
      </c>
      <c r="BT201" s="8">
        <f>+SUMIFS(BT$2:BT$149,$CB$2:$CB$149,Table1[[#This Row],[BAĞLANTI]])</f>
        <v>0</v>
      </c>
      <c r="BU201" s="8">
        <f>+SUMIFS(BU$2:BU$149,$CB$2:$CB$149,Table1[[#This Row],[BAĞLANTI]])</f>
        <v>0</v>
      </c>
      <c r="BV201" s="8">
        <f>+SUMIFS(BV$2:BV$149,$CB$2:$CB$149,Table1[[#This Row],[BAĞLANTI]])</f>
        <v>0</v>
      </c>
      <c r="BW201" s="8">
        <f>+SUMIFS(BW$2:BW$149,$CB$2:$CB$149,Table1[[#This Row],[BAĞLANTI]])</f>
        <v>0</v>
      </c>
      <c r="BX201" s="8">
        <f>+SUMIFS(BX$2:BX$149,$CB$2:$CB$149,Table1[[#This Row],[BAĞLANTI]])</f>
        <v>0</v>
      </c>
      <c r="BY201" s="8">
        <f>+SUMIFS(BY$2:BY$149,$CB$2:$CB$149,Table1[[#This Row],[BAĞLANTI]])</f>
        <v>0</v>
      </c>
      <c r="BZ201" s="8">
        <f>+SUMIFS(BZ$2:BZ$149,$CB$2:$CB$149,Table1[[#This Row],[BAĞLANTI]])</f>
        <v>0</v>
      </c>
      <c r="CA201" s="8">
        <f>+SUMIFS(CA$2:CA$149,$CB$2:$CB$149,Table1[[#This Row],[BAĞLANTI]])</f>
        <v>0</v>
      </c>
      <c r="CB201" s="8" t="s">
        <v>5404</v>
      </c>
    </row>
    <row r="202" spans="1:80">
      <c r="A202" s="3" t="s">
        <v>5444</v>
      </c>
      <c r="B202" t="s">
        <v>19</v>
      </c>
      <c r="C202" t="s">
        <v>320</v>
      </c>
      <c r="D202" t="s">
        <v>72</v>
      </c>
      <c r="E202" t="s">
        <v>4974</v>
      </c>
      <c r="F202" s="77" t="s">
        <v>4973</v>
      </c>
      <c r="G202" t="s">
        <v>4983</v>
      </c>
      <c r="H202" s="3" t="s">
        <v>4984</v>
      </c>
      <c r="I202" s="3" t="s">
        <v>5194</v>
      </c>
      <c r="J202" s="78"/>
      <c r="K202" s="78"/>
      <c r="M202" s="78"/>
      <c r="N202" s="8">
        <f>+SUMIFS(N$2:N$149,$CB$2:$CB$149,Table1[[#This Row],[BAĞLANTI]])</f>
        <v>0</v>
      </c>
      <c r="O202" s="8">
        <f>+SUMIFS(O$2:O$149,$CB$2:$CB$149,Table1[[#This Row],[BAĞLANTI]])</f>
        <v>0</v>
      </c>
      <c r="P202" s="8">
        <f>+SUMIFS(P$2:P$149,$CB$2:$CB$149,Table1[[#This Row],[BAĞLANTI]])</f>
        <v>0</v>
      </c>
      <c r="Q202" s="8">
        <f>+SUMIFS(Q$2:Q$149,$CB$2:$CB$149,Table1[[#This Row],[BAĞLANTI]])</f>
        <v>0</v>
      </c>
      <c r="R202" s="8">
        <f>+SUMIFS(R$2:R$149,$CB$2:$CB$149,Table1[[#This Row],[BAĞLANTI]])</f>
        <v>0</v>
      </c>
      <c r="S202" s="8">
        <f>+SUMIFS(S$2:S$149,$CB$2:$CB$149,Table1[[#This Row],[BAĞLANTI]])</f>
        <v>0</v>
      </c>
      <c r="T202" s="8">
        <f>+SUMIFS(T$2:T$149,$CB$2:$CB$149,Table1[[#This Row],[BAĞLANTI]])</f>
        <v>0</v>
      </c>
      <c r="U202" s="8">
        <f>+SUMIFS(U$2:U$149,$CB$2:$CB$149,Table1[[#This Row],[BAĞLANTI]])</f>
        <v>0</v>
      </c>
      <c r="V202" s="8">
        <f>+SUMIFS(V$2:V$149,$CB$2:$CB$149,Table1[[#This Row],[BAĞLANTI]])</f>
        <v>0</v>
      </c>
      <c r="W202" s="8">
        <f>+SUMIFS(W$2:W$149,$CB$2:$CB$149,Table1[[#This Row],[BAĞLANTI]])</f>
        <v>0</v>
      </c>
      <c r="X202" s="10">
        <f>+SUMIFS(X$2:X$149,$CB$2:$CB$149,Table1[[#This Row],[BAĞLANTI]])</f>
        <v>5532</v>
      </c>
      <c r="Y202" s="8">
        <f>+SUMIFS(Y$2:Y$149,$CB$2:$CB$149,Table1[[#This Row],[BAĞLANTI]])</f>
        <v>7184.3052362030958</v>
      </c>
      <c r="Z202" s="8">
        <f>+SUMIFS(Z$2:Z$149,$CB$2:$CB$149,Table1[[#This Row],[BAĞLANTI]])</f>
        <v>6612.8264105960243</v>
      </c>
      <c r="AA202" s="8">
        <f>+SUMIFS(AA$2:AA$149,$CB$2:$CB$149,Table1[[#This Row],[BAĞLANTI]])</f>
        <v>3592.1526181015429</v>
      </c>
      <c r="AB202" s="8">
        <f>+SUMIFS(AB$2:AB$149,$CB$2:$CB$149,Table1[[#This Row],[BAĞLANTI]])</f>
        <v>3592.1526181015429</v>
      </c>
      <c r="AC202" s="8">
        <f>+SUMIFS(AC$2:AC$149,$CB$2:$CB$149,Table1[[#This Row],[BAĞLANTI]])</f>
        <v>3592.1526181015429</v>
      </c>
      <c r="AD202" s="8">
        <f>+SUMIFS(AD$2:AD$149,$CB$2:$CB$149,Table1[[#This Row],[BAĞLANTI]])</f>
        <v>3592.1526181015429</v>
      </c>
      <c r="AE202" s="8">
        <f>+SUMIFS(AE$2:AE$149,$CB$2:$CB$149,Table1[[#This Row],[BAĞLANTI]])</f>
        <v>3592.1526181015429</v>
      </c>
      <c r="AF202" s="8">
        <f>+SUMIFS(AF$2:AF$149,$CB$2:$CB$149,Table1[[#This Row],[BAĞLANTI]])</f>
        <v>2694.114463576157</v>
      </c>
      <c r="AG202" s="8">
        <f>+SUMIFS(AG$2:AG$149,$CB$2:$CB$149,Table1[[#This Row],[BAĞLANTI]])</f>
        <v>3592.1526181015429</v>
      </c>
      <c r="AH202" s="8">
        <f>+SUMIFS(AH$2:AH$149,$CB$2:$CB$149,Table1[[#This Row],[BAĞLANTI]])</f>
        <v>2694.114463576157</v>
      </c>
      <c r="AI202" s="8">
        <f>+SUMIFS(AI$2:AI$149,$CB$2:$CB$149,Table1[[#This Row],[BAĞLANTI]])</f>
        <v>3592.1526181015429</v>
      </c>
      <c r="AJ202" s="8">
        <f>+SUMIFS(AJ$2:AJ$149,$CB$2:$CB$149,Table1[[#This Row],[BAĞLANTI]])</f>
        <v>3592.1526181015429</v>
      </c>
      <c r="AK202" s="8">
        <f>+SUMIFS(AK$2:AK$149,$CB$2:$CB$149,Table1[[#This Row],[BAĞLANTI]])</f>
        <v>3592.1526181015429</v>
      </c>
      <c r="AL202" s="8">
        <f>+SUMIFS(AL$2:AL$149,$CB$2:$CB$149,Table1[[#This Row],[BAĞLANTI]])</f>
        <v>3592.1526181015429</v>
      </c>
      <c r="AM202" s="8">
        <f>+SUMIFS(AM$2:AM$149,$CB$2:$CB$149,Table1[[#This Row],[BAĞLANTI]])</f>
        <v>3592.1526181015429</v>
      </c>
      <c r="AN202" s="8">
        <f>+SUMIFS(AN$2:AN$149,$CB$2:$CB$149,Table1[[#This Row],[BAĞLANTI]])</f>
        <v>3592.1526181015429</v>
      </c>
      <c r="AO202" s="8">
        <f>+SUMIFS(AO$2:AO$149,$CB$2:$CB$149,Table1[[#This Row],[BAĞLANTI]])</f>
        <v>3592.1526181015429</v>
      </c>
      <c r="AP202" s="8">
        <f>+SUMIFS(AP$2:AP$149,$CB$2:$CB$149,Table1[[#This Row],[BAĞLANTI]])</f>
        <v>3592.1526181015429</v>
      </c>
      <c r="AQ202" s="8">
        <f>+SUMIFS(AQ$2:AQ$149,$CB$2:$CB$149,Table1[[#This Row],[BAĞLANTI]])</f>
        <v>2694.114463576157</v>
      </c>
      <c r="AR202" s="8">
        <f>+SUMIFS(AR$2:AR$149,$CB$2:$CB$149,Table1[[#This Row],[BAĞLANTI]])</f>
        <v>3183.9534569536395</v>
      </c>
      <c r="AS202" s="8">
        <f>+SUMIFS(AS$2:AS$149,$CB$2:$CB$149,Table1[[#This Row],[BAĞLANTI]])</f>
        <v>1959.3559735099382</v>
      </c>
      <c r="AT202" s="8">
        <f>+SUMIFS(AT$2:AT$149,$CB$2:$CB$149,Table1[[#This Row],[BAĞLANTI]])</f>
        <v>6041.3475849889564</v>
      </c>
      <c r="AU202" s="8">
        <f>+SUMIFS(AU$2:AU$149,$CB$2:$CB$149,Table1[[#This Row],[BAĞLANTI]])</f>
        <v>1959.3559735099382</v>
      </c>
      <c r="AV202" s="8">
        <f>+SUMIFS(AV$2:AV$149,$CB$2:$CB$149,Table1[[#This Row],[BAĞLANTI]])</f>
        <v>1959.3559735099382</v>
      </c>
      <c r="AW202" s="8">
        <f>+SUMIFS(AW$2:AW$149,$CB$2:$CB$149,Table1[[#This Row],[BAĞLANTI]])</f>
        <v>1959.3559735099382</v>
      </c>
      <c r="AX202" s="8">
        <f>+SUMIFS(AX$2:AX$149,$CB$2:$CB$149,Table1[[#This Row],[BAĞLANTI]])</f>
        <v>1959.3559735099382</v>
      </c>
      <c r="AY202" s="8">
        <f>+SUMIFS(AY$2:AY$149,$CB$2:$CB$149,Table1[[#This Row],[BAĞLANTI]])</f>
        <v>1265.4173995584952</v>
      </c>
      <c r="AZ202" s="8">
        <f>+SUMIFS(AZ$2:AZ$149,$CB$2:$CB$149,Table1[[#This Row],[BAĞLANTI]])</f>
        <v>0</v>
      </c>
      <c r="BA202" s="8">
        <f>+SUMIFS(BA$2:BA$149,$CB$2:$CB$149,Table1[[#This Row],[BAĞLANTI]])</f>
        <v>0</v>
      </c>
      <c r="BB202" s="8">
        <f>+SUMIFS(BB$2:BB$149,$CB$2:$CB$149,Table1[[#This Row],[BAĞLANTI]])</f>
        <v>0</v>
      </c>
      <c r="BC202" s="8">
        <f>+SUMIFS(BC$2:BC$149,$CB$2:$CB$149,Table1[[#This Row],[BAĞLANTI]])</f>
        <v>0</v>
      </c>
      <c r="BD202" s="8">
        <f>+SUMIFS(BD$2:BD$149,$CB$2:$CB$149,Table1[[#This Row],[BAĞLANTI]])</f>
        <v>0</v>
      </c>
      <c r="BE202" s="8">
        <f>+SUMIFS(BE$2:BE$149,$CB$2:$CB$149,Table1[[#This Row],[BAĞLANTI]])</f>
        <v>0</v>
      </c>
      <c r="BF202" s="8">
        <f>+SUMIFS(BF$2:BF$149,$CB$2:$CB$149,Table1[[#This Row],[BAĞLANTI]])</f>
        <v>0</v>
      </c>
      <c r="BG202" s="8">
        <f>+SUMIFS(BG$2:BG$149,$CB$2:$CB$149,Table1[[#This Row],[BAĞLANTI]])</f>
        <v>0</v>
      </c>
      <c r="BH202" s="8">
        <f>+SUMIFS(BH$2:BH$149,$CB$2:$CB$149,Table1[[#This Row],[BAĞLANTI]])</f>
        <v>0</v>
      </c>
      <c r="BI202" s="8">
        <f>+SUMIFS(BI$2:BI$149,$CB$2:$CB$149,Table1[[#This Row],[BAĞLANTI]])</f>
        <v>0</v>
      </c>
      <c r="BJ202" s="8">
        <f>+SUMIFS(BJ$2:BJ$149,$CB$2:$CB$149,Table1[[#This Row],[BAĞLANTI]])</f>
        <v>0</v>
      </c>
      <c r="BK202" s="8">
        <f>+SUMIFS(BK$2:BK$149,$CB$2:$CB$149,Table1[[#This Row],[BAĞLANTI]])</f>
        <v>0</v>
      </c>
      <c r="BL202" s="8">
        <f>+SUMIFS(BL$2:BL$149,$CB$2:$CB$149,Table1[[#This Row],[BAĞLANTI]])</f>
        <v>0</v>
      </c>
      <c r="BM202" s="8">
        <f>+SUMIFS(BM$2:BM$149,$CB$2:$CB$149,Table1[[#This Row],[BAĞLANTI]])</f>
        <v>0</v>
      </c>
      <c r="BN202" s="8">
        <f>+SUMIFS(BN$2:BN$149,$CB$2:$CB$149,Table1[[#This Row],[BAĞLANTI]])</f>
        <v>0</v>
      </c>
      <c r="BO202" s="8">
        <f>+SUMIFS(BO$2:BO$149,$CB$2:$CB$149,Table1[[#This Row],[BAĞLANTI]])</f>
        <v>0</v>
      </c>
      <c r="BP202" s="8">
        <f>+SUMIFS(BP$2:BP$149,$CB$2:$CB$149,Table1[[#This Row],[BAĞLANTI]])</f>
        <v>0</v>
      </c>
      <c r="BQ202" s="8">
        <f>+SUMIFS(BQ$2:BQ$149,$CB$2:$CB$149,Table1[[#This Row],[BAĞLANTI]])</f>
        <v>0</v>
      </c>
      <c r="BR202" s="8">
        <f>+SUMIFS(BR$2:BR$149,$CB$2:$CB$149,Table1[[#This Row],[BAĞLANTI]])</f>
        <v>0</v>
      </c>
      <c r="BS202" s="8">
        <f>+SUMIFS(BS$2:BS$149,$CB$2:$CB$149,Table1[[#This Row],[BAĞLANTI]])</f>
        <v>0</v>
      </c>
      <c r="BT202" s="8">
        <f>+SUMIFS(BT$2:BT$149,$CB$2:$CB$149,Table1[[#This Row],[BAĞLANTI]])</f>
        <v>0</v>
      </c>
      <c r="BU202" s="8">
        <f>+SUMIFS(BU$2:BU$149,$CB$2:$CB$149,Table1[[#This Row],[BAĞLANTI]])</f>
        <v>0</v>
      </c>
      <c r="BV202" s="8">
        <f>+SUMIFS(BV$2:BV$149,$CB$2:$CB$149,Table1[[#This Row],[BAĞLANTI]])</f>
        <v>0</v>
      </c>
      <c r="BW202" s="8">
        <f>+SUMIFS(BW$2:BW$149,$CB$2:$CB$149,Table1[[#This Row],[BAĞLANTI]])</f>
        <v>0</v>
      </c>
      <c r="BX202" s="8">
        <f>+SUMIFS(BX$2:BX$149,$CB$2:$CB$149,Table1[[#This Row],[BAĞLANTI]])</f>
        <v>0</v>
      </c>
      <c r="BY202" s="8">
        <f>+SUMIFS(BY$2:BY$149,$CB$2:$CB$149,Table1[[#This Row],[BAĞLANTI]])</f>
        <v>0</v>
      </c>
      <c r="BZ202" s="8">
        <f>+SUMIFS(BZ$2:BZ$149,$CB$2:$CB$149,Table1[[#This Row],[BAĞLANTI]])</f>
        <v>0</v>
      </c>
      <c r="CA202" s="8">
        <f>+SUMIFS(CA$2:CA$149,$CB$2:$CB$149,Table1[[#This Row],[BAĞLANTI]])</f>
        <v>0</v>
      </c>
      <c r="CB202" s="8" t="s">
        <v>5405</v>
      </c>
    </row>
    <row r="203" spans="1:80">
      <c r="A203" s="3" t="s">
        <v>5444</v>
      </c>
      <c r="B203" t="s">
        <v>19</v>
      </c>
      <c r="C203" t="s">
        <v>320</v>
      </c>
      <c r="D203" t="s">
        <v>74</v>
      </c>
      <c r="E203" t="s">
        <v>4975</v>
      </c>
      <c r="F203" s="77" t="s">
        <v>4973</v>
      </c>
      <c r="G203" t="s">
        <v>4983</v>
      </c>
      <c r="H203" s="3" t="s">
        <v>4984</v>
      </c>
      <c r="I203" s="3" t="s">
        <v>5194</v>
      </c>
      <c r="J203" s="78"/>
      <c r="K203" s="78"/>
      <c r="M203" s="78"/>
      <c r="N203" s="8">
        <f>+SUMIFS(N$2:N$149,$CB$2:$CB$149,Table1[[#This Row],[BAĞLANTI]])</f>
        <v>0</v>
      </c>
      <c r="O203" s="8">
        <f>+SUMIFS(O$2:O$149,$CB$2:$CB$149,Table1[[#This Row],[BAĞLANTI]])</f>
        <v>0</v>
      </c>
      <c r="P203" s="8">
        <f>+SUMIFS(P$2:P$149,$CB$2:$CB$149,Table1[[#This Row],[BAĞLANTI]])</f>
        <v>0</v>
      </c>
      <c r="Q203" s="8">
        <f>+SUMIFS(Q$2:Q$149,$CB$2:$CB$149,Table1[[#This Row],[BAĞLANTI]])</f>
        <v>0</v>
      </c>
      <c r="R203" s="8">
        <f>+SUMIFS(R$2:R$149,$CB$2:$CB$149,Table1[[#This Row],[BAĞLANTI]])</f>
        <v>1852</v>
      </c>
      <c r="S203" s="8">
        <f>+SUMIFS(S$2:S$149,$CB$2:$CB$149,Table1[[#This Row],[BAĞLANTI]])</f>
        <v>5608</v>
      </c>
      <c r="T203" s="8">
        <f>+SUMIFS(T$2:T$149,$CB$2:$CB$149,Table1[[#This Row],[BAĞLANTI]])</f>
        <v>4276</v>
      </c>
      <c r="U203" s="8">
        <f>+SUMIFS(U$2:U$149,$CB$2:$CB$149,Table1[[#This Row],[BAĞLANTI]])</f>
        <v>3316</v>
      </c>
      <c r="V203" s="8">
        <f>+SUMIFS(V$2:V$149,$CB$2:$CB$149,Table1[[#This Row],[BAĞLANTI]])</f>
        <v>3260</v>
      </c>
      <c r="W203" s="8">
        <f>+SUMIFS(W$2:W$149,$CB$2:$CB$149,Table1[[#This Row],[BAĞLANTI]])</f>
        <v>5576</v>
      </c>
      <c r="X203" s="10">
        <f>+SUMIFS(X$2:X$149,$CB$2:$CB$149,Table1[[#This Row],[BAĞLANTI]])</f>
        <v>8444</v>
      </c>
      <c r="Y203" s="8">
        <f>+SUMIFS(Y$2:Y$149,$CB$2:$CB$149,Table1[[#This Row],[BAĞLANTI]])</f>
        <v>8923.2659720825177</v>
      </c>
      <c r="Z203" s="8">
        <f>+SUMIFS(Z$2:Z$149,$CB$2:$CB$149,Table1[[#This Row],[BAĞLANTI]])</f>
        <v>5000.0796239939382</v>
      </c>
      <c r="AA203" s="8">
        <f>+SUMIFS(AA$2:AA$149,$CB$2:$CB$149,Table1[[#This Row],[BAĞLANTI]])</f>
        <v>5000.0796239939382</v>
      </c>
      <c r="AB203" s="8">
        <f>+SUMIFS(AB$2:AB$149,$CB$2:$CB$149,Table1[[#This Row],[BAĞLANTI]])</f>
        <v>5644.1848453219591</v>
      </c>
      <c r="AC203" s="8">
        <f>+SUMIFS(AC$2:AC$149,$CB$2:$CB$149,Table1[[#This Row],[BAĞLANTI]])</f>
        <v>4121.8492618209639</v>
      </c>
      <c r="AD203" s="8">
        <f>+SUMIFS(AD$2:AD$149,$CB$2:$CB$149,Table1[[#This Row],[BAĞLANTI]])</f>
        <v>5950.6539197686152</v>
      </c>
      <c r="AE203" s="8">
        <f>+SUMIFS(AE$2:AE$149,$CB$2:$CB$149,Table1[[#This Row],[BAĞLANTI]])</f>
        <v>5950.6539197686152</v>
      </c>
      <c r="AF203" s="8">
        <f>+SUMIFS(AF$2:AF$149,$CB$2:$CB$149,Table1[[#This Row],[BAĞLANTI]])</f>
        <v>2788.6828332494961</v>
      </c>
      <c r="AG203" s="8">
        <f>+SUMIFS(AG$2:AG$149,$CB$2:$CB$149,Table1[[#This Row],[BAĞLANTI]])</f>
        <v>0</v>
      </c>
      <c r="AH203" s="8">
        <f>+SUMIFS(AH$2:AH$149,$CB$2:$CB$149,Table1[[#This Row],[BAĞLANTI]])</f>
        <v>0</v>
      </c>
      <c r="AI203" s="8">
        <f>+SUMIFS(AI$2:AI$149,$CB$2:$CB$149,Table1[[#This Row],[BAĞLANTI]])</f>
        <v>0</v>
      </c>
      <c r="AJ203" s="8">
        <f>+SUMIFS(AJ$2:AJ$149,$CB$2:$CB$149,Table1[[#This Row],[BAĞLANTI]])</f>
        <v>0</v>
      </c>
      <c r="AK203" s="8">
        <f>+SUMIFS(AK$2:AK$149,$CB$2:$CB$149,Table1[[#This Row],[BAĞLANTI]])</f>
        <v>0</v>
      </c>
      <c r="AL203" s="8">
        <f>+SUMIFS(AL$2:AL$149,$CB$2:$CB$149,Table1[[#This Row],[BAĞLANTI]])</f>
        <v>0</v>
      </c>
      <c r="AM203" s="8">
        <f>+SUMIFS(AM$2:AM$149,$CB$2:$CB$149,Table1[[#This Row],[BAĞLANTI]])</f>
        <v>0</v>
      </c>
      <c r="AN203" s="8">
        <f>+SUMIFS(AN$2:AN$149,$CB$2:$CB$149,Table1[[#This Row],[BAĞLANTI]])</f>
        <v>0</v>
      </c>
      <c r="AO203" s="8">
        <f>+SUMIFS(AO$2:AO$149,$CB$2:$CB$149,Table1[[#This Row],[BAĞLANTI]])</f>
        <v>0</v>
      </c>
      <c r="AP203" s="8">
        <f>+SUMIFS(AP$2:AP$149,$CB$2:$CB$149,Table1[[#This Row],[BAĞLANTI]])</f>
        <v>0</v>
      </c>
      <c r="AQ203" s="8">
        <f>+SUMIFS(AQ$2:AQ$149,$CB$2:$CB$149,Table1[[#This Row],[BAĞLANTI]])</f>
        <v>0</v>
      </c>
      <c r="AR203" s="8">
        <f>+SUMIFS(AR$2:AR$149,$CB$2:$CB$149,Table1[[#This Row],[BAĞLANTI]])</f>
        <v>0</v>
      </c>
      <c r="AS203" s="8">
        <f>+SUMIFS(AS$2:AS$149,$CB$2:$CB$149,Table1[[#This Row],[BAĞLANTI]])</f>
        <v>0</v>
      </c>
      <c r="AT203" s="8">
        <f>+SUMIFS(AT$2:AT$149,$CB$2:$CB$149,Table1[[#This Row],[BAĞLANTI]])</f>
        <v>0</v>
      </c>
      <c r="AU203" s="8">
        <f>+SUMIFS(AU$2:AU$149,$CB$2:$CB$149,Table1[[#This Row],[BAĞLANTI]])</f>
        <v>0</v>
      </c>
      <c r="AV203" s="8">
        <f>+SUMIFS(AV$2:AV$149,$CB$2:$CB$149,Table1[[#This Row],[BAĞLANTI]])</f>
        <v>0</v>
      </c>
      <c r="AW203" s="8">
        <f>+SUMIFS(AW$2:AW$149,$CB$2:$CB$149,Table1[[#This Row],[BAĞLANTI]])</f>
        <v>0</v>
      </c>
      <c r="AX203" s="8">
        <f>+SUMIFS(AX$2:AX$149,$CB$2:$CB$149,Table1[[#This Row],[BAĞLANTI]])</f>
        <v>0</v>
      </c>
      <c r="AY203" s="8">
        <f>+SUMIFS(AY$2:AY$149,$CB$2:$CB$149,Table1[[#This Row],[BAĞLANTI]])</f>
        <v>0</v>
      </c>
      <c r="AZ203" s="8">
        <f>+SUMIFS(AZ$2:AZ$149,$CB$2:$CB$149,Table1[[#This Row],[BAĞLANTI]])</f>
        <v>0</v>
      </c>
      <c r="BA203" s="8">
        <f>+SUMIFS(BA$2:BA$149,$CB$2:$CB$149,Table1[[#This Row],[BAĞLANTI]])</f>
        <v>0</v>
      </c>
      <c r="BB203" s="8">
        <f>+SUMIFS(BB$2:BB$149,$CB$2:$CB$149,Table1[[#This Row],[BAĞLANTI]])</f>
        <v>0</v>
      </c>
      <c r="BC203" s="8">
        <f>+SUMIFS(BC$2:BC$149,$CB$2:$CB$149,Table1[[#This Row],[BAĞLANTI]])</f>
        <v>0</v>
      </c>
      <c r="BD203" s="8">
        <f>+SUMIFS(BD$2:BD$149,$CB$2:$CB$149,Table1[[#This Row],[BAĞLANTI]])</f>
        <v>0</v>
      </c>
      <c r="BE203" s="8">
        <f>+SUMIFS(BE$2:BE$149,$CB$2:$CB$149,Table1[[#This Row],[BAĞLANTI]])</f>
        <v>0</v>
      </c>
      <c r="BF203" s="8">
        <f>+SUMIFS(BF$2:BF$149,$CB$2:$CB$149,Table1[[#This Row],[BAĞLANTI]])</f>
        <v>0</v>
      </c>
      <c r="BG203" s="8">
        <f>+SUMIFS(BG$2:BG$149,$CB$2:$CB$149,Table1[[#This Row],[BAĞLANTI]])</f>
        <v>0</v>
      </c>
      <c r="BH203" s="8">
        <f>+SUMIFS(BH$2:BH$149,$CB$2:$CB$149,Table1[[#This Row],[BAĞLANTI]])</f>
        <v>0</v>
      </c>
      <c r="BI203" s="8">
        <f>+SUMIFS(BI$2:BI$149,$CB$2:$CB$149,Table1[[#This Row],[BAĞLANTI]])</f>
        <v>0</v>
      </c>
      <c r="BJ203" s="8">
        <f>+SUMIFS(BJ$2:BJ$149,$CB$2:$CB$149,Table1[[#This Row],[BAĞLANTI]])</f>
        <v>0</v>
      </c>
      <c r="BK203" s="8">
        <f>+SUMIFS(BK$2:BK$149,$CB$2:$CB$149,Table1[[#This Row],[BAĞLANTI]])</f>
        <v>0</v>
      </c>
      <c r="BL203" s="8">
        <f>+SUMIFS(BL$2:BL$149,$CB$2:$CB$149,Table1[[#This Row],[BAĞLANTI]])</f>
        <v>0</v>
      </c>
      <c r="BM203" s="8">
        <f>+SUMIFS(BM$2:BM$149,$CB$2:$CB$149,Table1[[#This Row],[BAĞLANTI]])</f>
        <v>0</v>
      </c>
      <c r="BN203" s="8">
        <f>+SUMIFS(BN$2:BN$149,$CB$2:$CB$149,Table1[[#This Row],[BAĞLANTI]])</f>
        <v>0</v>
      </c>
      <c r="BO203" s="8">
        <f>+SUMIFS(BO$2:BO$149,$CB$2:$CB$149,Table1[[#This Row],[BAĞLANTI]])</f>
        <v>0</v>
      </c>
      <c r="BP203" s="8">
        <f>+SUMIFS(BP$2:BP$149,$CB$2:$CB$149,Table1[[#This Row],[BAĞLANTI]])</f>
        <v>0</v>
      </c>
      <c r="BQ203" s="8">
        <f>+SUMIFS(BQ$2:BQ$149,$CB$2:$CB$149,Table1[[#This Row],[BAĞLANTI]])</f>
        <v>0</v>
      </c>
      <c r="BR203" s="8">
        <f>+SUMIFS(BR$2:BR$149,$CB$2:$CB$149,Table1[[#This Row],[BAĞLANTI]])</f>
        <v>0</v>
      </c>
      <c r="BS203" s="8">
        <f>+SUMIFS(BS$2:BS$149,$CB$2:$CB$149,Table1[[#This Row],[BAĞLANTI]])</f>
        <v>0</v>
      </c>
      <c r="BT203" s="8">
        <f>+SUMIFS(BT$2:BT$149,$CB$2:$CB$149,Table1[[#This Row],[BAĞLANTI]])</f>
        <v>0</v>
      </c>
      <c r="BU203" s="8">
        <f>+SUMIFS(BU$2:BU$149,$CB$2:$CB$149,Table1[[#This Row],[BAĞLANTI]])</f>
        <v>0</v>
      </c>
      <c r="BV203" s="8">
        <f>+SUMIFS(BV$2:BV$149,$CB$2:$CB$149,Table1[[#This Row],[BAĞLANTI]])</f>
        <v>0</v>
      </c>
      <c r="BW203" s="8">
        <f>+SUMIFS(BW$2:BW$149,$CB$2:$CB$149,Table1[[#This Row],[BAĞLANTI]])</f>
        <v>0</v>
      </c>
      <c r="BX203" s="8">
        <f>+SUMIFS(BX$2:BX$149,$CB$2:$CB$149,Table1[[#This Row],[BAĞLANTI]])</f>
        <v>0</v>
      </c>
      <c r="BY203" s="8">
        <f>+SUMIFS(BY$2:BY$149,$CB$2:$CB$149,Table1[[#This Row],[BAĞLANTI]])</f>
        <v>0</v>
      </c>
      <c r="BZ203" s="8">
        <f>+SUMIFS(BZ$2:BZ$149,$CB$2:$CB$149,Table1[[#This Row],[BAĞLANTI]])</f>
        <v>0</v>
      </c>
      <c r="CA203" s="8">
        <f>+SUMIFS(CA$2:CA$149,$CB$2:$CB$149,Table1[[#This Row],[BAĞLANTI]])</f>
        <v>0</v>
      </c>
      <c r="CB203" s="8" t="s">
        <v>5406</v>
      </c>
    </row>
    <row r="204" spans="1:80">
      <c r="A204" s="3" t="s">
        <v>5444</v>
      </c>
      <c r="B204" t="s">
        <v>19</v>
      </c>
      <c r="C204" t="s">
        <v>320</v>
      </c>
      <c r="D204" t="s">
        <v>5182</v>
      </c>
      <c r="E204" t="s">
        <v>5183</v>
      </c>
      <c r="F204" s="77" t="s">
        <v>4973</v>
      </c>
      <c r="G204" t="s">
        <v>4983</v>
      </c>
      <c r="H204" s="3" t="s">
        <v>4984</v>
      </c>
      <c r="I204" s="3" t="s">
        <v>5194</v>
      </c>
      <c r="J204" s="78"/>
      <c r="K204" s="78"/>
      <c r="M204" s="78"/>
      <c r="N204" s="8">
        <f>+SUMIFS(N$2:N$149,$CB$2:$CB$149,Table1[[#This Row],[BAĞLANTI]])</f>
        <v>0</v>
      </c>
      <c r="O204" s="8">
        <f>+SUMIFS(O$2:O$149,$CB$2:$CB$149,Table1[[#This Row],[BAĞLANTI]])</f>
        <v>0</v>
      </c>
      <c r="P204" s="8">
        <f>+SUMIFS(P$2:P$149,$CB$2:$CB$149,Table1[[#This Row],[BAĞLANTI]])</f>
        <v>0</v>
      </c>
      <c r="Q204" s="8">
        <f>+SUMIFS(Q$2:Q$149,$CB$2:$CB$149,Table1[[#This Row],[BAĞLANTI]])</f>
        <v>0</v>
      </c>
      <c r="R204" s="8">
        <f>+SUMIFS(R$2:R$149,$CB$2:$CB$149,Table1[[#This Row],[BAĞLANTI]])</f>
        <v>0</v>
      </c>
      <c r="S204" s="8">
        <f>+SUMIFS(S$2:S$149,$CB$2:$CB$149,Table1[[#This Row],[BAĞLANTI]])</f>
        <v>0</v>
      </c>
      <c r="T204" s="8">
        <f>+SUMIFS(T$2:T$149,$CB$2:$CB$149,Table1[[#This Row],[BAĞLANTI]])</f>
        <v>0</v>
      </c>
      <c r="U204" s="8">
        <f>+SUMIFS(U$2:U$149,$CB$2:$CB$149,Table1[[#This Row],[BAĞLANTI]])</f>
        <v>0</v>
      </c>
      <c r="V204" s="8">
        <f>+SUMIFS(V$2:V$149,$CB$2:$CB$149,Table1[[#This Row],[BAĞLANTI]])</f>
        <v>0</v>
      </c>
      <c r="W204" s="8">
        <f>+SUMIFS(W$2:W$149,$CB$2:$CB$149,Table1[[#This Row],[BAĞLANTI]])</f>
        <v>0</v>
      </c>
      <c r="X204" s="10">
        <f>+SUMIFS(X$2:X$149,$CB$2:$CB$149,Table1[[#This Row],[BAĞLANTI]])</f>
        <v>0</v>
      </c>
      <c r="Y204" s="8">
        <f>+SUMIFS(Y$2:Y$149,$CB$2:$CB$149,Table1[[#This Row],[BAĞLANTI]])</f>
        <v>1790.2607218683654</v>
      </c>
      <c r="Z204" s="8">
        <f>+SUMIFS(Z$2:Z$149,$CB$2:$CB$149,Table1[[#This Row],[BAĞLANTI]])</f>
        <v>1790.2607218683654</v>
      </c>
      <c r="AA204" s="8">
        <f>+SUMIFS(AA$2:AA$149,$CB$2:$CB$149,Table1[[#This Row],[BAĞLANTI]])</f>
        <v>1790.2607218683654</v>
      </c>
      <c r="AB204" s="8">
        <f>+SUMIFS(AB$2:AB$149,$CB$2:$CB$149,Table1[[#This Row],[BAĞLANTI]])</f>
        <v>1790.2607218683654</v>
      </c>
      <c r="AC204" s="8">
        <f>+SUMIFS(AC$2:AC$149,$CB$2:$CB$149,Table1[[#This Row],[BAĞLANTI]])</f>
        <v>3413.9855626326957</v>
      </c>
      <c r="AD204" s="8">
        <f>+SUMIFS(AD$2:AD$149,$CB$2:$CB$149,Table1[[#This Row],[BAĞLANTI]])</f>
        <v>3413.9855626326957</v>
      </c>
      <c r="AE204" s="8">
        <f>+SUMIFS(AE$2:AE$149,$CB$2:$CB$149,Table1[[#This Row],[BAĞLANTI]])</f>
        <v>4246.6649681528634</v>
      </c>
      <c r="AF204" s="8">
        <f>+SUMIFS(AF$2:AF$149,$CB$2:$CB$149,Table1[[#This Row],[BAĞLANTI]])</f>
        <v>4246.6649681528634</v>
      </c>
      <c r="AG204" s="8">
        <f>+SUMIFS(AG$2:AG$149,$CB$2:$CB$149,Table1[[#This Row],[BAĞLANTI]])</f>
        <v>2248.234394904458</v>
      </c>
      <c r="AH204" s="8">
        <f>+SUMIFS(AH$2:AH$149,$CB$2:$CB$149,Table1[[#This Row],[BAĞLANTI]])</f>
        <v>3080.9138004246297</v>
      </c>
      <c r="AI204" s="8">
        <f>+SUMIFS(AI$2:AI$149,$CB$2:$CB$149,Table1[[#This Row],[BAĞLANTI]])</f>
        <v>3080.9138004246297</v>
      </c>
      <c r="AJ204" s="8">
        <f>+SUMIFS(AJ$2:AJ$149,$CB$2:$CB$149,Table1[[#This Row],[BAĞLANTI]])</f>
        <v>2997.6458598726122</v>
      </c>
      <c r="AK204" s="8">
        <f>+SUMIFS(AK$2:AK$149,$CB$2:$CB$149,Table1[[#This Row],[BAĞLANTI]])</f>
        <v>4787.9065817409819</v>
      </c>
      <c r="AL204" s="8">
        <f>+SUMIFS(AL$2:AL$149,$CB$2:$CB$149,Table1[[#This Row],[BAĞLANTI]])</f>
        <v>541.24161358811011</v>
      </c>
      <c r="AM204" s="8">
        <f>+SUMIFS(AM$2:AM$149,$CB$2:$CB$149,Table1[[#This Row],[BAĞLANTI]])</f>
        <v>0</v>
      </c>
      <c r="AN204" s="8">
        <f>+SUMIFS(AN$2:AN$149,$CB$2:$CB$149,Table1[[#This Row],[BAĞLANTI]])</f>
        <v>0</v>
      </c>
      <c r="AO204" s="8">
        <f>+SUMIFS(AO$2:AO$149,$CB$2:$CB$149,Table1[[#This Row],[BAĞLANTI]])</f>
        <v>0</v>
      </c>
      <c r="AP204" s="8">
        <f>+SUMIFS(AP$2:AP$149,$CB$2:$CB$149,Table1[[#This Row],[BAĞLANTI]])</f>
        <v>0</v>
      </c>
      <c r="AQ204" s="8">
        <f>+SUMIFS(AQ$2:AQ$149,$CB$2:$CB$149,Table1[[#This Row],[BAĞLANTI]])</f>
        <v>0</v>
      </c>
      <c r="AR204" s="8">
        <f>+SUMIFS(AR$2:AR$149,$CB$2:$CB$149,Table1[[#This Row],[BAĞLANTI]])</f>
        <v>0</v>
      </c>
      <c r="AS204" s="8">
        <f>+SUMIFS(AS$2:AS$149,$CB$2:$CB$149,Table1[[#This Row],[BAĞLANTI]])</f>
        <v>0</v>
      </c>
      <c r="AT204" s="8">
        <f>+SUMIFS(AT$2:AT$149,$CB$2:$CB$149,Table1[[#This Row],[BAĞLANTI]])</f>
        <v>0</v>
      </c>
      <c r="AU204" s="8">
        <f>+SUMIFS(AU$2:AU$149,$CB$2:$CB$149,Table1[[#This Row],[BAĞLANTI]])</f>
        <v>0</v>
      </c>
      <c r="AV204" s="8">
        <f>+SUMIFS(AV$2:AV$149,$CB$2:$CB$149,Table1[[#This Row],[BAĞLANTI]])</f>
        <v>0</v>
      </c>
      <c r="AW204" s="8">
        <f>+SUMIFS(AW$2:AW$149,$CB$2:$CB$149,Table1[[#This Row],[BAĞLANTI]])</f>
        <v>0</v>
      </c>
      <c r="AX204" s="8">
        <f>+SUMIFS(AX$2:AX$149,$CB$2:$CB$149,Table1[[#This Row],[BAĞLANTI]])</f>
        <v>0</v>
      </c>
      <c r="AY204" s="8">
        <f>+SUMIFS(AY$2:AY$149,$CB$2:$CB$149,Table1[[#This Row],[BAĞLANTI]])</f>
        <v>0</v>
      </c>
      <c r="AZ204" s="8">
        <f>+SUMIFS(AZ$2:AZ$149,$CB$2:$CB$149,Table1[[#This Row],[BAĞLANTI]])</f>
        <v>0</v>
      </c>
      <c r="BA204" s="8">
        <f>+SUMIFS(BA$2:BA$149,$CB$2:$CB$149,Table1[[#This Row],[BAĞLANTI]])</f>
        <v>0</v>
      </c>
      <c r="BB204" s="8">
        <f>+SUMIFS(BB$2:BB$149,$CB$2:$CB$149,Table1[[#This Row],[BAĞLANTI]])</f>
        <v>0</v>
      </c>
      <c r="BC204" s="8">
        <f>+SUMIFS(BC$2:BC$149,$CB$2:$CB$149,Table1[[#This Row],[BAĞLANTI]])</f>
        <v>0</v>
      </c>
      <c r="BD204" s="8">
        <f>+SUMIFS(BD$2:BD$149,$CB$2:$CB$149,Table1[[#This Row],[BAĞLANTI]])</f>
        <v>0</v>
      </c>
      <c r="BE204" s="8">
        <f>+SUMIFS(BE$2:BE$149,$CB$2:$CB$149,Table1[[#This Row],[BAĞLANTI]])</f>
        <v>0</v>
      </c>
      <c r="BF204" s="8">
        <f>+SUMIFS(BF$2:BF$149,$CB$2:$CB$149,Table1[[#This Row],[BAĞLANTI]])</f>
        <v>0</v>
      </c>
      <c r="BG204" s="8">
        <f>+SUMIFS(BG$2:BG$149,$CB$2:$CB$149,Table1[[#This Row],[BAĞLANTI]])</f>
        <v>0</v>
      </c>
      <c r="BH204" s="8">
        <f>+SUMIFS(BH$2:BH$149,$CB$2:$CB$149,Table1[[#This Row],[BAĞLANTI]])</f>
        <v>0</v>
      </c>
      <c r="BI204" s="8">
        <f>+SUMIFS(BI$2:BI$149,$CB$2:$CB$149,Table1[[#This Row],[BAĞLANTI]])</f>
        <v>0</v>
      </c>
      <c r="BJ204" s="8">
        <f>+SUMIFS(BJ$2:BJ$149,$CB$2:$CB$149,Table1[[#This Row],[BAĞLANTI]])</f>
        <v>0</v>
      </c>
      <c r="BK204" s="8">
        <f>+SUMIFS(BK$2:BK$149,$CB$2:$CB$149,Table1[[#This Row],[BAĞLANTI]])</f>
        <v>0</v>
      </c>
      <c r="BL204" s="8">
        <f>+SUMIFS(BL$2:BL$149,$CB$2:$CB$149,Table1[[#This Row],[BAĞLANTI]])</f>
        <v>0</v>
      </c>
      <c r="BM204" s="8">
        <f>+SUMIFS(BM$2:BM$149,$CB$2:$CB$149,Table1[[#This Row],[BAĞLANTI]])</f>
        <v>0</v>
      </c>
      <c r="BN204" s="8">
        <f>+SUMIFS(BN$2:BN$149,$CB$2:$CB$149,Table1[[#This Row],[BAĞLANTI]])</f>
        <v>0</v>
      </c>
      <c r="BO204" s="8">
        <f>+SUMIFS(BO$2:BO$149,$CB$2:$CB$149,Table1[[#This Row],[BAĞLANTI]])</f>
        <v>0</v>
      </c>
      <c r="BP204" s="8">
        <f>+SUMIFS(BP$2:BP$149,$CB$2:$CB$149,Table1[[#This Row],[BAĞLANTI]])</f>
        <v>0</v>
      </c>
      <c r="BQ204" s="8">
        <f>+SUMIFS(BQ$2:BQ$149,$CB$2:$CB$149,Table1[[#This Row],[BAĞLANTI]])</f>
        <v>0</v>
      </c>
      <c r="BR204" s="8">
        <f>+SUMIFS(BR$2:BR$149,$CB$2:$CB$149,Table1[[#This Row],[BAĞLANTI]])</f>
        <v>0</v>
      </c>
      <c r="BS204" s="8">
        <f>+SUMIFS(BS$2:BS$149,$CB$2:$CB$149,Table1[[#This Row],[BAĞLANTI]])</f>
        <v>0</v>
      </c>
      <c r="BT204" s="8">
        <f>+SUMIFS(BT$2:BT$149,$CB$2:$CB$149,Table1[[#This Row],[BAĞLANTI]])</f>
        <v>0</v>
      </c>
      <c r="BU204" s="8">
        <f>+SUMIFS(BU$2:BU$149,$CB$2:$CB$149,Table1[[#This Row],[BAĞLANTI]])</f>
        <v>0</v>
      </c>
      <c r="BV204" s="8">
        <f>+SUMIFS(BV$2:BV$149,$CB$2:$CB$149,Table1[[#This Row],[BAĞLANTI]])</f>
        <v>0</v>
      </c>
      <c r="BW204" s="8">
        <f>+SUMIFS(BW$2:BW$149,$CB$2:$CB$149,Table1[[#This Row],[BAĞLANTI]])</f>
        <v>0</v>
      </c>
      <c r="BX204" s="8">
        <f>+SUMIFS(BX$2:BX$149,$CB$2:$CB$149,Table1[[#This Row],[BAĞLANTI]])</f>
        <v>0</v>
      </c>
      <c r="BY204" s="8">
        <f>+SUMIFS(BY$2:BY$149,$CB$2:$CB$149,Table1[[#This Row],[BAĞLANTI]])</f>
        <v>0</v>
      </c>
      <c r="BZ204" s="8">
        <f>+SUMIFS(BZ$2:BZ$149,$CB$2:$CB$149,Table1[[#This Row],[BAĞLANTI]])</f>
        <v>0</v>
      </c>
      <c r="CA204" s="8">
        <f>+SUMIFS(CA$2:CA$149,$CB$2:$CB$149,Table1[[#This Row],[BAĞLANTI]])</f>
        <v>0</v>
      </c>
      <c r="CB204" s="8" t="s">
        <v>5407</v>
      </c>
    </row>
    <row r="205" spans="1:80">
      <c r="A205" s="3" t="s">
        <v>5444</v>
      </c>
      <c r="B205" t="s">
        <v>20</v>
      </c>
      <c r="C205" t="s">
        <v>324</v>
      </c>
      <c r="D205" t="s">
        <v>72</v>
      </c>
      <c r="E205" t="s">
        <v>4974</v>
      </c>
      <c r="F205" s="77" t="s">
        <v>4973</v>
      </c>
      <c r="G205" t="s">
        <v>4983</v>
      </c>
      <c r="H205" s="3" t="s">
        <v>4984</v>
      </c>
      <c r="I205" s="3" t="s">
        <v>5194</v>
      </c>
      <c r="J205" s="78"/>
      <c r="K205" s="78"/>
      <c r="M205" s="78"/>
      <c r="N205" s="8">
        <f>+SUMIFS(N$2:N$149,$CB$2:$CB$149,Table1[[#This Row],[BAĞLANTI]])</f>
        <v>0</v>
      </c>
      <c r="O205" s="8">
        <f>+SUMIFS(O$2:O$149,$CB$2:$CB$149,Table1[[#This Row],[BAĞLANTI]])</f>
        <v>0</v>
      </c>
      <c r="P205" s="8">
        <f>+SUMIFS(P$2:P$149,$CB$2:$CB$149,Table1[[#This Row],[BAĞLANTI]])</f>
        <v>0</v>
      </c>
      <c r="Q205" s="8">
        <f>+SUMIFS(Q$2:Q$149,$CB$2:$CB$149,Table1[[#This Row],[BAĞLANTI]])</f>
        <v>0</v>
      </c>
      <c r="R205" s="8">
        <f>+SUMIFS(R$2:R$149,$CB$2:$CB$149,Table1[[#This Row],[BAĞLANTI]])</f>
        <v>0</v>
      </c>
      <c r="S205" s="8">
        <f>+SUMIFS(S$2:S$149,$CB$2:$CB$149,Table1[[#This Row],[BAĞLANTI]])</f>
        <v>0</v>
      </c>
      <c r="T205" s="8">
        <f>+SUMIFS(T$2:T$149,$CB$2:$CB$149,Table1[[#This Row],[BAĞLANTI]])</f>
        <v>8.7449999999999992</v>
      </c>
      <c r="U205" s="8">
        <f>+SUMIFS(U$2:U$149,$CB$2:$CB$149,Table1[[#This Row],[BAĞLANTI]])</f>
        <v>51.804544899999982</v>
      </c>
      <c r="V205" s="8">
        <f>+SUMIFS(V$2:V$149,$CB$2:$CB$149,Table1[[#This Row],[BAĞLANTI]])</f>
        <v>166.05698710000007</v>
      </c>
      <c r="W205" s="8">
        <f>+SUMIFS(W$2:W$149,$CB$2:$CB$149,Table1[[#This Row],[BAĞLANTI]])</f>
        <v>-59.632317</v>
      </c>
      <c r="X205" s="10">
        <f>+SUMIFS(X$2:X$149,$CB$2:$CB$149,Table1[[#This Row],[BAĞLANTI]])</f>
        <v>73.881328999999937</v>
      </c>
      <c r="Y205" s="8">
        <f>+SUMIFS(Y$2:Y$149,$CB$2:$CB$149,Table1[[#This Row],[BAĞLANTI]])</f>
        <v>136.02153830286986</v>
      </c>
      <c r="Z205" s="8">
        <f>+SUMIFS(Z$2:Z$149,$CB$2:$CB$149,Table1[[#This Row],[BAĞLANTI]])</f>
        <v>125.20164321059598</v>
      </c>
      <c r="AA205" s="8">
        <f>+SUMIFS(AA$2:AA$149,$CB$2:$CB$149,Table1[[#This Row],[BAĞLANTI]])</f>
        <v>68.010769151434829</v>
      </c>
      <c r="AB205" s="8">
        <f>+SUMIFS(AB$2:AB$149,$CB$2:$CB$149,Table1[[#This Row],[BAĞLANTI]])</f>
        <v>68.010769151434829</v>
      </c>
      <c r="AC205" s="8">
        <f>+SUMIFS(AC$2:AC$149,$CB$2:$CB$149,Table1[[#This Row],[BAĞLANTI]])</f>
        <v>68.010769151434829</v>
      </c>
      <c r="AD205" s="8">
        <f>+SUMIFS(AD$2:AD$149,$CB$2:$CB$149,Table1[[#This Row],[BAĞLANTI]])</f>
        <v>68.010769151434829</v>
      </c>
      <c r="AE205" s="8">
        <f>+SUMIFS(AE$2:AE$149,$CB$2:$CB$149,Table1[[#This Row],[BAĞLANTI]])</f>
        <v>68.010769151434829</v>
      </c>
      <c r="AF205" s="8">
        <f>+SUMIFS(AF$2:AF$149,$CB$2:$CB$149,Table1[[#This Row],[BAĞLANTI]])</f>
        <v>51.008076863576122</v>
      </c>
      <c r="AG205" s="8">
        <f>+SUMIFS(AG$2:AG$149,$CB$2:$CB$149,Table1[[#This Row],[BAĞLANTI]])</f>
        <v>68.010769151434829</v>
      </c>
      <c r="AH205" s="8">
        <f>+SUMIFS(AH$2:AH$149,$CB$2:$CB$149,Table1[[#This Row],[BAĞLANTI]])</f>
        <v>51.008076863576122</v>
      </c>
      <c r="AI205" s="8">
        <f>+SUMIFS(AI$2:AI$149,$CB$2:$CB$149,Table1[[#This Row],[BAĞLANTI]])</f>
        <v>68.010769151434829</v>
      </c>
      <c r="AJ205" s="8">
        <f>+SUMIFS(AJ$2:AJ$149,$CB$2:$CB$149,Table1[[#This Row],[BAĞLANTI]])</f>
        <v>68.010769151434829</v>
      </c>
      <c r="AK205" s="8">
        <f>+SUMIFS(AK$2:AK$149,$CB$2:$CB$149,Table1[[#This Row],[BAĞLANTI]])</f>
        <v>68.010769151434829</v>
      </c>
      <c r="AL205" s="8">
        <f>+SUMIFS(AL$2:AL$149,$CB$2:$CB$149,Table1[[#This Row],[BAĞLANTI]])</f>
        <v>68.010769151434829</v>
      </c>
      <c r="AM205" s="8">
        <f>+SUMIFS(AM$2:AM$149,$CB$2:$CB$149,Table1[[#This Row],[BAĞLANTI]])</f>
        <v>68.010769151434829</v>
      </c>
      <c r="AN205" s="8">
        <f>+SUMIFS(AN$2:AN$149,$CB$2:$CB$149,Table1[[#This Row],[BAĞLANTI]])</f>
        <v>68.010769151434829</v>
      </c>
      <c r="AO205" s="8">
        <f>+SUMIFS(AO$2:AO$149,$CB$2:$CB$149,Table1[[#This Row],[BAĞLANTI]])</f>
        <v>68.010769151434829</v>
      </c>
      <c r="AP205" s="8">
        <f>+SUMIFS(AP$2:AP$149,$CB$2:$CB$149,Table1[[#This Row],[BAĞLANTI]])</f>
        <v>68.010769151434829</v>
      </c>
      <c r="AQ205" s="8">
        <f>+SUMIFS(AQ$2:AQ$149,$CB$2:$CB$149,Table1[[#This Row],[BAĞLANTI]])</f>
        <v>51.008076863576122</v>
      </c>
      <c r="AR205" s="8">
        <f>+SUMIFS(AR$2:AR$149,$CB$2:$CB$149,Table1[[#This Row],[BAĞLANTI]])</f>
        <v>60.282272656953587</v>
      </c>
      <c r="AS205" s="8">
        <f>+SUMIFS(AS$2:AS$149,$CB$2:$CB$149,Table1[[#This Row],[BAĞLANTI]])</f>
        <v>37.096783173510019</v>
      </c>
      <c r="AT205" s="8">
        <f>+SUMIFS(AT$2:AT$149,$CB$2:$CB$149,Table1[[#This Row],[BAĞLANTI]])</f>
        <v>114.38174811832289</v>
      </c>
      <c r="AU205" s="8">
        <f>+SUMIFS(AU$2:AU$149,$CB$2:$CB$149,Table1[[#This Row],[BAĞLANTI]])</f>
        <v>37.096783173510019</v>
      </c>
      <c r="AV205" s="8">
        <f>+SUMIFS(AV$2:AV$149,$CB$2:$CB$149,Table1[[#This Row],[BAĞLANTI]])</f>
        <v>37.096783173510019</v>
      </c>
      <c r="AW205" s="8">
        <f>+SUMIFS(AW$2:AW$149,$CB$2:$CB$149,Table1[[#This Row],[BAĞLANTI]])</f>
        <v>37.096783173510019</v>
      </c>
      <c r="AX205" s="8">
        <f>+SUMIFS(AX$2:AX$149,$CB$2:$CB$149,Table1[[#This Row],[BAĞLANTI]])</f>
        <v>37.096783173510019</v>
      </c>
      <c r="AY205" s="8">
        <f>+SUMIFS(AY$2:AY$149,$CB$2:$CB$149,Table1[[#This Row],[BAĞLANTI]])</f>
        <v>23.958339132891759</v>
      </c>
      <c r="AZ205" s="8">
        <f>+SUMIFS(AZ$2:AZ$149,$CB$2:$CB$149,Table1[[#This Row],[BAĞLANTI]])</f>
        <v>0</v>
      </c>
      <c r="BA205" s="8">
        <f>+SUMIFS(BA$2:BA$149,$CB$2:$CB$149,Table1[[#This Row],[BAĞLANTI]])</f>
        <v>0</v>
      </c>
      <c r="BB205" s="8">
        <f>+SUMIFS(BB$2:BB$149,$CB$2:$CB$149,Table1[[#This Row],[BAĞLANTI]])</f>
        <v>0</v>
      </c>
      <c r="BC205" s="8">
        <f>+SUMIFS(BC$2:BC$149,$CB$2:$CB$149,Table1[[#This Row],[BAĞLANTI]])</f>
        <v>0</v>
      </c>
      <c r="BD205" s="8">
        <f>+SUMIFS(BD$2:BD$149,$CB$2:$CB$149,Table1[[#This Row],[BAĞLANTI]])</f>
        <v>0</v>
      </c>
      <c r="BE205" s="8">
        <f>+SUMIFS(BE$2:BE$149,$CB$2:$CB$149,Table1[[#This Row],[BAĞLANTI]])</f>
        <v>0</v>
      </c>
      <c r="BF205" s="8">
        <f>+SUMIFS(BF$2:BF$149,$CB$2:$CB$149,Table1[[#This Row],[BAĞLANTI]])</f>
        <v>0</v>
      </c>
      <c r="BG205" s="8">
        <f>+SUMIFS(BG$2:BG$149,$CB$2:$CB$149,Table1[[#This Row],[BAĞLANTI]])</f>
        <v>0</v>
      </c>
      <c r="BH205" s="8">
        <f>+SUMIFS(BH$2:BH$149,$CB$2:$CB$149,Table1[[#This Row],[BAĞLANTI]])</f>
        <v>0</v>
      </c>
      <c r="BI205" s="8">
        <f>+SUMIFS(BI$2:BI$149,$CB$2:$CB$149,Table1[[#This Row],[BAĞLANTI]])</f>
        <v>0</v>
      </c>
      <c r="BJ205" s="8">
        <f>+SUMIFS(BJ$2:BJ$149,$CB$2:$CB$149,Table1[[#This Row],[BAĞLANTI]])</f>
        <v>0</v>
      </c>
      <c r="BK205" s="8">
        <f>+SUMIFS(BK$2:BK$149,$CB$2:$CB$149,Table1[[#This Row],[BAĞLANTI]])</f>
        <v>0</v>
      </c>
      <c r="BL205" s="8">
        <f>+SUMIFS(BL$2:BL$149,$CB$2:$CB$149,Table1[[#This Row],[BAĞLANTI]])</f>
        <v>0</v>
      </c>
      <c r="BM205" s="8">
        <f>+SUMIFS(BM$2:BM$149,$CB$2:$CB$149,Table1[[#This Row],[BAĞLANTI]])</f>
        <v>0</v>
      </c>
      <c r="BN205" s="8">
        <f>+SUMIFS(BN$2:BN$149,$CB$2:$CB$149,Table1[[#This Row],[BAĞLANTI]])</f>
        <v>0</v>
      </c>
      <c r="BO205" s="8">
        <f>+SUMIFS(BO$2:BO$149,$CB$2:$CB$149,Table1[[#This Row],[BAĞLANTI]])</f>
        <v>0</v>
      </c>
      <c r="BP205" s="8">
        <f>+SUMIFS(BP$2:BP$149,$CB$2:$CB$149,Table1[[#This Row],[BAĞLANTI]])</f>
        <v>0</v>
      </c>
      <c r="BQ205" s="8">
        <f>+SUMIFS(BQ$2:BQ$149,$CB$2:$CB$149,Table1[[#This Row],[BAĞLANTI]])</f>
        <v>0</v>
      </c>
      <c r="BR205" s="8">
        <f>+SUMIFS(BR$2:BR$149,$CB$2:$CB$149,Table1[[#This Row],[BAĞLANTI]])</f>
        <v>0</v>
      </c>
      <c r="BS205" s="8">
        <f>+SUMIFS(BS$2:BS$149,$CB$2:$CB$149,Table1[[#This Row],[BAĞLANTI]])</f>
        <v>0</v>
      </c>
      <c r="BT205" s="8">
        <f>+SUMIFS(BT$2:BT$149,$CB$2:$CB$149,Table1[[#This Row],[BAĞLANTI]])</f>
        <v>0</v>
      </c>
      <c r="BU205" s="8">
        <f>+SUMIFS(BU$2:BU$149,$CB$2:$CB$149,Table1[[#This Row],[BAĞLANTI]])</f>
        <v>0</v>
      </c>
      <c r="BV205" s="8">
        <f>+SUMIFS(BV$2:BV$149,$CB$2:$CB$149,Table1[[#This Row],[BAĞLANTI]])</f>
        <v>0</v>
      </c>
      <c r="BW205" s="8">
        <f>+SUMIFS(BW$2:BW$149,$CB$2:$CB$149,Table1[[#This Row],[BAĞLANTI]])</f>
        <v>0</v>
      </c>
      <c r="BX205" s="8">
        <f>+SUMIFS(BX$2:BX$149,$CB$2:$CB$149,Table1[[#This Row],[BAĞLANTI]])</f>
        <v>0</v>
      </c>
      <c r="BY205" s="8">
        <f>+SUMIFS(BY$2:BY$149,$CB$2:$CB$149,Table1[[#This Row],[BAĞLANTI]])</f>
        <v>0</v>
      </c>
      <c r="BZ205" s="8">
        <f>+SUMIFS(BZ$2:BZ$149,$CB$2:$CB$149,Table1[[#This Row],[BAĞLANTI]])</f>
        <v>0</v>
      </c>
      <c r="CA205" s="8">
        <f>+SUMIFS(CA$2:CA$149,$CB$2:$CB$149,Table1[[#This Row],[BAĞLANTI]])</f>
        <v>0</v>
      </c>
      <c r="CB205" s="8" t="s">
        <v>5408</v>
      </c>
    </row>
    <row r="206" spans="1:80">
      <c r="A206" s="3" t="s">
        <v>5444</v>
      </c>
      <c r="B206" t="s">
        <v>20</v>
      </c>
      <c r="C206" t="s">
        <v>324</v>
      </c>
      <c r="D206" t="s">
        <v>74</v>
      </c>
      <c r="E206" t="s">
        <v>4975</v>
      </c>
      <c r="F206" s="77" t="s">
        <v>4973</v>
      </c>
      <c r="G206" t="s">
        <v>4983</v>
      </c>
      <c r="H206" s="3" t="s">
        <v>4984</v>
      </c>
      <c r="I206" s="3" t="s">
        <v>5194</v>
      </c>
      <c r="J206" s="78"/>
      <c r="K206" s="78"/>
      <c r="M206" s="78"/>
      <c r="N206" s="8">
        <f>+SUMIFS(N$2:N$149,$CB$2:$CB$149,Table1[[#This Row],[BAĞLANTI]])</f>
        <v>0</v>
      </c>
      <c r="O206" s="8">
        <f>+SUMIFS(O$2:O$149,$CB$2:$CB$149,Table1[[#This Row],[BAĞLANTI]])</f>
        <v>0</v>
      </c>
      <c r="P206" s="8">
        <f>+SUMIFS(P$2:P$149,$CB$2:$CB$149,Table1[[#This Row],[BAĞLANTI]])</f>
        <v>0</v>
      </c>
      <c r="Q206" s="8">
        <f>+SUMIFS(Q$2:Q$149,$CB$2:$CB$149,Table1[[#This Row],[BAĞLANTI]])</f>
        <v>0</v>
      </c>
      <c r="R206" s="8">
        <f>+SUMIFS(R$2:R$149,$CB$2:$CB$149,Table1[[#This Row],[BAĞLANTI]])</f>
        <v>0</v>
      </c>
      <c r="S206" s="8">
        <f>+SUMIFS(S$2:S$149,$CB$2:$CB$149,Table1[[#This Row],[BAĞLANTI]])</f>
        <v>41.09</v>
      </c>
      <c r="T206" s="8">
        <f>+SUMIFS(T$2:T$149,$CB$2:$CB$149,Table1[[#This Row],[BAĞLANTI]])</f>
        <v>19.128</v>
      </c>
      <c r="U206" s="8">
        <f>+SUMIFS(U$2:U$149,$CB$2:$CB$149,Table1[[#This Row],[BAĞLANTI]])</f>
        <v>64.319999999999993</v>
      </c>
      <c r="V206" s="8">
        <f>+SUMIFS(V$2:V$149,$CB$2:$CB$149,Table1[[#This Row],[BAĞLANTI]])</f>
        <v>71.31</v>
      </c>
      <c r="W206" s="8">
        <f>+SUMIFS(W$2:W$149,$CB$2:$CB$149,Table1[[#This Row],[BAĞLANTI]])</f>
        <v>45.31</v>
      </c>
      <c r="X206" s="10">
        <f>+SUMIFS(X$2:X$149,$CB$2:$CB$149,Table1[[#This Row],[BAĞLANTI]])</f>
        <v>18.66</v>
      </c>
      <c r="Y206" s="8">
        <f>+SUMIFS(Y$2:Y$149,$CB$2:$CB$149,Table1[[#This Row],[BAĞLANTI]])</f>
        <v>230.1437761569421</v>
      </c>
      <c r="Z206" s="8">
        <f>+SUMIFS(Z$2:Z$149,$CB$2:$CB$149,Table1[[#This Row],[BAĞLANTI]])</f>
        <v>154.41813832997937</v>
      </c>
      <c r="AA206" s="8">
        <f>+SUMIFS(AA$2:AA$149,$CB$2:$CB$149,Table1[[#This Row],[BAĞLANTI]])</f>
        <v>154.41813832997937</v>
      </c>
      <c r="AB206" s="8">
        <f>+SUMIFS(AB$2:AB$149,$CB$2:$CB$149,Table1[[#This Row],[BAĞLANTI]])</f>
        <v>166.85070573440697</v>
      </c>
      <c r="AC206" s="8">
        <f>+SUMIFS(AC$2:AC$149,$CB$2:$CB$149,Table1[[#This Row],[BAĞLANTI]])</f>
        <v>134.07393712273637</v>
      </c>
      <c r="AD206" s="8">
        <f>+SUMIFS(AD$2:AD$149,$CB$2:$CB$149,Table1[[#This Row],[BAĞLANTI]])</f>
        <v>114.85996931589543</v>
      </c>
      <c r="AE206" s="8">
        <f>+SUMIFS(AE$2:AE$149,$CB$2:$CB$149,Table1[[#This Row],[BAĞLANTI]])</f>
        <v>114.85996931589543</v>
      </c>
      <c r="AF206" s="8">
        <f>+SUMIFS(AF$2:AF$149,$CB$2:$CB$149,Table1[[#This Row],[BAĞLANTI]])</f>
        <v>53.827365694164968</v>
      </c>
      <c r="AG206" s="8">
        <f>+SUMIFS(AG$2:AG$149,$CB$2:$CB$149,Table1[[#This Row],[BAĞLANTI]])</f>
        <v>0</v>
      </c>
      <c r="AH206" s="8">
        <f>+SUMIFS(AH$2:AH$149,$CB$2:$CB$149,Table1[[#This Row],[BAĞLANTI]])</f>
        <v>0</v>
      </c>
      <c r="AI206" s="8">
        <f>+SUMIFS(AI$2:AI$149,$CB$2:$CB$149,Table1[[#This Row],[BAĞLANTI]])</f>
        <v>0</v>
      </c>
      <c r="AJ206" s="8">
        <f>+SUMIFS(AJ$2:AJ$149,$CB$2:$CB$149,Table1[[#This Row],[BAĞLANTI]])</f>
        <v>0</v>
      </c>
      <c r="AK206" s="8">
        <f>+SUMIFS(AK$2:AK$149,$CB$2:$CB$149,Table1[[#This Row],[BAĞLANTI]])</f>
        <v>0</v>
      </c>
      <c r="AL206" s="8">
        <f>+SUMIFS(AL$2:AL$149,$CB$2:$CB$149,Table1[[#This Row],[BAĞLANTI]])</f>
        <v>0</v>
      </c>
      <c r="AM206" s="8">
        <f>+SUMIFS(AM$2:AM$149,$CB$2:$CB$149,Table1[[#This Row],[BAĞLANTI]])</f>
        <v>0</v>
      </c>
      <c r="AN206" s="8">
        <f>+SUMIFS(AN$2:AN$149,$CB$2:$CB$149,Table1[[#This Row],[BAĞLANTI]])</f>
        <v>0</v>
      </c>
      <c r="AO206" s="8">
        <f>+SUMIFS(AO$2:AO$149,$CB$2:$CB$149,Table1[[#This Row],[BAĞLANTI]])</f>
        <v>0</v>
      </c>
      <c r="AP206" s="8">
        <f>+SUMIFS(AP$2:AP$149,$CB$2:$CB$149,Table1[[#This Row],[BAĞLANTI]])</f>
        <v>0</v>
      </c>
      <c r="AQ206" s="8">
        <f>+SUMIFS(AQ$2:AQ$149,$CB$2:$CB$149,Table1[[#This Row],[BAĞLANTI]])</f>
        <v>0</v>
      </c>
      <c r="AR206" s="8">
        <f>+SUMIFS(AR$2:AR$149,$CB$2:$CB$149,Table1[[#This Row],[BAĞLANTI]])</f>
        <v>0</v>
      </c>
      <c r="AS206" s="8">
        <f>+SUMIFS(AS$2:AS$149,$CB$2:$CB$149,Table1[[#This Row],[BAĞLANTI]])</f>
        <v>0</v>
      </c>
      <c r="AT206" s="8">
        <f>+SUMIFS(AT$2:AT$149,$CB$2:$CB$149,Table1[[#This Row],[BAĞLANTI]])</f>
        <v>0</v>
      </c>
      <c r="AU206" s="8">
        <f>+SUMIFS(AU$2:AU$149,$CB$2:$CB$149,Table1[[#This Row],[BAĞLANTI]])</f>
        <v>0</v>
      </c>
      <c r="AV206" s="8">
        <f>+SUMIFS(AV$2:AV$149,$CB$2:$CB$149,Table1[[#This Row],[BAĞLANTI]])</f>
        <v>0</v>
      </c>
      <c r="AW206" s="8">
        <f>+SUMIFS(AW$2:AW$149,$CB$2:$CB$149,Table1[[#This Row],[BAĞLANTI]])</f>
        <v>0</v>
      </c>
      <c r="AX206" s="8">
        <f>+SUMIFS(AX$2:AX$149,$CB$2:$CB$149,Table1[[#This Row],[BAĞLANTI]])</f>
        <v>0</v>
      </c>
      <c r="AY206" s="8">
        <f>+SUMIFS(AY$2:AY$149,$CB$2:$CB$149,Table1[[#This Row],[BAĞLANTI]])</f>
        <v>0</v>
      </c>
      <c r="AZ206" s="8">
        <f>+SUMIFS(AZ$2:AZ$149,$CB$2:$CB$149,Table1[[#This Row],[BAĞLANTI]])</f>
        <v>0</v>
      </c>
      <c r="BA206" s="8">
        <f>+SUMIFS(BA$2:BA$149,$CB$2:$CB$149,Table1[[#This Row],[BAĞLANTI]])</f>
        <v>0</v>
      </c>
      <c r="BB206" s="8">
        <f>+SUMIFS(BB$2:BB$149,$CB$2:$CB$149,Table1[[#This Row],[BAĞLANTI]])</f>
        <v>0</v>
      </c>
      <c r="BC206" s="8">
        <f>+SUMIFS(BC$2:BC$149,$CB$2:$CB$149,Table1[[#This Row],[BAĞLANTI]])</f>
        <v>0</v>
      </c>
      <c r="BD206" s="8">
        <f>+SUMIFS(BD$2:BD$149,$CB$2:$CB$149,Table1[[#This Row],[BAĞLANTI]])</f>
        <v>0</v>
      </c>
      <c r="BE206" s="8">
        <f>+SUMIFS(BE$2:BE$149,$CB$2:$CB$149,Table1[[#This Row],[BAĞLANTI]])</f>
        <v>0</v>
      </c>
      <c r="BF206" s="8">
        <f>+SUMIFS(BF$2:BF$149,$CB$2:$CB$149,Table1[[#This Row],[BAĞLANTI]])</f>
        <v>0</v>
      </c>
      <c r="BG206" s="8">
        <f>+SUMIFS(BG$2:BG$149,$CB$2:$CB$149,Table1[[#This Row],[BAĞLANTI]])</f>
        <v>0</v>
      </c>
      <c r="BH206" s="8">
        <f>+SUMIFS(BH$2:BH$149,$CB$2:$CB$149,Table1[[#This Row],[BAĞLANTI]])</f>
        <v>0</v>
      </c>
      <c r="BI206" s="8">
        <f>+SUMIFS(BI$2:BI$149,$CB$2:$CB$149,Table1[[#This Row],[BAĞLANTI]])</f>
        <v>0</v>
      </c>
      <c r="BJ206" s="8">
        <f>+SUMIFS(BJ$2:BJ$149,$CB$2:$CB$149,Table1[[#This Row],[BAĞLANTI]])</f>
        <v>0</v>
      </c>
      <c r="BK206" s="8">
        <f>+SUMIFS(BK$2:BK$149,$CB$2:$CB$149,Table1[[#This Row],[BAĞLANTI]])</f>
        <v>0</v>
      </c>
      <c r="BL206" s="8">
        <f>+SUMIFS(BL$2:BL$149,$CB$2:$CB$149,Table1[[#This Row],[BAĞLANTI]])</f>
        <v>0</v>
      </c>
      <c r="BM206" s="8">
        <f>+SUMIFS(BM$2:BM$149,$CB$2:$CB$149,Table1[[#This Row],[BAĞLANTI]])</f>
        <v>0</v>
      </c>
      <c r="BN206" s="8">
        <f>+SUMIFS(BN$2:BN$149,$CB$2:$CB$149,Table1[[#This Row],[BAĞLANTI]])</f>
        <v>0</v>
      </c>
      <c r="BO206" s="8">
        <f>+SUMIFS(BO$2:BO$149,$CB$2:$CB$149,Table1[[#This Row],[BAĞLANTI]])</f>
        <v>0</v>
      </c>
      <c r="BP206" s="8">
        <f>+SUMIFS(BP$2:BP$149,$CB$2:$CB$149,Table1[[#This Row],[BAĞLANTI]])</f>
        <v>0</v>
      </c>
      <c r="BQ206" s="8">
        <f>+SUMIFS(BQ$2:BQ$149,$CB$2:$CB$149,Table1[[#This Row],[BAĞLANTI]])</f>
        <v>0</v>
      </c>
      <c r="BR206" s="8">
        <f>+SUMIFS(BR$2:BR$149,$CB$2:$CB$149,Table1[[#This Row],[BAĞLANTI]])</f>
        <v>0</v>
      </c>
      <c r="BS206" s="8">
        <f>+SUMIFS(BS$2:BS$149,$CB$2:$CB$149,Table1[[#This Row],[BAĞLANTI]])</f>
        <v>0</v>
      </c>
      <c r="BT206" s="8">
        <f>+SUMIFS(BT$2:BT$149,$CB$2:$CB$149,Table1[[#This Row],[BAĞLANTI]])</f>
        <v>0</v>
      </c>
      <c r="BU206" s="8">
        <f>+SUMIFS(BU$2:BU$149,$CB$2:$CB$149,Table1[[#This Row],[BAĞLANTI]])</f>
        <v>0</v>
      </c>
      <c r="BV206" s="8">
        <f>+SUMIFS(BV$2:BV$149,$CB$2:$CB$149,Table1[[#This Row],[BAĞLANTI]])</f>
        <v>0</v>
      </c>
      <c r="BW206" s="8">
        <f>+SUMIFS(BW$2:BW$149,$CB$2:$CB$149,Table1[[#This Row],[BAĞLANTI]])</f>
        <v>0</v>
      </c>
      <c r="BX206" s="8">
        <f>+SUMIFS(BX$2:BX$149,$CB$2:$CB$149,Table1[[#This Row],[BAĞLANTI]])</f>
        <v>0</v>
      </c>
      <c r="BY206" s="8">
        <f>+SUMIFS(BY$2:BY$149,$CB$2:$CB$149,Table1[[#This Row],[BAĞLANTI]])</f>
        <v>0</v>
      </c>
      <c r="BZ206" s="8">
        <f>+SUMIFS(BZ$2:BZ$149,$CB$2:$CB$149,Table1[[#This Row],[BAĞLANTI]])</f>
        <v>0</v>
      </c>
      <c r="CA206" s="8">
        <f>+SUMIFS(CA$2:CA$149,$CB$2:$CB$149,Table1[[#This Row],[BAĞLANTI]])</f>
        <v>0</v>
      </c>
      <c r="CB206" s="8" t="s">
        <v>5409</v>
      </c>
    </row>
    <row r="207" spans="1:80">
      <c r="A207" s="3" t="s">
        <v>5444</v>
      </c>
      <c r="B207" t="s">
        <v>20</v>
      </c>
      <c r="C207" t="s">
        <v>324</v>
      </c>
      <c r="D207" t="s">
        <v>5182</v>
      </c>
      <c r="E207" t="s">
        <v>5183</v>
      </c>
      <c r="F207" s="77" t="s">
        <v>4973</v>
      </c>
      <c r="G207" t="s">
        <v>4983</v>
      </c>
      <c r="H207" s="3" t="s">
        <v>4984</v>
      </c>
      <c r="I207" s="3" t="s">
        <v>5194</v>
      </c>
      <c r="J207" s="78"/>
      <c r="K207" s="78"/>
      <c r="M207" s="78"/>
      <c r="N207" s="8">
        <f>+SUMIFS(N$2:N$149,$CB$2:$CB$149,Table1[[#This Row],[BAĞLANTI]])</f>
        <v>0</v>
      </c>
      <c r="O207" s="8">
        <f>+SUMIFS(O$2:O$149,$CB$2:$CB$149,Table1[[#This Row],[BAĞLANTI]])</f>
        <v>0</v>
      </c>
      <c r="P207" s="8">
        <f>+SUMIFS(P$2:P$149,$CB$2:$CB$149,Table1[[#This Row],[BAĞLANTI]])</f>
        <v>0</v>
      </c>
      <c r="Q207" s="8">
        <f>+SUMIFS(Q$2:Q$149,$CB$2:$CB$149,Table1[[#This Row],[BAĞLANTI]])</f>
        <v>0</v>
      </c>
      <c r="R207" s="8">
        <f>+SUMIFS(R$2:R$149,$CB$2:$CB$149,Table1[[#This Row],[BAĞLANTI]])</f>
        <v>0</v>
      </c>
      <c r="S207" s="8">
        <f>+SUMIFS(S$2:S$149,$CB$2:$CB$149,Table1[[#This Row],[BAĞLANTI]])</f>
        <v>0</v>
      </c>
      <c r="T207" s="8">
        <f>+SUMIFS(T$2:T$149,$CB$2:$CB$149,Table1[[#This Row],[BAĞLANTI]])</f>
        <v>0</v>
      </c>
      <c r="U207" s="8">
        <f>+SUMIFS(U$2:U$149,$CB$2:$CB$149,Table1[[#This Row],[BAĞLANTI]])</f>
        <v>9.2039115666666635</v>
      </c>
      <c r="V207" s="8">
        <f>+SUMIFS(V$2:V$149,$CB$2:$CB$149,Table1[[#This Row],[BAĞLANTI]])</f>
        <v>12.943472433333342</v>
      </c>
      <c r="W207" s="8">
        <f>+SUMIFS(W$2:W$149,$CB$2:$CB$149,Table1[[#This Row],[BAĞLANTI]])</f>
        <v>26.397615999999996</v>
      </c>
      <c r="X207" s="10">
        <f>+SUMIFS(X$2:X$149,$CB$2:$CB$149,Table1[[#This Row],[BAĞLANTI]])</f>
        <v>50.504999999999995</v>
      </c>
      <c r="Y207" s="8">
        <f>+SUMIFS(Y$2:Y$149,$CB$2:$CB$149,Table1[[#This Row],[BAĞLANTI]])</f>
        <v>44.612454352441624</v>
      </c>
      <c r="Z207" s="8">
        <f>+SUMIFS(Z$2:Z$149,$CB$2:$CB$149,Table1[[#This Row],[BAĞLANTI]])</f>
        <v>44.612454352441624</v>
      </c>
      <c r="AA207" s="8">
        <f>+SUMIFS(AA$2:AA$149,$CB$2:$CB$149,Table1[[#This Row],[BAĞLANTI]])</f>
        <v>44.612454352441624</v>
      </c>
      <c r="AB207" s="8">
        <f>+SUMIFS(AB$2:AB$149,$CB$2:$CB$149,Table1[[#This Row],[BAĞLANTI]])</f>
        <v>44.612454352441624</v>
      </c>
      <c r="AC207" s="8">
        <f>+SUMIFS(AC$2:AC$149,$CB$2:$CB$149,Table1[[#This Row],[BAĞLANTI]])</f>
        <v>85.074912951167732</v>
      </c>
      <c r="AD207" s="8">
        <f>+SUMIFS(AD$2:AD$149,$CB$2:$CB$149,Table1[[#This Row],[BAĞLANTI]])</f>
        <v>85.074912951167732</v>
      </c>
      <c r="AE207" s="8">
        <f>+SUMIFS(AE$2:AE$149,$CB$2:$CB$149,Table1[[#This Row],[BAĞLANTI]])</f>
        <v>105.82489171974517</v>
      </c>
      <c r="AF207" s="8">
        <f>+SUMIFS(AF$2:AF$149,$CB$2:$CB$149,Table1[[#This Row],[BAĞLANTI]])</f>
        <v>105.82489171974517</v>
      </c>
      <c r="AG207" s="8">
        <f>+SUMIFS(AG$2:AG$149,$CB$2:$CB$149,Table1[[#This Row],[BAĞLANTI]])</f>
        <v>56.024942675159224</v>
      </c>
      <c r="AH207" s="8">
        <f>+SUMIFS(AH$2:AH$149,$CB$2:$CB$149,Table1[[#This Row],[BAĞLANTI]])</f>
        <v>76.774921443736773</v>
      </c>
      <c r="AI207" s="8">
        <f>+SUMIFS(AI$2:AI$149,$CB$2:$CB$149,Table1[[#This Row],[BAĞLANTI]])</f>
        <v>76.774921443736773</v>
      </c>
      <c r="AJ207" s="8">
        <f>+SUMIFS(AJ$2:AJ$149,$CB$2:$CB$149,Table1[[#This Row],[BAĞLANTI]])</f>
        <v>74.699923566879008</v>
      </c>
      <c r="AK207" s="8">
        <f>+SUMIFS(AK$2:AK$149,$CB$2:$CB$149,Table1[[#This Row],[BAĞLANTI]])</f>
        <v>119.31237791932078</v>
      </c>
      <c r="AL207" s="8">
        <f>+SUMIFS(AL$2:AL$149,$CB$2:$CB$149,Table1[[#This Row],[BAĞLANTI]])</f>
        <v>13.487486199575367</v>
      </c>
      <c r="AM207" s="8">
        <f>+SUMIFS(AM$2:AM$149,$CB$2:$CB$149,Table1[[#This Row],[BAĞLANTI]])</f>
        <v>0</v>
      </c>
      <c r="AN207" s="8">
        <f>+SUMIFS(AN$2:AN$149,$CB$2:$CB$149,Table1[[#This Row],[BAĞLANTI]])</f>
        <v>0</v>
      </c>
      <c r="AO207" s="8">
        <f>+SUMIFS(AO$2:AO$149,$CB$2:$CB$149,Table1[[#This Row],[BAĞLANTI]])</f>
        <v>0</v>
      </c>
      <c r="AP207" s="8">
        <f>+SUMIFS(AP$2:AP$149,$CB$2:$CB$149,Table1[[#This Row],[BAĞLANTI]])</f>
        <v>0</v>
      </c>
      <c r="AQ207" s="8">
        <f>+SUMIFS(AQ$2:AQ$149,$CB$2:$CB$149,Table1[[#This Row],[BAĞLANTI]])</f>
        <v>0</v>
      </c>
      <c r="AR207" s="8">
        <f>+SUMIFS(AR$2:AR$149,$CB$2:$CB$149,Table1[[#This Row],[BAĞLANTI]])</f>
        <v>0</v>
      </c>
      <c r="AS207" s="8">
        <f>+SUMIFS(AS$2:AS$149,$CB$2:$CB$149,Table1[[#This Row],[BAĞLANTI]])</f>
        <v>0</v>
      </c>
      <c r="AT207" s="8">
        <f>+SUMIFS(AT$2:AT$149,$CB$2:$CB$149,Table1[[#This Row],[BAĞLANTI]])</f>
        <v>0</v>
      </c>
      <c r="AU207" s="8">
        <f>+SUMIFS(AU$2:AU$149,$CB$2:$CB$149,Table1[[#This Row],[BAĞLANTI]])</f>
        <v>0</v>
      </c>
      <c r="AV207" s="8">
        <f>+SUMIFS(AV$2:AV$149,$CB$2:$CB$149,Table1[[#This Row],[BAĞLANTI]])</f>
        <v>0</v>
      </c>
      <c r="AW207" s="8">
        <f>+SUMIFS(AW$2:AW$149,$CB$2:$CB$149,Table1[[#This Row],[BAĞLANTI]])</f>
        <v>0</v>
      </c>
      <c r="AX207" s="8">
        <f>+SUMIFS(AX$2:AX$149,$CB$2:$CB$149,Table1[[#This Row],[BAĞLANTI]])</f>
        <v>0</v>
      </c>
      <c r="AY207" s="8">
        <f>+SUMIFS(AY$2:AY$149,$CB$2:$CB$149,Table1[[#This Row],[BAĞLANTI]])</f>
        <v>0</v>
      </c>
      <c r="AZ207" s="8">
        <f>+SUMIFS(AZ$2:AZ$149,$CB$2:$CB$149,Table1[[#This Row],[BAĞLANTI]])</f>
        <v>0</v>
      </c>
      <c r="BA207" s="8">
        <f>+SUMIFS(BA$2:BA$149,$CB$2:$CB$149,Table1[[#This Row],[BAĞLANTI]])</f>
        <v>0</v>
      </c>
      <c r="BB207" s="8">
        <f>+SUMIFS(BB$2:BB$149,$CB$2:$CB$149,Table1[[#This Row],[BAĞLANTI]])</f>
        <v>0</v>
      </c>
      <c r="BC207" s="8">
        <f>+SUMIFS(BC$2:BC$149,$CB$2:$CB$149,Table1[[#This Row],[BAĞLANTI]])</f>
        <v>0</v>
      </c>
      <c r="BD207" s="8">
        <f>+SUMIFS(BD$2:BD$149,$CB$2:$CB$149,Table1[[#This Row],[BAĞLANTI]])</f>
        <v>0</v>
      </c>
      <c r="BE207" s="8">
        <f>+SUMIFS(BE$2:BE$149,$CB$2:$CB$149,Table1[[#This Row],[BAĞLANTI]])</f>
        <v>0</v>
      </c>
      <c r="BF207" s="8">
        <f>+SUMIFS(BF$2:BF$149,$CB$2:$CB$149,Table1[[#This Row],[BAĞLANTI]])</f>
        <v>0</v>
      </c>
      <c r="BG207" s="8">
        <f>+SUMIFS(BG$2:BG$149,$CB$2:$CB$149,Table1[[#This Row],[BAĞLANTI]])</f>
        <v>0</v>
      </c>
      <c r="BH207" s="8">
        <f>+SUMIFS(BH$2:BH$149,$CB$2:$CB$149,Table1[[#This Row],[BAĞLANTI]])</f>
        <v>0</v>
      </c>
      <c r="BI207" s="8">
        <f>+SUMIFS(BI$2:BI$149,$CB$2:$CB$149,Table1[[#This Row],[BAĞLANTI]])</f>
        <v>0</v>
      </c>
      <c r="BJ207" s="8">
        <f>+SUMIFS(BJ$2:BJ$149,$CB$2:$CB$149,Table1[[#This Row],[BAĞLANTI]])</f>
        <v>0</v>
      </c>
      <c r="BK207" s="8">
        <f>+SUMIFS(BK$2:BK$149,$CB$2:$CB$149,Table1[[#This Row],[BAĞLANTI]])</f>
        <v>0</v>
      </c>
      <c r="BL207" s="8">
        <f>+SUMIFS(BL$2:BL$149,$CB$2:$CB$149,Table1[[#This Row],[BAĞLANTI]])</f>
        <v>0</v>
      </c>
      <c r="BM207" s="8">
        <f>+SUMIFS(BM$2:BM$149,$CB$2:$CB$149,Table1[[#This Row],[BAĞLANTI]])</f>
        <v>0</v>
      </c>
      <c r="BN207" s="8">
        <f>+SUMIFS(BN$2:BN$149,$CB$2:$CB$149,Table1[[#This Row],[BAĞLANTI]])</f>
        <v>0</v>
      </c>
      <c r="BO207" s="8">
        <f>+SUMIFS(BO$2:BO$149,$CB$2:$CB$149,Table1[[#This Row],[BAĞLANTI]])</f>
        <v>0</v>
      </c>
      <c r="BP207" s="8">
        <f>+SUMIFS(BP$2:BP$149,$CB$2:$CB$149,Table1[[#This Row],[BAĞLANTI]])</f>
        <v>0</v>
      </c>
      <c r="BQ207" s="8">
        <f>+SUMIFS(BQ$2:BQ$149,$CB$2:$CB$149,Table1[[#This Row],[BAĞLANTI]])</f>
        <v>0</v>
      </c>
      <c r="BR207" s="8">
        <f>+SUMIFS(BR$2:BR$149,$CB$2:$CB$149,Table1[[#This Row],[BAĞLANTI]])</f>
        <v>0</v>
      </c>
      <c r="BS207" s="8">
        <f>+SUMIFS(BS$2:BS$149,$CB$2:$CB$149,Table1[[#This Row],[BAĞLANTI]])</f>
        <v>0</v>
      </c>
      <c r="BT207" s="8">
        <f>+SUMIFS(BT$2:BT$149,$CB$2:$CB$149,Table1[[#This Row],[BAĞLANTI]])</f>
        <v>0</v>
      </c>
      <c r="BU207" s="8">
        <f>+SUMIFS(BU$2:BU$149,$CB$2:$CB$149,Table1[[#This Row],[BAĞLANTI]])</f>
        <v>0</v>
      </c>
      <c r="BV207" s="8">
        <f>+SUMIFS(BV$2:BV$149,$CB$2:$CB$149,Table1[[#This Row],[BAĞLANTI]])</f>
        <v>0</v>
      </c>
      <c r="BW207" s="8">
        <f>+SUMIFS(BW$2:BW$149,$CB$2:$CB$149,Table1[[#This Row],[BAĞLANTI]])</f>
        <v>0</v>
      </c>
      <c r="BX207" s="8">
        <f>+SUMIFS(BX$2:BX$149,$CB$2:$CB$149,Table1[[#This Row],[BAĞLANTI]])</f>
        <v>0</v>
      </c>
      <c r="BY207" s="8">
        <f>+SUMIFS(BY$2:BY$149,$CB$2:$CB$149,Table1[[#This Row],[BAĞLANTI]])</f>
        <v>0</v>
      </c>
      <c r="BZ207" s="8">
        <f>+SUMIFS(BZ$2:BZ$149,$CB$2:$CB$149,Table1[[#This Row],[BAĞLANTI]])</f>
        <v>0</v>
      </c>
      <c r="CA207" s="8">
        <f>+SUMIFS(CA$2:CA$149,$CB$2:$CB$149,Table1[[#This Row],[BAĞLANTI]])</f>
        <v>0</v>
      </c>
      <c r="CB207" s="8" t="s">
        <v>5410</v>
      </c>
    </row>
    <row r="208" spans="1:80">
      <c r="A208" s="3" t="s">
        <v>5444</v>
      </c>
      <c r="B208" t="s">
        <v>21</v>
      </c>
      <c r="C208" t="s">
        <v>328</v>
      </c>
      <c r="D208" t="s">
        <v>72</v>
      </c>
      <c r="E208" t="s">
        <v>4974</v>
      </c>
      <c r="F208" s="77" t="s">
        <v>4973</v>
      </c>
      <c r="G208" t="s">
        <v>4983</v>
      </c>
      <c r="H208" s="3" t="s">
        <v>4984</v>
      </c>
      <c r="I208" s="3" t="s">
        <v>5194</v>
      </c>
      <c r="J208" s="78"/>
      <c r="K208" s="78"/>
      <c r="M208" s="78"/>
      <c r="N208" s="8">
        <f>+SUMIFS(N$2:N$149,$CB$2:$CB$149,Table1[[#This Row],[BAĞLANTI]])</f>
        <v>0</v>
      </c>
      <c r="O208" s="8">
        <f>+SUMIFS(O$2:O$149,$CB$2:$CB$149,Table1[[#This Row],[BAĞLANTI]])</f>
        <v>0</v>
      </c>
      <c r="P208" s="8">
        <f>+SUMIFS(P$2:P$149,$CB$2:$CB$149,Table1[[#This Row],[BAĞLANTI]])</f>
        <v>0</v>
      </c>
      <c r="Q208" s="8">
        <f>+SUMIFS(Q$2:Q$149,$CB$2:$CB$149,Table1[[#This Row],[BAĞLANTI]])</f>
        <v>0</v>
      </c>
      <c r="R208" s="8">
        <f>+SUMIFS(R$2:R$149,$CB$2:$CB$149,Table1[[#This Row],[BAĞLANTI]])</f>
        <v>0</v>
      </c>
      <c r="S208" s="8">
        <f>+SUMIFS(S$2:S$149,$CB$2:$CB$149,Table1[[#This Row],[BAĞLANTI]])</f>
        <v>0</v>
      </c>
      <c r="T208" s="8">
        <f>+SUMIFS(T$2:T$149,$CB$2:$CB$149,Table1[[#This Row],[BAĞLANTI]])</f>
        <v>230.51300000000001</v>
      </c>
      <c r="U208" s="8">
        <f>+SUMIFS(U$2:U$149,$CB$2:$CB$149,Table1[[#This Row],[BAĞLANTI]])</f>
        <v>683.12693500724981</v>
      </c>
      <c r="V208" s="8">
        <f>+SUMIFS(V$2:V$149,$CB$2:$CB$149,Table1[[#This Row],[BAĞLANTI]])</f>
        <v>1350.4244649927509</v>
      </c>
      <c r="W208" s="8">
        <f>+SUMIFS(W$2:W$149,$CB$2:$CB$149,Table1[[#This Row],[BAĞLANTI]])</f>
        <v>1018.4710000000005</v>
      </c>
      <c r="X208" s="10">
        <f>+SUMIFS(X$2:X$149,$CB$2:$CB$149,Table1[[#This Row],[BAĞLANTI]])</f>
        <v>1508.8660000000013</v>
      </c>
      <c r="Y208" s="8">
        <f>+SUMIFS(Y$2:Y$149,$CB$2:$CB$149,Table1[[#This Row],[BAĞLANTI]])</f>
        <v>907.18159540838894</v>
      </c>
      <c r="Z208" s="8">
        <f>+SUMIFS(Z$2:Z$149,$CB$2:$CB$149,Table1[[#This Row],[BAĞLANTI]])</f>
        <v>835.01942304635702</v>
      </c>
      <c r="AA208" s="8">
        <f>+SUMIFS(AA$2:AA$149,$CB$2:$CB$149,Table1[[#This Row],[BAĞLANTI]])</f>
        <v>453.59079770419379</v>
      </c>
      <c r="AB208" s="8">
        <f>+SUMIFS(AB$2:AB$149,$CB$2:$CB$149,Table1[[#This Row],[BAĞLANTI]])</f>
        <v>453.59079770419379</v>
      </c>
      <c r="AC208" s="8">
        <f>+SUMIFS(AC$2:AC$149,$CB$2:$CB$149,Table1[[#This Row],[BAĞLANTI]])</f>
        <v>453.59079770419379</v>
      </c>
      <c r="AD208" s="8">
        <f>+SUMIFS(AD$2:AD$149,$CB$2:$CB$149,Table1[[#This Row],[BAĞLANTI]])</f>
        <v>453.59079770419379</v>
      </c>
      <c r="AE208" s="8">
        <f>+SUMIFS(AE$2:AE$149,$CB$2:$CB$149,Table1[[#This Row],[BAĞLANTI]])</f>
        <v>453.59079770419379</v>
      </c>
      <c r="AF208" s="8">
        <f>+SUMIFS(AF$2:AF$149,$CB$2:$CB$149,Table1[[#This Row],[BAĞLANTI]])</f>
        <v>340.19309827814538</v>
      </c>
      <c r="AG208" s="8">
        <f>+SUMIFS(AG$2:AG$149,$CB$2:$CB$149,Table1[[#This Row],[BAĞLANTI]])</f>
        <v>453.59079770419379</v>
      </c>
      <c r="AH208" s="8">
        <f>+SUMIFS(AH$2:AH$149,$CB$2:$CB$149,Table1[[#This Row],[BAĞLANTI]])</f>
        <v>340.19309827814538</v>
      </c>
      <c r="AI208" s="8">
        <f>+SUMIFS(AI$2:AI$149,$CB$2:$CB$149,Table1[[#This Row],[BAĞLANTI]])</f>
        <v>453.59079770419379</v>
      </c>
      <c r="AJ208" s="8">
        <f>+SUMIFS(AJ$2:AJ$149,$CB$2:$CB$149,Table1[[#This Row],[BAĞLANTI]])</f>
        <v>453.59079770419379</v>
      </c>
      <c r="AK208" s="8">
        <f>+SUMIFS(AK$2:AK$149,$CB$2:$CB$149,Table1[[#This Row],[BAĞLANTI]])</f>
        <v>453.59079770419379</v>
      </c>
      <c r="AL208" s="8">
        <f>+SUMIFS(AL$2:AL$149,$CB$2:$CB$149,Table1[[#This Row],[BAĞLANTI]])</f>
        <v>453.59079770419379</v>
      </c>
      <c r="AM208" s="8">
        <f>+SUMIFS(AM$2:AM$149,$CB$2:$CB$149,Table1[[#This Row],[BAĞLANTI]])</f>
        <v>453.59079770419379</v>
      </c>
      <c r="AN208" s="8">
        <f>+SUMIFS(AN$2:AN$149,$CB$2:$CB$149,Table1[[#This Row],[BAĞLANTI]])</f>
        <v>453.59079770419379</v>
      </c>
      <c r="AO208" s="8">
        <f>+SUMIFS(AO$2:AO$149,$CB$2:$CB$149,Table1[[#This Row],[BAĞLANTI]])</f>
        <v>453.59079770419379</v>
      </c>
      <c r="AP208" s="8">
        <f>+SUMIFS(AP$2:AP$149,$CB$2:$CB$149,Table1[[#This Row],[BAĞLANTI]])</f>
        <v>453.59079770419379</v>
      </c>
      <c r="AQ208" s="8">
        <f>+SUMIFS(AQ$2:AQ$149,$CB$2:$CB$149,Table1[[#This Row],[BAĞLANTI]])</f>
        <v>340.19309827814538</v>
      </c>
      <c r="AR208" s="8">
        <f>+SUMIFS(AR$2:AR$149,$CB$2:$CB$149,Table1[[#This Row],[BAĞLANTI]])</f>
        <v>402.04638887417173</v>
      </c>
      <c r="AS208" s="8">
        <f>+SUMIFS(AS$2:AS$149,$CB$2:$CB$149,Table1[[#This Row],[BAĞLANTI]])</f>
        <v>247.41316238410644</v>
      </c>
      <c r="AT208" s="8">
        <f>+SUMIFS(AT$2:AT$149,$CB$2:$CB$149,Table1[[#This Row],[BAĞLANTI]])</f>
        <v>762.8572506843359</v>
      </c>
      <c r="AU208" s="8">
        <f>+SUMIFS(AU$2:AU$149,$CB$2:$CB$149,Table1[[#This Row],[BAĞLANTI]])</f>
        <v>247.41316238410644</v>
      </c>
      <c r="AV208" s="8">
        <f>+SUMIFS(AV$2:AV$149,$CB$2:$CB$149,Table1[[#This Row],[BAĞLANTI]])</f>
        <v>247.41316238410644</v>
      </c>
      <c r="AW208" s="8">
        <f>+SUMIFS(AW$2:AW$149,$CB$2:$CB$149,Table1[[#This Row],[BAĞLANTI]])</f>
        <v>247.41316238410644</v>
      </c>
      <c r="AX208" s="8">
        <f>+SUMIFS(AX$2:AX$149,$CB$2:$CB$149,Table1[[#This Row],[BAĞLANTI]])</f>
        <v>247.41316238410644</v>
      </c>
      <c r="AY208" s="8">
        <f>+SUMIFS(AY$2:AY$149,$CB$2:$CB$149,Table1[[#This Row],[BAĞLANTI]])</f>
        <v>159.7876673730679</v>
      </c>
      <c r="AZ208" s="8">
        <f>+SUMIFS(AZ$2:AZ$149,$CB$2:$CB$149,Table1[[#This Row],[BAĞLANTI]])</f>
        <v>0</v>
      </c>
      <c r="BA208" s="8">
        <f>+SUMIFS(BA$2:BA$149,$CB$2:$CB$149,Table1[[#This Row],[BAĞLANTI]])</f>
        <v>0</v>
      </c>
      <c r="BB208" s="8">
        <f>+SUMIFS(BB$2:BB$149,$CB$2:$CB$149,Table1[[#This Row],[BAĞLANTI]])</f>
        <v>0</v>
      </c>
      <c r="BC208" s="8">
        <f>+SUMIFS(BC$2:BC$149,$CB$2:$CB$149,Table1[[#This Row],[BAĞLANTI]])</f>
        <v>0</v>
      </c>
      <c r="BD208" s="8">
        <f>+SUMIFS(BD$2:BD$149,$CB$2:$CB$149,Table1[[#This Row],[BAĞLANTI]])</f>
        <v>0</v>
      </c>
      <c r="BE208" s="8">
        <f>+SUMIFS(BE$2:BE$149,$CB$2:$CB$149,Table1[[#This Row],[BAĞLANTI]])</f>
        <v>0</v>
      </c>
      <c r="BF208" s="8">
        <f>+SUMIFS(BF$2:BF$149,$CB$2:$CB$149,Table1[[#This Row],[BAĞLANTI]])</f>
        <v>0</v>
      </c>
      <c r="BG208" s="8">
        <f>+SUMIFS(BG$2:BG$149,$CB$2:$CB$149,Table1[[#This Row],[BAĞLANTI]])</f>
        <v>0</v>
      </c>
      <c r="BH208" s="8">
        <f>+SUMIFS(BH$2:BH$149,$CB$2:$CB$149,Table1[[#This Row],[BAĞLANTI]])</f>
        <v>0</v>
      </c>
      <c r="BI208" s="8">
        <f>+SUMIFS(BI$2:BI$149,$CB$2:$CB$149,Table1[[#This Row],[BAĞLANTI]])</f>
        <v>0</v>
      </c>
      <c r="BJ208" s="8">
        <f>+SUMIFS(BJ$2:BJ$149,$CB$2:$CB$149,Table1[[#This Row],[BAĞLANTI]])</f>
        <v>0</v>
      </c>
      <c r="BK208" s="8">
        <f>+SUMIFS(BK$2:BK$149,$CB$2:$CB$149,Table1[[#This Row],[BAĞLANTI]])</f>
        <v>0</v>
      </c>
      <c r="BL208" s="8">
        <f>+SUMIFS(BL$2:BL$149,$CB$2:$CB$149,Table1[[#This Row],[BAĞLANTI]])</f>
        <v>0</v>
      </c>
      <c r="BM208" s="8">
        <f>+SUMIFS(BM$2:BM$149,$CB$2:$CB$149,Table1[[#This Row],[BAĞLANTI]])</f>
        <v>0</v>
      </c>
      <c r="BN208" s="8">
        <f>+SUMIFS(BN$2:BN$149,$CB$2:$CB$149,Table1[[#This Row],[BAĞLANTI]])</f>
        <v>0</v>
      </c>
      <c r="BO208" s="8">
        <f>+SUMIFS(BO$2:BO$149,$CB$2:$CB$149,Table1[[#This Row],[BAĞLANTI]])</f>
        <v>0</v>
      </c>
      <c r="BP208" s="8">
        <f>+SUMIFS(BP$2:BP$149,$CB$2:$CB$149,Table1[[#This Row],[BAĞLANTI]])</f>
        <v>0</v>
      </c>
      <c r="BQ208" s="8">
        <f>+SUMIFS(BQ$2:BQ$149,$CB$2:$CB$149,Table1[[#This Row],[BAĞLANTI]])</f>
        <v>0</v>
      </c>
      <c r="BR208" s="8">
        <f>+SUMIFS(BR$2:BR$149,$CB$2:$CB$149,Table1[[#This Row],[BAĞLANTI]])</f>
        <v>0</v>
      </c>
      <c r="BS208" s="8">
        <f>+SUMIFS(BS$2:BS$149,$CB$2:$CB$149,Table1[[#This Row],[BAĞLANTI]])</f>
        <v>0</v>
      </c>
      <c r="BT208" s="8">
        <f>+SUMIFS(BT$2:BT$149,$CB$2:$CB$149,Table1[[#This Row],[BAĞLANTI]])</f>
        <v>0</v>
      </c>
      <c r="BU208" s="8">
        <f>+SUMIFS(BU$2:BU$149,$CB$2:$CB$149,Table1[[#This Row],[BAĞLANTI]])</f>
        <v>0</v>
      </c>
      <c r="BV208" s="8">
        <f>+SUMIFS(BV$2:BV$149,$CB$2:$CB$149,Table1[[#This Row],[BAĞLANTI]])</f>
        <v>0</v>
      </c>
      <c r="BW208" s="8">
        <f>+SUMIFS(BW$2:BW$149,$CB$2:$CB$149,Table1[[#This Row],[BAĞLANTI]])</f>
        <v>0</v>
      </c>
      <c r="BX208" s="8">
        <f>+SUMIFS(BX$2:BX$149,$CB$2:$CB$149,Table1[[#This Row],[BAĞLANTI]])</f>
        <v>0</v>
      </c>
      <c r="BY208" s="8">
        <f>+SUMIFS(BY$2:BY$149,$CB$2:$CB$149,Table1[[#This Row],[BAĞLANTI]])</f>
        <v>0</v>
      </c>
      <c r="BZ208" s="8">
        <f>+SUMIFS(BZ$2:BZ$149,$CB$2:$CB$149,Table1[[#This Row],[BAĞLANTI]])</f>
        <v>0</v>
      </c>
      <c r="CA208" s="8">
        <f>+SUMIFS(CA$2:CA$149,$CB$2:$CB$149,Table1[[#This Row],[BAĞLANTI]])</f>
        <v>0</v>
      </c>
      <c r="CB208" s="8" t="s">
        <v>5413</v>
      </c>
    </row>
    <row r="209" spans="1:80">
      <c r="A209" s="3" t="s">
        <v>5444</v>
      </c>
      <c r="B209" t="s">
        <v>21</v>
      </c>
      <c r="C209" t="s">
        <v>328</v>
      </c>
      <c r="D209" t="s">
        <v>74</v>
      </c>
      <c r="E209" t="s">
        <v>4975</v>
      </c>
      <c r="F209" s="77" t="s">
        <v>4973</v>
      </c>
      <c r="G209" t="s">
        <v>4983</v>
      </c>
      <c r="H209" s="3" t="s">
        <v>4984</v>
      </c>
      <c r="I209" s="3" t="s">
        <v>5194</v>
      </c>
      <c r="J209" s="78"/>
      <c r="K209" s="78"/>
      <c r="M209" s="78"/>
      <c r="N209" s="8">
        <f>+SUMIFS(N$2:N$149,$CB$2:$CB$149,Table1[[#This Row],[BAĞLANTI]])</f>
        <v>0</v>
      </c>
      <c r="O209" s="8">
        <f>+SUMIFS(O$2:O$149,$CB$2:$CB$149,Table1[[#This Row],[BAĞLANTI]])</f>
        <v>0</v>
      </c>
      <c r="P209" s="8">
        <f>+SUMIFS(P$2:P$149,$CB$2:$CB$149,Table1[[#This Row],[BAĞLANTI]])</f>
        <v>0</v>
      </c>
      <c r="Q209" s="8">
        <f>+SUMIFS(Q$2:Q$149,$CB$2:$CB$149,Table1[[#This Row],[BAĞLANTI]])</f>
        <v>0</v>
      </c>
      <c r="R209" s="8">
        <f>+SUMIFS(R$2:R$149,$CB$2:$CB$149,Table1[[#This Row],[BAĞLANTI]])</f>
        <v>102.85</v>
      </c>
      <c r="S209" s="8">
        <f>+SUMIFS(S$2:S$149,$CB$2:$CB$149,Table1[[#This Row],[BAĞLANTI]])</f>
        <v>746.83</v>
      </c>
      <c r="T209" s="8">
        <f>+SUMIFS(T$2:T$149,$CB$2:$CB$149,Table1[[#This Row],[BAĞLANTI]])</f>
        <v>640.82600000000002</v>
      </c>
      <c r="U209" s="8">
        <f>+SUMIFS(U$2:U$149,$CB$2:$CB$149,Table1[[#This Row],[BAĞLANTI]])</f>
        <v>1400.69</v>
      </c>
      <c r="V209" s="8">
        <f>+SUMIFS(V$2:V$149,$CB$2:$CB$149,Table1[[#This Row],[BAĞLANTI]])</f>
        <v>839.01</v>
      </c>
      <c r="W209" s="8">
        <f>+SUMIFS(W$2:W$149,$CB$2:$CB$149,Table1[[#This Row],[BAĞLANTI]])</f>
        <v>2143.7600000000002</v>
      </c>
      <c r="X209" s="10">
        <f>+SUMIFS(X$2:X$149,$CB$2:$CB$149,Table1[[#This Row],[BAĞLANTI]])</f>
        <v>641.54999999999995</v>
      </c>
      <c r="Y209" s="8">
        <f>+SUMIFS(Y$2:Y$149,$CB$2:$CB$149,Table1[[#This Row],[BAĞLANTI]])</f>
        <v>2015.953872736422</v>
      </c>
      <c r="Z209" s="8">
        <f>+SUMIFS(Z$2:Z$149,$CB$2:$CB$149,Table1[[#This Row],[BAĞLANTI]])</f>
        <v>1352.6320337022084</v>
      </c>
      <c r="AA209" s="8">
        <f>+SUMIFS(AA$2:AA$149,$CB$2:$CB$149,Table1[[#This Row],[BAĞLANTI]])</f>
        <v>1352.6320337022084</v>
      </c>
      <c r="AB209" s="8">
        <f>+SUMIFS(AB$2:AB$149,$CB$2:$CB$149,Table1[[#This Row],[BAĞLANTI]])</f>
        <v>1461.535619215296</v>
      </c>
      <c r="AC209" s="8">
        <f>+SUMIFS(AC$2:AC$149,$CB$2:$CB$149,Table1[[#This Row],[BAĞLANTI]])</f>
        <v>1174.4261664989933</v>
      </c>
      <c r="AD209" s="8">
        <f>+SUMIFS(AD$2:AD$149,$CB$2:$CB$149,Table1[[#This Row],[BAĞLANTI]])</f>
        <v>1006.1206252515094</v>
      </c>
      <c r="AE209" s="8">
        <f>+SUMIFS(AE$2:AE$149,$CB$2:$CB$149,Table1[[#This Row],[BAĞLANTI]])</f>
        <v>1006.1206252515094</v>
      </c>
      <c r="AF209" s="8">
        <f>+SUMIFS(AF$2:AF$149,$CB$2:$CB$149,Table1[[#This Row],[BAĞLANTI]])</f>
        <v>471.50302364185075</v>
      </c>
      <c r="AG209" s="8">
        <f>+SUMIFS(AG$2:AG$149,$CB$2:$CB$149,Table1[[#This Row],[BAĞLANTI]])</f>
        <v>0</v>
      </c>
      <c r="AH209" s="8">
        <f>+SUMIFS(AH$2:AH$149,$CB$2:$CB$149,Table1[[#This Row],[BAĞLANTI]])</f>
        <v>0</v>
      </c>
      <c r="AI209" s="8">
        <f>+SUMIFS(AI$2:AI$149,$CB$2:$CB$149,Table1[[#This Row],[BAĞLANTI]])</f>
        <v>0</v>
      </c>
      <c r="AJ209" s="8">
        <f>+SUMIFS(AJ$2:AJ$149,$CB$2:$CB$149,Table1[[#This Row],[BAĞLANTI]])</f>
        <v>0</v>
      </c>
      <c r="AK209" s="8">
        <f>+SUMIFS(AK$2:AK$149,$CB$2:$CB$149,Table1[[#This Row],[BAĞLANTI]])</f>
        <v>0</v>
      </c>
      <c r="AL209" s="8">
        <f>+SUMIFS(AL$2:AL$149,$CB$2:$CB$149,Table1[[#This Row],[BAĞLANTI]])</f>
        <v>0</v>
      </c>
      <c r="AM209" s="8">
        <f>+SUMIFS(AM$2:AM$149,$CB$2:$CB$149,Table1[[#This Row],[BAĞLANTI]])</f>
        <v>0</v>
      </c>
      <c r="AN209" s="8">
        <f>+SUMIFS(AN$2:AN$149,$CB$2:$CB$149,Table1[[#This Row],[BAĞLANTI]])</f>
        <v>0</v>
      </c>
      <c r="AO209" s="8">
        <f>+SUMIFS(AO$2:AO$149,$CB$2:$CB$149,Table1[[#This Row],[BAĞLANTI]])</f>
        <v>0</v>
      </c>
      <c r="AP209" s="8">
        <f>+SUMIFS(AP$2:AP$149,$CB$2:$CB$149,Table1[[#This Row],[BAĞLANTI]])</f>
        <v>0</v>
      </c>
      <c r="AQ209" s="8">
        <f>+SUMIFS(AQ$2:AQ$149,$CB$2:$CB$149,Table1[[#This Row],[BAĞLANTI]])</f>
        <v>0</v>
      </c>
      <c r="AR209" s="8">
        <f>+SUMIFS(AR$2:AR$149,$CB$2:$CB$149,Table1[[#This Row],[BAĞLANTI]])</f>
        <v>0</v>
      </c>
      <c r="AS209" s="8">
        <f>+SUMIFS(AS$2:AS$149,$CB$2:$CB$149,Table1[[#This Row],[BAĞLANTI]])</f>
        <v>0</v>
      </c>
      <c r="AT209" s="8">
        <f>+SUMIFS(AT$2:AT$149,$CB$2:$CB$149,Table1[[#This Row],[BAĞLANTI]])</f>
        <v>0</v>
      </c>
      <c r="AU209" s="8">
        <f>+SUMIFS(AU$2:AU$149,$CB$2:$CB$149,Table1[[#This Row],[BAĞLANTI]])</f>
        <v>0</v>
      </c>
      <c r="AV209" s="8">
        <f>+SUMIFS(AV$2:AV$149,$CB$2:$CB$149,Table1[[#This Row],[BAĞLANTI]])</f>
        <v>0</v>
      </c>
      <c r="AW209" s="8">
        <f>+SUMIFS(AW$2:AW$149,$CB$2:$CB$149,Table1[[#This Row],[BAĞLANTI]])</f>
        <v>0</v>
      </c>
      <c r="AX209" s="8">
        <f>+SUMIFS(AX$2:AX$149,$CB$2:$CB$149,Table1[[#This Row],[BAĞLANTI]])</f>
        <v>0</v>
      </c>
      <c r="AY209" s="8">
        <f>+SUMIFS(AY$2:AY$149,$CB$2:$CB$149,Table1[[#This Row],[BAĞLANTI]])</f>
        <v>0</v>
      </c>
      <c r="AZ209" s="8">
        <f>+SUMIFS(AZ$2:AZ$149,$CB$2:$CB$149,Table1[[#This Row],[BAĞLANTI]])</f>
        <v>0</v>
      </c>
      <c r="BA209" s="8">
        <f>+SUMIFS(BA$2:BA$149,$CB$2:$CB$149,Table1[[#This Row],[BAĞLANTI]])</f>
        <v>0</v>
      </c>
      <c r="BB209" s="8">
        <f>+SUMIFS(BB$2:BB$149,$CB$2:$CB$149,Table1[[#This Row],[BAĞLANTI]])</f>
        <v>0</v>
      </c>
      <c r="BC209" s="8">
        <f>+SUMIFS(BC$2:BC$149,$CB$2:$CB$149,Table1[[#This Row],[BAĞLANTI]])</f>
        <v>0</v>
      </c>
      <c r="BD209" s="8">
        <f>+SUMIFS(BD$2:BD$149,$CB$2:$CB$149,Table1[[#This Row],[BAĞLANTI]])</f>
        <v>0</v>
      </c>
      <c r="BE209" s="8">
        <f>+SUMIFS(BE$2:BE$149,$CB$2:$CB$149,Table1[[#This Row],[BAĞLANTI]])</f>
        <v>0</v>
      </c>
      <c r="BF209" s="8">
        <f>+SUMIFS(BF$2:BF$149,$CB$2:$CB$149,Table1[[#This Row],[BAĞLANTI]])</f>
        <v>0</v>
      </c>
      <c r="BG209" s="8">
        <f>+SUMIFS(BG$2:BG$149,$CB$2:$CB$149,Table1[[#This Row],[BAĞLANTI]])</f>
        <v>0</v>
      </c>
      <c r="BH209" s="8">
        <f>+SUMIFS(BH$2:BH$149,$CB$2:$CB$149,Table1[[#This Row],[BAĞLANTI]])</f>
        <v>0</v>
      </c>
      <c r="BI209" s="8">
        <f>+SUMIFS(BI$2:BI$149,$CB$2:$CB$149,Table1[[#This Row],[BAĞLANTI]])</f>
        <v>0</v>
      </c>
      <c r="BJ209" s="8">
        <f>+SUMIFS(BJ$2:BJ$149,$CB$2:$CB$149,Table1[[#This Row],[BAĞLANTI]])</f>
        <v>0</v>
      </c>
      <c r="BK209" s="8">
        <f>+SUMIFS(BK$2:BK$149,$CB$2:$CB$149,Table1[[#This Row],[BAĞLANTI]])</f>
        <v>0</v>
      </c>
      <c r="BL209" s="8">
        <f>+SUMIFS(BL$2:BL$149,$CB$2:$CB$149,Table1[[#This Row],[BAĞLANTI]])</f>
        <v>0</v>
      </c>
      <c r="BM209" s="8">
        <f>+SUMIFS(BM$2:BM$149,$CB$2:$CB$149,Table1[[#This Row],[BAĞLANTI]])</f>
        <v>0</v>
      </c>
      <c r="BN209" s="8">
        <f>+SUMIFS(BN$2:BN$149,$CB$2:$CB$149,Table1[[#This Row],[BAĞLANTI]])</f>
        <v>0</v>
      </c>
      <c r="BO209" s="8">
        <f>+SUMIFS(BO$2:BO$149,$CB$2:$CB$149,Table1[[#This Row],[BAĞLANTI]])</f>
        <v>0</v>
      </c>
      <c r="BP209" s="8">
        <f>+SUMIFS(BP$2:BP$149,$CB$2:$CB$149,Table1[[#This Row],[BAĞLANTI]])</f>
        <v>0</v>
      </c>
      <c r="BQ209" s="8">
        <f>+SUMIFS(BQ$2:BQ$149,$CB$2:$CB$149,Table1[[#This Row],[BAĞLANTI]])</f>
        <v>0</v>
      </c>
      <c r="BR209" s="8">
        <f>+SUMIFS(BR$2:BR$149,$CB$2:$CB$149,Table1[[#This Row],[BAĞLANTI]])</f>
        <v>0</v>
      </c>
      <c r="BS209" s="8">
        <f>+SUMIFS(BS$2:BS$149,$CB$2:$CB$149,Table1[[#This Row],[BAĞLANTI]])</f>
        <v>0</v>
      </c>
      <c r="BT209" s="8">
        <f>+SUMIFS(BT$2:BT$149,$CB$2:$CB$149,Table1[[#This Row],[BAĞLANTI]])</f>
        <v>0</v>
      </c>
      <c r="BU209" s="8">
        <f>+SUMIFS(BU$2:BU$149,$CB$2:$CB$149,Table1[[#This Row],[BAĞLANTI]])</f>
        <v>0</v>
      </c>
      <c r="BV209" s="8">
        <f>+SUMIFS(BV$2:BV$149,$CB$2:$CB$149,Table1[[#This Row],[BAĞLANTI]])</f>
        <v>0</v>
      </c>
      <c r="BW209" s="8">
        <f>+SUMIFS(BW$2:BW$149,$CB$2:$CB$149,Table1[[#This Row],[BAĞLANTI]])</f>
        <v>0</v>
      </c>
      <c r="BX209" s="8">
        <f>+SUMIFS(BX$2:BX$149,$CB$2:$CB$149,Table1[[#This Row],[BAĞLANTI]])</f>
        <v>0</v>
      </c>
      <c r="BY209" s="8">
        <f>+SUMIFS(BY$2:BY$149,$CB$2:$CB$149,Table1[[#This Row],[BAĞLANTI]])</f>
        <v>0</v>
      </c>
      <c r="BZ209" s="8">
        <f>+SUMIFS(BZ$2:BZ$149,$CB$2:$CB$149,Table1[[#This Row],[BAĞLANTI]])</f>
        <v>0</v>
      </c>
      <c r="CA209" s="8">
        <f>+SUMIFS(CA$2:CA$149,$CB$2:$CB$149,Table1[[#This Row],[BAĞLANTI]])</f>
        <v>0</v>
      </c>
      <c r="CB209" s="8" t="s">
        <v>5423</v>
      </c>
    </row>
    <row r="210" spans="1:80">
      <c r="A210" s="3" t="s">
        <v>5444</v>
      </c>
      <c r="B210" t="s">
        <v>21</v>
      </c>
      <c r="C210" t="s">
        <v>328</v>
      </c>
      <c r="D210" t="s">
        <v>5182</v>
      </c>
      <c r="E210" t="s">
        <v>5183</v>
      </c>
      <c r="F210" s="77" t="s">
        <v>4973</v>
      </c>
      <c r="G210" t="s">
        <v>4983</v>
      </c>
      <c r="H210" s="3" t="s">
        <v>4984</v>
      </c>
      <c r="I210" s="3" t="s">
        <v>5194</v>
      </c>
      <c r="J210" s="78"/>
      <c r="K210" s="78"/>
      <c r="M210" s="78"/>
      <c r="N210" s="8">
        <f>+SUMIFS(N$2:N$149,$CB$2:$CB$149,Table1[[#This Row],[BAĞLANTI]])</f>
        <v>0</v>
      </c>
      <c r="O210" s="8">
        <f>+SUMIFS(O$2:O$149,$CB$2:$CB$149,Table1[[#This Row],[BAĞLANTI]])</f>
        <v>0</v>
      </c>
      <c r="P210" s="8">
        <f>+SUMIFS(P$2:P$149,$CB$2:$CB$149,Table1[[#This Row],[BAĞLANTI]])</f>
        <v>0</v>
      </c>
      <c r="Q210" s="8">
        <f>+SUMIFS(Q$2:Q$149,$CB$2:$CB$149,Table1[[#This Row],[BAĞLANTI]])</f>
        <v>0</v>
      </c>
      <c r="R210" s="8">
        <f>+SUMIFS(R$2:R$149,$CB$2:$CB$149,Table1[[#This Row],[BAĞLANTI]])</f>
        <v>0</v>
      </c>
      <c r="S210" s="8">
        <f>+SUMIFS(S$2:S$149,$CB$2:$CB$149,Table1[[#This Row],[BAĞLANTI]])</f>
        <v>0</v>
      </c>
      <c r="T210" s="8">
        <f>+SUMIFS(T$2:T$149,$CB$2:$CB$149,Table1[[#This Row],[BAĞLANTI]])</f>
        <v>0</v>
      </c>
      <c r="U210" s="8">
        <f>+SUMIFS(U$2:U$149,$CB$2:$CB$149,Table1[[#This Row],[BAĞLANTI]])</f>
        <v>131.13061500000006</v>
      </c>
      <c r="V210" s="8">
        <f>+SUMIFS(V$2:V$149,$CB$2:$CB$149,Table1[[#This Row],[BAĞLANTI]])</f>
        <v>312.64838499999985</v>
      </c>
      <c r="W210" s="8">
        <f>+SUMIFS(W$2:W$149,$CB$2:$CB$149,Table1[[#This Row],[BAĞLANTI]])</f>
        <v>540.61000000000013</v>
      </c>
      <c r="X210" s="10">
        <f>+SUMIFS(X$2:X$149,$CB$2:$CB$149,Table1[[#This Row],[BAĞLANTI]])</f>
        <v>913.68700000000001</v>
      </c>
      <c r="Y210" s="8">
        <f>+SUMIFS(Y$2:Y$149,$CB$2:$CB$149,Table1[[#This Row],[BAĞLANTI]])</f>
        <v>386.23636199575384</v>
      </c>
      <c r="Z210" s="8">
        <f>+SUMIFS(Z$2:Z$149,$CB$2:$CB$149,Table1[[#This Row],[BAĞLANTI]])</f>
        <v>386.23636199575384</v>
      </c>
      <c r="AA210" s="8">
        <f>+SUMIFS(AA$2:AA$149,$CB$2:$CB$149,Table1[[#This Row],[BAĞLANTI]])</f>
        <v>386.23636199575384</v>
      </c>
      <c r="AB210" s="8">
        <f>+SUMIFS(AB$2:AB$149,$CB$2:$CB$149,Table1[[#This Row],[BAĞLANTI]])</f>
        <v>386.23636199575384</v>
      </c>
      <c r="AC210" s="8">
        <f>+SUMIFS(AC$2:AC$149,$CB$2:$CB$149,Table1[[#This Row],[BAĞLANTI]])</f>
        <v>736.54376008492568</v>
      </c>
      <c r="AD210" s="8">
        <f>+SUMIFS(AD$2:AD$149,$CB$2:$CB$149,Table1[[#This Row],[BAĞLANTI]])</f>
        <v>736.54376008492568</v>
      </c>
      <c r="AE210" s="8">
        <f>+SUMIFS(AE$2:AE$149,$CB$2:$CB$149,Table1[[#This Row],[BAĞLANTI]])</f>
        <v>916.18857961783385</v>
      </c>
      <c r="AF210" s="8">
        <f>+SUMIFS(AF$2:AF$149,$CB$2:$CB$149,Table1[[#This Row],[BAĞLANTI]])</f>
        <v>916.18857961783385</v>
      </c>
      <c r="AG210" s="8">
        <f>+SUMIFS(AG$2:AG$149,$CB$2:$CB$149,Table1[[#This Row],[BAĞLANTI]])</f>
        <v>485.04101273885345</v>
      </c>
      <c r="AH210" s="8">
        <f>+SUMIFS(AH$2:AH$149,$CB$2:$CB$149,Table1[[#This Row],[BAĞLANTI]])</f>
        <v>664.68583227176259</v>
      </c>
      <c r="AI210" s="8">
        <f>+SUMIFS(AI$2:AI$149,$CB$2:$CB$149,Table1[[#This Row],[BAĞLANTI]])</f>
        <v>664.68583227176259</v>
      </c>
      <c r="AJ210" s="8">
        <f>+SUMIFS(AJ$2:AJ$149,$CB$2:$CB$149,Table1[[#This Row],[BAĞLANTI]])</f>
        <v>646.72135031847165</v>
      </c>
      <c r="AK210" s="8">
        <f>+SUMIFS(AK$2:AK$149,$CB$2:$CB$149,Table1[[#This Row],[BAĞLANTI]])</f>
        <v>1032.9577123142258</v>
      </c>
      <c r="AL210" s="8">
        <f>+SUMIFS(AL$2:AL$149,$CB$2:$CB$149,Table1[[#This Row],[BAĞLANTI]])</f>
        <v>116.76913269639061</v>
      </c>
      <c r="AM210" s="8">
        <f>+SUMIFS(AM$2:AM$149,$CB$2:$CB$149,Table1[[#This Row],[BAĞLANTI]])</f>
        <v>0</v>
      </c>
      <c r="AN210" s="8">
        <f>+SUMIFS(AN$2:AN$149,$CB$2:$CB$149,Table1[[#This Row],[BAĞLANTI]])</f>
        <v>0</v>
      </c>
      <c r="AO210" s="8">
        <f>+SUMIFS(AO$2:AO$149,$CB$2:$CB$149,Table1[[#This Row],[BAĞLANTI]])</f>
        <v>0</v>
      </c>
      <c r="AP210" s="8">
        <f>+SUMIFS(AP$2:AP$149,$CB$2:$CB$149,Table1[[#This Row],[BAĞLANTI]])</f>
        <v>0</v>
      </c>
      <c r="AQ210" s="8">
        <f>+SUMIFS(AQ$2:AQ$149,$CB$2:$CB$149,Table1[[#This Row],[BAĞLANTI]])</f>
        <v>0</v>
      </c>
      <c r="AR210" s="8">
        <f>+SUMIFS(AR$2:AR$149,$CB$2:$CB$149,Table1[[#This Row],[BAĞLANTI]])</f>
        <v>0</v>
      </c>
      <c r="AS210" s="8">
        <f>+SUMIFS(AS$2:AS$149,$CB$2:$CB$149,Table1[[#This Row],[BAĞLANTI]])</f>
        <v>0</v>
      </c>
      <c r="AT210" s="8">
        <f>+SUMIFS(AT$2:AT$149,$CB$2:$CB$149,Table1[[#This Row],[BAĞLANTI]])</f>
        <v>0</v>
      </c>
      <c r="AU210" s="8">
        <f>+SUMIFS(AU$2:AU$149,$CB$2:$CB$149,Table1[[#This Row],[BAĞLANTI]])</f>
        <v>0</v>
      </c>
      <c r="AV210" s="8">
        <f>+SUMIFS(AV$2:AV$149,$CB$2:$CB$149,Table1[[#This Row],[BAĞLANTI]])</f>
        <v>0</v>
      </c>
      <c r="AW210" s="8">
        <f>+SUMIFS(AW$2:AW$149,$CB$2:$CB$149,Table1[[#This Row],[BAĞLANTI]])</f>
        <v>0</v>
      </c>
      <c r="AX210" s="8">
        <f>+SUMIFS(AX$2:AX$149,$CB$2:$CB$149,Table1[[#This Row],[BAĞLANTI]])</f>
        <v>0</v>
      </c>
      <c r="AY210" s="8">
        <f>+SUMIFS(AY$2:AY$149,$CB$2:$CB$149,Table1[[#This Row],[BAĞLANTI]])</f>
        <v>0</v>
      </c>
      <c r="AZ210" s="8">
        <f>+SUMIFS(AZ$2:AZ$149,$CB$2:$CB$149,Table1[[#This Row],[BAĞLANTI]])</f>
        <v>0</v>
      </c>
      <c r="BA210" s="8">
        <f>+SUMIFS(BA$2:BA$149,$CB$2:$CB$149,Table1[[#This Row],[BAĞLANTI]])</f>
        <v>0</v>
      </c>
      <c r="BB210" s="8">
        <f>+SUMIFS(BB$2:BB$149,$CB$2:$CB$149,Table1[[#This Row],[BAĞLANTI]])</f>
        <v>0</v>
      </c>
      <c r="BC210" s="8">
        <f>+SUMIFS(BC$2:BC$149,$CB$2:$CB$149,Table1[[#This Row],[BAĞLANTI]])</f>
        <v>0</v>
      </c>
      <c r="BD210" s="8">
        <f>+SUMIFS(BD$2:BD$149,$CB$2:$CB$149,Table1[[#This Row],[BAĞLANTI]])</f>
        <v>0</v>
      </c>
      <c r="BE210" s="8">
        <f>+SUMIFS(BE$2:BE$149,$CB$2:$CB$149,Table1[[#This Row],[BAĞLANTI]])</f>
        <v>0</v>
      </c>
      <c r="BF210" s="8">
        <f>+SUMIFS(BF$2:BF$149,$CB$2:$CB$149,Table1[[#This Row],[BAĞLANTI]])</f>
        <v>0</v>
      </c>
      <c r="BG210" s="8">
        <f>+SUMIFS(BG$2:BG$149,$CB$2:$CB$149,Table1[[#This Row],[BAĞLANTI]])</f>
        <v>0</v>
      </c>
      <c r="BH210" s="8">
        <f>+SUMIFS(BH$2:BH$149,$CB$2:$CB$149,Table1[[#This Row],[BAĞLANTI]])</f>
        <v>0</v>
      </c>
      <c r="BI210" s="8">
        <f>+SUMIFS(BI$2:BI$149,$CB$2:$CB$149,Table1[[#This Row],[BAĞLANTI]])</f>
        <v>0</v>
      </c>
      <c r="BJ210" s="8">
        <f>+SUMIFS(BJ$2:BJ$149,$CB$2:$CB$149,Table1[[#This Row],[BAĞLANTI]])</f>
        <v>0</v>
      </c>
      <c r="BK210" s="8">
        <f>+SUMIFS(BK$2:BK$149,$CB$2:$CB$149,Table1[[#This Row],[BAĞLANTI]])</f>
        <v>0</v>
      </c>
      <c r="BL210" s="8">
        <f>+SUMIFS(BL$2:BL$149,$CB$2:$CB$149,Table1[[#This Row],[BAĞLANTI]])</f>
        <v>0</v>
      </c>
      <c r="BM210" s="8">
        <f>+SUMIFS(BM$2:BM$149,$CB$2:$CB$149,Table1[[#This Row],[BAĞLANTI]])</f>
        <v>0</v>
      </c>
      <c r="BN210" s="8">
        <f>+SUMIFS(BN$2:BN$149,$CB$2:$CB$149,Table1[[#This Row],[BAĞLANTI]])</f>
        <v>0</v>
      </c>
      <c r="BO210" s="8">
        <f>+SUMIFS(BO$2:BO$149,$CB$2:$CB$149,Table1[[#This Row],[BAĞLANTI]])</f>
        <v>0</v>
      </c>
      <c r="BP210" s="8">
        <f>+SUMIFS(BP$2:BP$149,$CB$2:$CB$149,Table1[[#This Row],[BAĞLANTI]])</f>
        <v>0</v>
      </c>
      <c r="BQ210" s="8">
        <f>+SUMIFS(BQ$2:BQ$149,$CB$2:$CB$149,Table1[[#This Row],[BAĞLANTI]])</f>
        <v>0</v>
      </c>
      <c r="BR210" s="8">
        <f>+SUMIFS(BR$2:BR$149,$CB$2:$CB$149,Table1[[#This Row],[BAĞLANTI]])</f>
        <v>0</v>
      </c>
      <c r="BS210" s="8">
        <f>+SUMIFS(BS$2:BS$149,$CB$2:$CB$149,Table1[[#This Row],[BAĞLANTI]])</f>
        <v>0</v>
      </c>
      <c r="BT210" s="8">
        <f>+SUMIFS(BT$2:BT$149,$CB$2:$CB$149,Table1[[#This Row],[BAĞLANTI]])</f>
        <v>0</v>
      </c>
      <c r="BU210" s="8">
        <f>+SUMIFS(BU$2:BU$149,$CB$2:$CB$149,Table1[[#This Row],[BAĞLANTI]])</f>
        <v>0</v>
      </c>
      <c r="BV210" s="8">
        <f>+SUMIFS(BV$2:BV$149,$CB$2:$CB$149,Table1[[#This Row],[BAĞLANTI]])</f>
        <v>0</v>
      </c>
      <c r="BW210" s="8">
        <f>+SUMIFS(BW$2:BW$149,$CB$2:$CB$149,Table1[[#This Row],[BAĞLANTI]])</f>
        <v>0</v>
      </c>
      <c r="BX210" s="8">
        <f>+SUMIFS(BX$2:BX$149,$CB$2:$CB$149,Table1[[#This Row],[BAĞLANTI]])</f>
        <v>0</v>
      </c>
      <c r="BY210" s="8">
        <f>+SUMIFS(BY$2:BY$149,$CB$2:$CB$149,Table1[[#This Row],[BAĞLANTI]])</f>
        <v>0</v>
      </c>
      <c r="BZ210" s="8">
        <f>+SUMIFS(BZ$2:BZ$149,$CB$2:$CB$149,Table1[[#This Row],[BAĞLANTI]])</f>
        <v>0</v>
      </c>
      <c r="CA210" s="8">
        <f>+SUMIFS(CA$2:CA$149,$CB$2:$CB$149,Table1[[#This Row],[BAĞLANTI]])</f>
        <v>0</v>
      </c>
      <c r="CB210" s="8" t="s">
        <v>5424</v>
      </c>
    </row>
    <row r="211" spans="1:80">
      <c r="A211" s="3" t="s">
        <v>5444</v>
      </c>
      <c r="B211" t="s">
        <v>22</v>
      </c>
      <c r="C211" t="s">
        <v>332</v>
      </c>
      <c r="D211" t="s">
        <v>72</v>
      </c>
      <c r="E211" t="s">
        <v>4974</v>
      </c>
      <c r="F211" s="77" t="s">
        <v>4973</v>
      </c>
      <c r="G211" t="s">
        <v>4983</v>
      </c>
      <c r="H211" s="3" t="s">
        <v>4984</v>
      </c>
      <c r="I211" s="3" t="s">
        <v>5194</v>
      </c>
      <c r="J211" s="78"/>
      <c r="K211" s="78"/>
      <c r="M211" s="78"/>
      <c r="N211" s="8">
        <f>+SUMIFS(N$2:N$149,$CB$2:$CB$149,Table1[[#This Row],[BAĞLANTI]])</f>
        <v>0</v>
      </c>
      <c r="O211" s="8">
        <f>+SUMIFS(O$2:O$149,$CB$2:$CB$149,Table1[[#This Row],[BAĞLANTI]])</f>
        <v>0</v>
      </c>
      <c r="P211" s="8">
        <f>+SUMIFS(P$2:P$149,$CB$2:$CB$149,Table1[[#This Row],[BAĞLANTI]])</f>
        <v>0</v>
      </c>
      <c r="Q211" s="8">
        <f>+SUMIFS(Q$2:Q$149,$CB$2:$CB$149,Table1[[#This Row],[BAĞLANTI]])</f>
        <v>0</v>
      </c>
      <c r="R211" s="8">
        <f>+SUMIFS(R$2:R$149,$CB$2:$CB$149,Table1[[#This Row],[BAĞLANTI]])</f>
        <v>0</v>
      </c>
      <c r="S211" s="8">
        <f>+SUMIFS(S$2:S$149,$CB$2:$CB$149,Table1[[#This Row],[BAĞLANTI]])</f>
        <v>0</v>
      </c>
      <c r="T211" s="8">
        <f>+SUMIFS(T$2:T$149,$CB$2:$CB$149,Table1[[#This Row],[BAĞLANTI]])</f>
        <v>0</v>
      </c>
      <c r="U211" s="8">
        <f>+SUMIFS(U$2:U$149,$CB$2:$CB$149,Table1[[#This Row],[BAĞLANTI]])</f>
        <v>0</v>
      </c>
      <c r="V211" s="8">
        <f>+SUMIFS(V$2:V$149,$CB$2:$CB$149,Table1[[#This Row],[BAĞLANTI]])</f>
        <v>0</v>
      </c>
      <c r="W211" s="8">
        <f>+SUMIFS(W$2:W$149,$CB$2:$CB$149,Table1[[#This Row],[BAĞLANTI]])</f>
        <v>0</v>
      </c>
      <c r="X211" s="10">
        <f>+SUMIFS(X$2:X$149,$CB$2:$CB$149,Table1[[#This Row],[BAĞLANTI]])</f>
        <v>3624</v>
      </c>
      <c r="Y211" s="8">
        <f>+SUMIFS(Y$2:Y$149,$CB$2:$CB$149,Table1[[#This Row],[BAĞLANTI]])</f>
        <v>5835.3619388423349</v>
      </c>
      <c r="Z211" s="8">
        <f>+SUMIFS(Z$2:Z$149,$CB$2:$CB$149,Table1[[#This Row],[BAĞLANTI]])</f>
        <v>5183.5148758821897</v>
      </c>
      <c r="AA211" s="8">
        <f>+SUMIFS(AA$2:AA$149,$CB$2:$CB$149,Table1[[#This Row],[BAĞLANTI]])</f>
        <v>4651.1367729562126</v>
      </c>
      <c r="AB211" s="8">
        <f>+SUMIFS(AB$2:AB$149,$CB$2:$CB$149,Table1[[#This Row],[BAĞLANTI]])</f>
        <v>4789.1365023387452</v>
      </c>
      <c r="AC211" s="8">
        <f>+SUMIFS(AC$2:AC$149,$CB$2:$CB$149,Table1[[#This Row],[BAĞLANTI]])</f>
        <v>4257.194417515082</v>
      </c>
      <c r="AD211" s="8">
        <f>+SUMIFS(AD$2:AD$149,$CB$2:$CB$149,Table1[[#This Row],[BAĞLANTI]])</f>
        <v>3897.4794831056379</v>
      </c>
      <c r="AE211" s="8">
        <f>+SUMIFS(AE$2:AE$149,$CB$2:$CB$149,Table1[[#This Row],[BAĞLANTI]])</f>
        <v>4041.3654568694155</v>
      </c>
      <c r="AF211" s="8">
        <f>+SUMIFS(AF$2:AF$149,$CB$2:$CB$149,Table1[[#This Row],[BAĞLANTI]])</f>
        <v>3998.6356828425965</v>
      </c>
      <c r="AG211" s="8">
        <f>+SUMIFS(AG$2:AG$149,$CB$2:$CB$149,Table1[[#This Row],[BAĞLANTI]])</f>
        <v>3844.2852746232716</v>
      </c>
      <c r="AH211" s="8">
        <f>+SUMIFS(AH$2:AH$149,$CB$2:$CB$149,Table1[[#This Row],[BAĞLANTI]])</f>
        <v>3939.9912480812995</v>
      </c>
      <c r="AI211" s="8">
        <f>+SUMIFS(AI$2:AI$149,$CB$2:$CB$149,Table1[[#This Row],[BAĞLANTI]])</f>
        <v>4047.0336921995035</v>
      </c>
      <c r="AJ211" s="8">
        <f>+SUMIFS(AJ$2:AJ$149,$CB$2:$CB$149,Table1[[#This Row],[BAĞLANTI]])</f>
        <v>4047.0336921995035</v>
      </c>
      <c r="AK211" s="8">
        <f>+SUMIFS(AK$2:AK$149,$CB$2:$CB$149,Table1[[#This Row],[BAĞLANTI]])</f>
        <v>4047.0336921995035</v>
      </c>
      <c r="AL211" s="8">
        <f>+SUMIFS(AL$2:AL$149,$CB$2:$CB$149,Table1[[#This Row],[BAĞLANTI]])</f>
        <v>4291.6398475979258</v>
      </c>
      <c r="AM211" s="8">
        <f>+SUMIFS(AM$2:AM$149,$CB$2:$CB$149,Table1[[#This Row],[BAĞLANTI]])</f>
        <v>4536.2460029963477</v>
      </c>
      <c r="AN211" s="8">
        <f>+SUMIFS(AN$2:AN$149,$CB$2:$CB$149,Table1[[#This Row],[BAĞLANTI]])</f>
        <v>4536.2460029963477</v>
      </c>
      <c r="AO211" s="8">
        <f>+SUMIFS(AO$2:AO$149,$CB$2:$CB$149,Table1[[#This Row],[BAĞLANTI]])</f>
        <v>4536.2460029963477</v>
      </c>
      <c r="AP211" s="8">
        <f>+SUMIFS(AP$2:AP$149,$CB$2:$CB$149,Table1[[#This Row],[BAĞLANTI]])</f>
        <v>4196.3698922422118</v>
      </c>
      <c r="AQ211" s="8">
        <f>+SUMIFS(AQ$2:AQ$149,$CB$2:$CB$149,Table1[[#This Row],[BAĞLANTI]])</f>
        <v>3823.1383966610192</v>
      </c>
      <c r="AR211" s="8">
        <f>+SUMIFS(AR$2:AR$149,$CB$2:$CB$149,Table1[[#This Row],[BAĞLANTI]])</f>
        <v>3814.2000255635721</v>
      </c>
      <c r="AS211" s="8">
        <f>+SUMIFS(AS$2:AS$149,$CB$2:$CB$149,Table1[[#This Row],[BAĞLANTI]])</f>
        <v>4154.7301634711794</v>
      </c>
      <c r="AT211" s="8">
        <f>+SUMIFS(AT$2:AT$149,$CB$2:$CB$149,Table1[[#This Row],[BAĞLANTI]])</f>
        <v>3893.9913382871214</v>
      </c>
      <c r="AU211" s="8">
        <f>+SUMIFS(AU$2:AU$149,$CB$2:$CB$149,Table1[[#This Row],[BAĞLANTI]])</f>
        <v>3980.3229225453888</v>
      </c>
      <c r="AV211" s="8">
        <f>+SUMIFS(AV$2:AV$149,$CB$2:$CB$149,Table1[[#This Row],[BAĞLANTI]])</f>
        <v>3980.3229225453888</v>
      </c>
      <c r="AW211" s="8">
        <f>+SUMIFS(AW$2:AW$149,$CB$2:$CB$149,Table1[[#This Row],[BAĞLANTI]])</f>
        <v>4052.2659094272776</v>
      </c>
      <c r="AX211" s="8">
        <f>+SUMIFS(AX$2:AX$149,$CB$2:$CB$149,Table1[[#This Row],[BAĞLANTI]])</f>
        <v>3374.2577603282643</v>
      </c>
      <c r="AY211" s="8">
        <f>+SUMIFS(AY$2:AY$149,$CB$2:$CB$149,Table1[[#This Row],[BAĞLANTI]])</f>
        <v>3251.9546826290534</v>
      </c>
      <c r="AZ211" s="8">
        <f>+SUMIFS(AZ$2:AZ$149,$CB$2:$CB$149,Table1[[#This Row],[BAĞLANTI]])</f>
        <v>3028.9314232951983</v>
      </c>
      <c r="BA211" s="8">
        <f>+SUMIFS(BA$2:BA$149,$CB$2:$CB$149,Table1[[#This Row],[BAĞLANTI]])</f>
        <v>3028.9314232951983</v>
      </c>
      <c r="BB211" s="8">
        <f>+SUMIFS(BB$2:BB$149,$CB$2:$CB$149,Table1[[#This Row],[BAĞLANTI]])</f>
        <v>2863.4625534668539</v>
      </c>
      <c r="BC211" s="8">
        <f>+SUMIFS(BC$2:BC$149,$CB$2:$CB$149,Table1[[#This Row],[BAĞLANTI]])</f>
        <v>0</v>
      </c>
      <c r="BD211" s="8">
        <f>+SUMIFS(BD$2:BD$149,$CB$2:$CB$149,Table1[[#This Row],[BAĞLANTI]])</f>
        <v>0</v>
      </c>
      <c r="BE211" s="8">
        <f>+SUMIFS(BE$2:BE$149,$CB$2:$CB$149,Table1[[#This Row],[BAĞLANTI]])</f>
        <v>0</v>
      </c>
      <c r="BF211" s="8">
        <f>+SUMIFS(BF$2:BF$149,$CB$2:$CB$149,Table1[[#This Row],[BAĞLANTI]])</f>
        <v>0</v>
      </c>
      <c r="BG211" s="8">
        <f>+SUMIFS(BG$2:BG$149,$CB$2:$CB$149,Table1[[#This Row],[BAĞLANTI]])</f>
        <v>0</v>
      </c>
      <c r="BH211" s="8">
        <f>+SUMIFS(BH$2:BH$149,$CB$2:$CB$149,Table1[[#This Row],[BAĞLANTI]])</f>
        <v>0</v>
      </c>
      <c r="BI211" s="8">
        <f>+SUMIFS(BI$2:BI$149,$CB$2:$CB$149,Table1[[#This Row],[BAĞLANTI]])</f>
        <v>0</v>
      </c>
      <c r="BJ211" s="8">
        <f>+SUMIFS(BJ$2:BJ$149,$CB$2:$CB$149,Table1[[#This Row],[BAĞLANTI]])</f>
        <v>0</v>
      </c>
      <c r="BK211" s="8">
        <f>+SUMIFS(BK$2:BK$149,$CB$2:$CB$149,Table1[[#This Row],[BAĞLANTI]])</f>
        <v>0</v>
      </c>
      <c r="BL211" s="8">
        <f>+SUMIFS(BL$2:BL$149,$CB$2:$CB$149,Table1[[#This Row],[BAĞLANTI]])</f>
        <v>0</v>
      </c>
      <c r="BM211" s="8">
        <f>+SUMIFS(BM$2:BM$149,$CB$2:$CB$149,Table1[[#This Row],[BAĞLANTI]])</f>
        <v>0</v>
      </c>
      <c r="BN211" s="8">
        <f>+SUMIFS(BN$2:BN$149,$CB$2:$CB$149,Table1[[#This Row],[BAĞLANTI]])</f>
        <v>0</v>
      </c>
      <c r="BO211" s="8">
        <f>+SUMIFS(BO$2:BO$149,$CB$2:$CB$149,Table1[[#This Row],[BAĞLANTI]])</f>
        <v>0</v>
      </c>
      <c r="BP211" s="8">
        <f>+SUMIFS(BP$2:BP$149,$CB$2:$CB$149,Table1[[#This Row],[BAĞLANTI]])</f>
        <v>0</v>
      </c>
      <c r="BQ211" s="8">
        <f>+SUMIFS(BQ$2:BQ$149,$CB$2:$CB$149,Table1[[#This Row],[BAĞLANTI]])</f>
        <v>0</v>
      </c>
      <c r="BR211" s="8">
        <f>+SUMIFS(BR$2:BR$149,$CB$2:$CB$149,Table1[[#This Row],[BAĞLANTI]])</f>
        <v>0</v>
      </c>
      <c r="BS211" s="8">
        <f>+SUMIFS(BS$2:BS$149,$CB$2:$CB$149,Table1[[#This Row],[BAĞLANTI]])</f>
        <v>0</v>
      </c>
      <c r="BT211" s="8">
        <f>+SUMIFS(BT$2:BT$149,$CB$2:$CB$149,Table1[[#This Row],[BAĞLANTI]])</f>
        <v>0</v>
      </c>
      <c r="BU211" s="8">
        <f>+SUMIFS(BU$2:BU$149,$CB$2:$CB$149,Table1[[#This Row],[BAĞLANTI]])</f>
        <v>0</v>
      </c>
      <c r="BV211" s="8">
        <f>+SUMIFS(BV$2:BV$149,$CB$2:$CB$149,Table1[[#This Row],[BAĞLANTI]])</f>
        <v>0</v>
      </c>
      <c r="BW211" s="8">
        <f>+SUMIFS(BW$2:BW$149,$CB$2:$CB$149,Table1[[#This Row],[BAĞLANTI]])</f>
        <v>0</v>
      </c>
      <c r="BX211" s="8">
        <f>+SUMIFS(BX$2:BX$149,$CB$2:$CB$149,Table1[[#This Row],[BAĞLANTI]])</f>
        <v>0</v>
      </c>
      <c r="BY211" s="8">
        <f>+SUMIFS(BY$2:BY$149,$CB$2:$CB$149,Table1[[#This Row],[BAĞLANTI]])</f>
        <v>0</v>
      </c>
      <c r="BZ211" s="8">
        <f>+SUMIFS(BZ$2:BZ$149,$CB$2:$CB$149,Table1[[#This Row],[BAĞLANTI]])</f>
        <v>0</v>
      </c>
      <c r="CA211" s="8">
        <f>+SUMIFS(CA$2:CA$149,$CB$2:$CB$149,Table1[[#This Row],[BAĞLANTI]])</f>
        <v>0</v>
      </c>
      <c r="CB211" s="8" t="s">
        <v>5414</v>
      </c>
    </row>
    <row r="212" spans="1:80">
      <c r="A212" s="3" t="s">
        <v>5444</v>
      </c>
      <c r="B212" t="s">
        <v>22</v>
      </c>
      <c r="C212" t="s">
        <v>332</v>
      </c>
      <c r="D212" t="s">
        <v>74</v>
      </c>
      <c r="E212" t="s">
        <v>4975</v>
      </c>
      <c r="F212" s="77" t="s">
        <v>4973</v>
      </c>
      <c r="G212" t="s">
        <v>4983</v>
      </c>
      <c r="H212" s="3" t="s">
        <v>4984</v>
      </c>
      <c r="I212" s="3" t="s">
        <v>5194</v>
      </c>
      <c r="J212" s="78"/>
      <c r="K212" s="78"/>
      <c r="M212" s="78"/>
      <c r="N212" s="8">
        <f>+SUMIFS(N$2:N$149,$CB$2:$CB$149,Table1[[#This Row],[BAĞLANTI]])</f>
        <v>0</v>
      </c>
      <c r="O212" s="8">
        <f>+SUMIFS(O$2:O$149,$CB$2:$CB$149,Table1[[#This Row],[BAĞLANTI]])</f>
        <v>0</v>
      </c>
      <c r="P212" s="8">
        <f>+SUMIFS(P$2:P$149,$CB$2:$CB$149,Table1[[#This Row],[BAĞLANTI]])</f>
        <v>0</v>
      </c>
      <c r="Q212" s="8">
        <f>+SUMIFS(Q$2:Q$149,$CB$2:$CB$149,Table1[[#This Row],[BAĞLANTI]])</f>
        <v>0</v>
      </c>
      <c r="R212" s="8">
        <f>+SUMIFS(R$2:R$149,$CB$2:$CB$149,Table1[[#This Row],[BAĞLANTI]])</f>
        <v>486</v>
      </c>
      <c r="S212" s="8">
        <f>+SUMIFS(S$2:S$149,$CB$2:$CB$149,Table1[[#This Row],[BAĞLANTI]])</f>
        <v>2350</v>
      </c>
      <c r="T212" s="8">
        <f>+SUMIFS(T$2:T$149,$CB$2:$CB$149,Table1[[#This Row],[BAĞLANTI]])</f>
        <v>2280</v>
      </c>
      <c r="U212" s="8">
        <f>+SUMIFS(U$2:U$149,$CB$2:$CB$149,Table1[[#This Row],[BAĞLANTI]])</f>
        <v>1298</v>
      </c>
      <c r="V212" s="8">
        <f>+SUMIFS(V$2:V$149,$CB$2:$CB$149,Table1[[#This Row],[BAĞLANTI]])</f>
        <v>2118</v>
      </c>
      <c r="W212" s="8">
        <f>+SUMIFS(W$2:W$149,$CB$2:$CB$149,Table1[[#This Row],[BAĞLANTI]])</f>
        <v>4314</v>
      </c>
      <c r="X212" s="10">
        <f>+SUMIFS(X$2:X$149,$CB$2:$CB$149,Table1[[#This Row],[BAĞLANTI]])</f>
        <v>4752</v>
      </c>
      <c r="Y212" s="8">
        <f>+SUMIFS(Y$2:Y$149,$CB$2:$CB$149,Table1[[#This Row],[BAĞLANTI]])</f>
        <v>5237.281953979772</v>
      </c>
      <c r="Z212" s="8">
        <f>+SUMIFS(Z$2:Z$149,$CB$2:$CB$149,Table1[[#This Row],[BAĞLANTI]])</f>
        <v>4652.2442313199908</v>
      </c>
      <c r="AA212" s="8">
        <f>+SUMIFS(AA$2:AA$149,$CB$2:$CB$149,Table1[[#This Row],[BAĞLANTI]])</f>
        <v>4174.4308136828058</v>
      </c>
      <c r="AB212" s="8">
        <f>+SUMIFS(AB$2:AB$149,$CB$2:$CB$149,Table1[[#This Row],[BAĞLANTI]])</f>
        <v>4298.2866258713148</v>
      </c>
      <c r="AC212" s="8">
        <f>+SUMIFS(AC$2:AC$149,$CB$2:$CB$149,Table1[[#This Row],[BAĞLANTI]])</f>
        <v>3820.8645378145043</v>
      </c>
      <c r="AD212" s="8">
        <f>+SUMIFS(AD$2:AD$149,$CB$2:$CB$149,Table1[[#This Row],[BAĞLANTI]])</f>
        <v>3498.017634005595</v>
      </c>
      <c r="AE212" s="8">
        <f>+SUMIFS(AE$2:AE$149,$CB$2:$CB$149,Table1[[#This Row],[BAĞLANTI]])</f>
        <v>3627.156395529159</v>
      </c>
      <c r="AF212" s="8">
        <f>+SUMIFS(AF$2:AF$149,$CB$2:$CB$149,Table1[[#This Row],[BAĞLANTI]])</f>
        <v>3588.806096652464</v>
      </c>
      <c r="AG212" s="8">
        <f>+SUMIFS(AG$2:AG$149,$CB$2:$CB$149,Table1[[#This Row],[BAĞLANTI]])</f>
        <v>3450.275425199914</v>
      </c>
      <c r="AH212" s="8">
        <f>+SUMIFS(AH$2:AH$149,$CB$2:$CB$149,Table1[[#This Row],[BAĞLANTI]])</f>
        <v>3536.1722680921025</v>
      </c>
      <c r="AI212" s="8">
        <f>+SUMIFS(AI$2:AI$149,$CB$2:$CB$149,Table1[[#This Row],[BAĞLANTI]])</f>
        <v>3632.2436800740261</v>
      </c>
      <c r="AJ212" s="8">
        <f>+SUMIFS(AJ$2:AJ$149,$CB$2:$CB$149,Table1[[#This Row],[BAĞLANTI]])</f>
        <v>3632.2436800740261</v>
      </c>
      <c r="AK212" s="8">
        <f>+SUMIFS(AK$2:AK$149,$CB$2:$CB$149,Table1[[#This Row],[BAĞLANTI]])</f>
        <v>3632.2436800740261</v>
      </c>
      <c r="AL212" s="8">
        <f>+SUMIFS(AL$2:AL$149,$CB$2:$CB$149,Table1[[#This Row],[BAĞLANTI]])</f>
        <v>3851.7795746640841</v>
      </c>
      <c r="AM212" s="8">
        <f>+SUMIFS(AM$2:AM$149,$CB$2:$CB$149,Table1[[#This Row],[BAĞLANTI]])</f>
        <v>4071.315469254142</v>
      </c>
      <c r="AN212" s="8">
        <f>+SUMIFS(AN$2:AN$149,$CB$2:$CB$149,Table1[[#This Row],[BAĞLANTI]])</f>
        <v>4071.315469254142</v>
      </c>
      <c r="AO212" s="8">
        <f>+SUMIFS(AO$2:AO$149,$CB$2:$CB$149,Table1[[#This Row],[BAĞLANTI]])</f>
        <v>4071.315469254142</v>
      </c>
      <c r="AP212" s="8">
        <f>+SUMIFS(AP$2:AP$149,$CB$2:$CB$149,Table1[[#This Row],[BAĞLANTI]])</f>
        <v>3766.2740613522701</v>
      </c>
      <c r="AQ212" s="8">
        <f>+SUMIFS(AQ$2:AQ$149,$CB$2:$CB$149,Table1[[#This Row],[BAĞLANTI]])</f>
        <v>3431.2959405517536</v>
      </c>
      <c r="AR212" s="8">
        <f>+SUMIFS(AR$2:AR$149,$CB$2:$CB$149,Table1[[#This Row],[BAĞLANTI]])</f>
        <v>3423.2736841540773</v>
      </c>
      <c r="AS212" s="8">
        <f>+SUMIFS(AS$2:AS$149,$CB$2:$CB$149,Table1[[#This Row],[BAĞLANTI]])</f>
        <v>3728.9020864265117</v>
      </c>
      <c r="AT212" s="8">
        <f>+SUMIFS(AT$2:AT$149,$CB$2:$CB$149,Table1[[#This Row],[BAĞLANTI]])</f>
        <v>3494.8869973625992</v>
      </c>
      <c r="AU212" s="8">
        <f>+SUMIFS(AU$2:AU$149,$CB$2:$CB$149,Table1[[#This Row],[BAĞLANTI]])</f>
        <v>3572.3702542767378</v>
      </c>
      <c r="AV212" s="8">
        <f>+SUMIFS(AV$2:AV$149,$CB$2:$CB$149,Table1[[#This Row],[BAĞLANTI]])</f>
        <v>3572.3702542767378</v>
      </c>
      <c r="AW212" s="8">
        <f>+SUMIFS(AW$2:AW$149,$CB$2:$CB$149,Table1[[#This Row],[BAĞLANTI]])</f>
        <v>3636.9396350385196</v>
      </c>
      <c r="AX212" s="8">
        <f>+SUMIFS(AX$2:AX$149,$CB$2:$CB$149,Table1[[#This Row],[BAĞLANTI]])</f>
        <v>3028.4221375562729</v>
      </c>
      <c r="AY212" s="8">
        <f>+SUMIFS(AY$2:AY$149,$CB$2:$CB$149,Table1[[#This Row],[BAĞLANTI]])</f>
        <v>2918.6541902612439</v>
      </c>
      <c r="AZ212" s="8">
        <f>+SUMIFS(AZ$2:AZ$149,$CB$2:$CB$149,Table1[[#This Row],[BAĞLANTI]])</f>
        <v>2718.4891098997205</v>
      </c>
      <c r="BA212" s="8">
        <f>+SUMIFS(BA$2:BA$149,$CB$2:$CB$149,Table1[[#This Row],[BAĞLANTI]])</f>
        <v>2718.4891098997205</v>
      </c>
      <c r="BB212" s="8">
        <f>+SUMIFS(BB$2:BB$149,$CB$2:$CB$149,Table1[[#This Row],[BAĞLANTI]])</f>
        <v>2569.9795341476229</v>
      </c>
      <c r="BC212" s="8">
        <f>+SUMIFS(BC$2:BC$149,$CB$2:$CB$149,Table1[[#This Row],[BAĞLANTI]])</f>
        <v>0</v>
      </c>
      <c r="BD212" s="8">
        <f>+SUMIFS(BD$2:BD$149,$CB$2:$CB$149,Table1[[#This Row],[BAĞLANTI]])</f>
        <v>0</v>
      </c>
      <c r="BE212" s="8">
        <f>+SUMIFS(BE$2:BE$149,$CB$2:$CB$149,Table1[[#This Row],[BAĞLANTI]])</f>
        <v>0</v>
      </c>
      <c r="BF212" s="8">
        <f>+SUMIFS(BF$2:BF$149,$CB$2:$CB$149,Table1[[#This Row],[BAĞLANTI]])</f>
        <v>0</v>
      </c>
      <c r="BG212" s="8">
        <f>+SUMIFS(BG$2:BG$149,$CB$2:$CB$149,Table1[[#This Row],[BAĞLANTI]])</f>
        <v>0</v>
      </c>
      <c r="BH212" s="8">
        <f>+SUMIFS(BH$2:BH$149,$CB$2:$CB$149,Table1[[#This Row],[BAĞLANTI]])</f>
        <v>0</v>
      </c>
      <c r="BI212" s="8">
        <f>+SUMIFS(BI$2:BI$149,$CB$2:$CB$149,Table1[[#This Row],[BAĞLANTI]])</f>
        <v>0</v>
      </c>
      <c r="BJ212" s="8">
        <f>+SUMIFS(BJ$2:BJ$149,$CB$2:$CB$149,Table1[[#This Row],[BAĞLANTI]])</f>
        <v>0</v>
      </c>
      <c r="BK212" s="8">
        <f>+SUMIFS(BK$2:BK$149,$CB$2:$CB$149,Table1[[#This Row],[BAĞLANTI]])</f>
        <v>0</v>
      </c>
      <c r="BL212" s="8">
        <f>+SUMIFS(BL$2:BL$149,$CB$2:$CB$149,Table1[[#This Row],[BAĞLANTI]])</f>
        <v>0</v>
      </c>
      <c r="BM212" s="8">
        <f>+SUMIFS(BM$2:BM$149,$CB$2:$CB$149,Table1[[#This Row],[BAĞLANTI]])</f>
        <v>0</v>
      </c>
      <c r="BN212" s="8">
        <f>+SUMIFS(BN$2:BN$149,$CB$2:$CB$149,Table1[[#This Row],[BAĞLANTI]])</f>
        <v>0</v>
      </c>
      <c r="BO212" s="8">
        <f>+SUMIFS(BO$2:BO$149,$CB$2:$CB$149,Table1[[#This Row],[BAĞLANTI]])</f>
        <v>0</v>
      </c>
      <c r="BP212" s="8">
        <f>+SUMIFS(BP$2:BP$149,$CB$2:$CB$149,Table1[[#This Row],[BAĞLANTI]])</f>
        <v>0</v>
      </c>
      <c r="BQ212" s="8">
        <f>+SUMIFS(BQ$2:BQ$149,$CB$2:$CB$149,Table1[[#This Row],[BAĞLANTI]])</f>
        <v>0</v>
      </c>
      <c r="BR212" s="8">
        <f>+SUMIFS(BR$2:BR$149,$CB$2:$CB$149,Table1[[#This Row],[BAĞLANTI]])</f>
        <v>0</v>
      </c>
      <c r="BS212" s="8">
        <f>+SUMIFS(BS$2:BS$149,$CB$2:$CB$149,Table1[[#This Row],[BAĞLANTI]])</f>
        <v>0</v>
      </c>
      <c r="BT212" s="8">
        <f>+SUMIFS(BT$2:BT$149,$CB$2:$CB$149,Table1[[#This Row],[BAĞLANTI]])</f>
        <v>0</v>
      </c>
      <c r="BU212" s="8">
        <f>+SUMIFS(BU$2:BU$149,$CB$2:$CB$149,Table1[[#This Row],[BAĞLANTI]])</f>
        <v>0</v>
      </c>
      <c r="BV212" s="8">
        <f>+SUMIFS(BV$2:BV$149,$CB$2:$CB$149,Table1[[#This Row],[BAĞLANTI]])</f>
        <v>0</v>
      </c>
      <c r="BW212" s="8">
        <f>+SUMIFS(BW$2:BW$149,$CB$2:$CB$149,Table1[[#This Row],[BAĞLANTI]])</f>
        <v>0</v>
      </c>
      <c r="BX212" s="8">
        <f>+SUMIFS(BX$2:BX$149,$CB$2:$CB$149,Table1[[#This Row],[BAĞLANTI]])</f>
        <v>0</v>
      </c>
      <c r="BY212" s="8">
        <f>+SUMIFS(BY$2:BY$149,$CB$2:$CB$149,Table1[[#This Row],[BAĞLANTI]])</f>
        <v>0</v>
      </c>
      <c r="BZ212" s="8">
        <f>+SUMIFS(BZ$2:BZ$149,$CB$2:$CB$149,Table1[[#This Row],[BAĞLANTI]])</f>
        <v>0</v>
      </c>
      <c r="CA212" s="8">
        <f>+SUMIFS(CA$2:CA$149,$CB$2:$CB$149,Table1[[#This Row],[BAĞLANTI]])</f>
        <v>0</v>
      </c>
      <c r="CB212" s="8" t="s">
        <v>5415</v>
      </c>
    </row>
    <row r="213" spans="1:80">
      <c r="A213" s="3" t="s">
        <v>5444</v>
      </c>
      <c r="B213" t="s">
        <v>22</v>
      </c>
      <c r="C213" t="s">
        <v>332</v>
      </c>
      <c r="D213" t="s">
        <v>5182</v>
      </c>
      <c r="E213" t="s">
        <v>5183</v>
      </c>
      <c r="F213" s="77" t="s">
        <v>4973</v>
      </c>
      <c r="G213" t="s">
        <v>4983</v>
      </c>
      <c r="H213" s="3" t="s">
        <v>4984</v>
      </c>
      <c r="I213" s="3" t="s">
        <v>5194</v>
      </c>
      <c r="J213" s="78"/>
      <c r="K213" s="78"/>
      <c r="M213" s="78"/>
      <c r="N213" s="8">
        <f>+SUMIFS(N$2:N$149,$CB$2:$CB$149,Table1[[#This Row],[BAĞLANTI]])</f>
        <v>0</v>
      </c>
      <c r="O213" s="8">
        <f>+SUMIFS(O$2:O$149,$CB$2:$CB$149,Table1[[#This Row],[BAĞLANTI]])</f>
        <v>0</v>
      </c>
      <c r="P213" s="8">
        <f>+SUMIFS(P$2:P$149,$CB$2:$CB$149,Table1[[#This Row],[BAĞLANTI]])</f>
        <v>0</v>
      </c>
      <c r="Q213" s="8">
        <f>+SUMIFS(Q$2:Q$149,$CB$2:$CB$149,Table1[[#This Row],[BAĞLANTI]])</f>
        <v>0</v>
      </c>
      <c r="R213" s="8">
        <f>+SUMIFS(R$2:R$149,$CB$2:$CB$149,Table1[[#This Row],[BAĞLANTI]])</f>
        <v>0</v>
      </c>
      <c r="S213" s="8">
        <f>+SUMIFS(S$2:S$149,$CB$2:$CB$149,Table1[[#This Row],[BAĞLANTI]])</f>
        <v>0</v>
      </c>
      <c r="T213" s="8">
        <f>+SUMIFS(T$2:T$149,$CB$2:$CB$149,Table1[[#This Row],[BAĞLANTI]])</f>
        <v>0</v>
      </c>
      <c r="U213" s="8">
        <f>+SUMIFS(U$2:U$149,$CB$2:$CB$149,Table1[[#This Row],[BAĞLANTI]])</f>
        <v>0</v>
      </c>
      <c r="V213" s="8">
        <f>+SUMIFS(V$2:V$149,$CB$2:$CB$149,Table1[[#This Row],[BAĞLANTI]])</f>
        <v>31318</v>
      </c>
      <c r="W213" s="8">
        <f>+SUMIFS(W$2:W$149,$CB$2:$CB$149,Table1[[#This Row],[BAĞLANTI]])</f>
        <v>0</v>
      </c>
      <c r="X213" s="10">
        <f>+SUMIFS(X$2:X$149,$CB$2:$CB$149,Table1[[#This Row],[BAĞLANTI]])</f>
        <v>0</v>
      </c>
      <c r="Y213" s="8">
        <f>+SUMIFS(Y$2:Y$149,$CB$2:$CB$149,Table1[[#This Row],[BAĞLANTI]])</f>
        <v>640.39872611464966</v>
      </c>
      <c r="Z213" s="8">
        <f>+SUMIFS(Z$2:Z$149,$CB$2:$CB$149,Table1[[#This Row],[BAĞLANTI]])</f>
        <v>640.39872611464966</v>
      </c>
      <c r="AA213" s="8">
        <f>+SUMIFS(AA$2:AA$149,$CB$2:$CB$149,Table1[[#This Row],[BAĞLANTI]])</f>
        <v>640.39872611464966</v>
      </c>
      <c r="AB213" s="8">
        <f>+SUMIFS(AB$2:AB$149,$CB$2:$CB$149,Table1[[#This Row],[BAĞLANTI]])</f>
        <v>640.39872611464966</v>
      </c>
      <c r="AC213" s="8">
        <f>+SUMIFS(AC$2:AC$149,$CB$2:$CB$149,Table1[[#This Row],[BAĞLANTI]])</f>
        <v>1221.2254777070061</v>
      </c>
      <c r="AD213" s="8">
        <f>+SUMIFS(AD$2:AD$149,$CB$2:$CB$149,Table1[[#This Row],[BAĞLANTI]])</f>
        <v>1221.2254777070061</v>
      </c>
      <c r="AE213" s="8">
        <f>+SUMIFS(AE$2:AE$149,$CB$2:$CB$149,Table1[[#This Row],[BAĞLANTI]])</f>
        <v>1519.0853503184701</v>
      </c>
      <c r="AF213" s="8">
        <f>+SUMIFS(AF$2:AF$149,$CB$2:$CB$149,Table1[[#This Row],[BAĞLANTI]])</f>
        <v>1519.0853503184701</v>
      </c>
      <c r="AG213" s="8">
        <f>+SUMIFS(AG$2:AG$149,$CB$2:$CB$149,Table1[[#This Row],[BAĞLANTI]])</f>
        <v>804.22165605095506</v>
      </c>
      <c r="AH213" s="8">
        <f>+SUMIFS(AH$2:AH$149,$CB$2:$CB$149,Table1[[#This Row],[BAĞLANTI]])</f>
        <v>1102.0815286624206</v>
      </c>
      <c r="AI213" s="8">
        <f>+SUMIFS(AI$2:AI$149,$CB$2:$CB$149,Table1[[#This Row],[BAĞLANTI]])</f>
        <v>1102.0815286624206</v>
      </c>
      <c r="AJ213" s="8">
        <f>+SUMIFS(AJ$2:AJ$149,$CB$2:$CB$149,Table1[[#This Row],[BAĞLANTI]])</f>
        <v>1072.295541401274</v>
      </c>
      <c r="AK213" s="8">
        <f>+SUMIFS(AK$2:AK$149,$CB$2:$CB$149,Table1[[#This Row],[BAĞLANTI]])</f>
        <v>1712.6942675159244</v>
      </c>
      <c r="AL213" s="8">
        <f>+SUMIFS(AL$2:AL$149,$CB$2:$CB$149,Table1[[#This Row],[BAĞLANTI]])</f>
        <v>193.60891719745209</v>
      </c>
      <c r="AM213" s="8">
        <f>+SUMIFS(AM$2:AM$149,$CB$2:$CB$149,Table1[[#This Row],[BAĞLANTI]])</f>
        <v>0</v>
      </c>
      <c r="AN213" s="8">
        <f>+SUMIFS(AN$2:AN$149,$CB$2:$CB$149,Table1[[#This Row],[BAĞLANTI]])</f>
        <v>0</v>
      </c>
      <c r="AO213" s="8">
        <f>+SUMIFS(AO$2:AO$149,$CB$2:$CB$149,Table1[[#This Row],[BAĞLANTI]])</f>
        <v>0</v>
      </c>
      <c r="AP213" s="8">
        <f>+SUMIFS(AP$2:AP$149,$CB$2:$CB$149,Table1[[#This Row],[BAĞLANTI]])</f>
        <v>0</v>
      </c>
      <c r="AQ213" s="8">
        <f>+SUMIFS(AQ$2:AQ$149,$CB$2:$CB$149,Table1[[#This Row],[BAĞLANTI]])</f>
        <v>0</v>
      </c>
      <c r="AR213" s="8">
        <f>+SUMIFS(AR$2:AR$149,$CB$2:$CB$149,Table1[[#This Row],[BAĞLANTI]])</f>
        <v>0</v>
      </c>
      <c r="AS213" s="8">
        <f>+SUMIFS(AS$2:AS$149,$CB$2:$CB$149,Table1[[#This Row],[BAĞLANTI]])</f>
        <v>0</v>
      </c>
      <c r="AT213" s="8">
        <f>+SUMIFS(AT$2:AT$149,$CB$2:$CB$149,Table1[[#This Row],[BAĞLANTI]])</f>
        <v>0</v>
      </c>
      <c r="AU213" s="8">
        <f>+SUMIFS(AU$2:AU$149,$CB$2:$CB$149,Table1[[#This Row],[BAĞLANTI]])</f>
        <v>0</v>
      </c>
      <c r="AV213" s="8">
        <f>+SUMIFS(AV$2:AV$149,$CB$2:$CB$149,Table1[[#This Row],[BAĞLANTI]])</f>
        <v>0</v>
      </c>
      <c r="AW213" s="8">
        <f>+SUMIFS(AW$2:AW$149,$CB$2:$CB$149,Table1[[#This Row],[BAĞLANTI]])</f>
        <v>0</v>
      </c>
      <c r="AX213" s="8">
        <f>+SUMIFS(AX$2:AX$149,$CB$2:$CB$149,Table1[[#This Row],[BAĞLANTI]])</f>
        <v>0</v>
      </c>
      <c r="AY213" s="8">
        <f>+SUMIFS(AY$2:AY$149,$CB$2:$CB$149,Table1[[#This Row],[BAĞLANTI]])</f>
        <v>0</v>
      </c>
      <c r="AZ213" s="8">
        <f>+SUMIFS(AZ$2:AZ$149,$CB$2:$CB$149,Table1[[#This Row],[BAĞLANTI]])</f>
        <v>0</v>
      </c>
      <c r="BA213" s="8">
        <f>+SUMIFS(BA$2:BA$149,$CB$2:$CB$149,Table1[[#This Row],[BAĞLANTI]])</f>
        <v>0</v>
      </c>
      <c r="BB213" s="8">
        <f>+SUMIFS(BB$2:BB$149,$CB$2:$CB$149,Table1[[#This Row],[BAĞLANTI]])</f>
        <v>0</v>
      </c>
      <c r="BC213" s="8">
        <f>+SUMIFS(BC$2:BC$149,$CB$2:$CB$149,Table1[[#This Row],[BAĞLANTI]])</f>
        <v>0</v>
      </c>
      <c r="BD213" s="8">
        <f>+SUMIFS(BD$2:BD$149,$CB$2:$CB$149,Table1[[#This Row],[BAĞLANTI]])</f>
        <v>0</v>
      </c>
      <c r="BE213" s="8">
        <f>+SUMIFS(BE$2:BE$149,$CB$2:$CB$149,Table1[[#This Row],[BAĞLANTI]])</f>
        <v>0</v>
      </c>
      <c r="BF213" s="8">
        <f>+SUMIFS(BF$2:BF$149,$CB$2:$CB$149,Table1[[#This Row],[BAĞLANTI]])</f>
        <v>0</v>
      </c>
      <c r="BG213" s="8">
        <f>+SUMIFS(BG$2:BG$149,$CB$2:$CB$149,Table1[[#This Row],[BAĞLANTI]])</f>
        <v>0</v>
      </c>
      <c r="BH213" s="8">
        <f>+SUMIFS(BH$2:BH$149,$CB$2:$CB$149,Table1[[#This Row],[BAĞLANTI]])</f>
        <v>0</v>
      </c>
      <c r="BI213" s="8">
        <f>+SUMIFS(BI$2:BI$149,$CB$2:$CB$149,Table1[[#This Row],[BAĞLANTI]])</f>
        <v>0</v>
      </c>
      <c r="BJ213" s="8">
        <f>+SUMIFS(BJ$2:BJ$149,$CB$2:$CB$149,Table1[[#This Row],[BAĞLANTI]])</f>
        <v>0</v>
      </c>
      <c r="BK213" s="8">
        <f>+SUMIFS(BK$2:BK$149,$CB$2:$CB$149,Table1[[#This Row],[BAĞLANTI]])</f>
        <v>0</v>
      </c>
      <c r="BL213" s="8">
        <f>+SUMIFS(BL$2:BL$149,$CB$2:$CB$149,Table1[[#This Row],[BAĞLANTI]])</f>
        <v>0</v>
      </c>
      <c r="BM213" s="8">
        <f>+SUMIFS(BM$2:BM$149,$CB$2:$CB$149,Table1[[#This Row],[BAĞLANTI]])</f>
        <v>0</v>
      </c>
      <c r="BN213" s="8">
        <f>+SUMIFS(BN$2:BN$149,$CB$2:$CB$149,Table1[[#This Row],[BAĞLANTI]])</f>
        <v>0</v>
      </c>
      <c r="BO213" s="8">
        <f>+SUMIFS(BO$2:BO$149,$CB$2:$CB$149,Table1[[#This Row],[BAĞLANTI]])</f>
        <v>0</v>
      </c>
      <c r="BP213" s="8">
        <f>+SUMIFS(BP$2:BP$149,$CB$2:$CB$149,Table1[[#This Row],[BAĞLANTI]])</f>
        <v>0</v>
      </c>
      <c r="BQ213" s="8">
        <f>+SUMIFS(BQ$2:BQ$149,$CB$2:$CB$149,Table1[[#This Row],[BAĞLANTI]])</f>
        <v>0</v>
      </c>
      <c r="BR213" s="8">
        <f>+SUMIFS(BR$2:BR$149,$CB$2:$CB$149,Table1[[#This Row],[BAĞLANTI]])</f>
        <v>0</v>
      </c>
      <c r="BS213" s="8">
        <f>+SUMIFS(BS$2:BS$149,$CB$2:$CB$149,Table1[[#This Row],[BAĞLANTI]])</f>
        <v>0</v>
      </c>
      <c r="BT213" s="8">
        <f>+SUMIFS(BT$2:BT$149,$CB$2:$CB$149,Table1[[#This Row],[BAĞLANTI]])</f>
        <v>0</v>
      </c>
      <c r="BU213" s="8">
        <f>+SUMIFS(BU$2:BU$149,$CB$2:$CB$149,Table1[[#This Row],[BAĞLANTI]])</f>
        <v>0</v>
      </c>
      <c r="BV213" s="8">
        <f>+SUMIFS(BV$2:BV$149,$CB$2:$CB$149,Table1[[#This Row],[BAĞLANTI]])</f>
        <v>0</v>
      </c>
      <c r="BW213" s="8">
        <f>+SUMIFS(BW$2:BW$149,$CB$2:$CB$149,Table1[[#This Row],[BAĞLANTI]])</f>
        <v>0</v>
      </c>
      <c r="BX213" s="8">
        <f>+SUMIFS(BX$2:BX$149,$CB$2:$CB$149,Table1[[#This Row],[BAĞLANTI]])</f>
        <v>0</v>
      </c>
      <c r="BY213" s="8">
        <f>+SUMIFS(BY$2:BY$149,$CB$2:$CB$149,Table1[[#This Row],[BAĞLANTI]])</f>
        <v>0</v>
      </c>
      <c r="BZ213" s="8">
        <f>+SUMIFS(BZ$2:BZ$149,$CB$2:$CB$149,Table1[[#This Row],[BAĞLANTI]])</f>
        <v>0</v>
      </c>
      <c r="CA213" s="8">
        <f>+SUMIFS(CA$2:CA$149,$CB$2:$CB$149,Table1[[#This Row],[BAĞLANTI]])</f>
        <v>0</v>
      </c>
      <c r="CB213" s="8" t="s">
        <v>5416</v>
      </c>
    </row>
    <row r="214" spans="1:80">
      <c r="A214" s="3" t="s">
        <v>5444</v>
      </c>
      <c r="B214" t="s">
        <v>23</v>
      </c>
      <c r="C214" t="s">
        <v>336</v>
      </c>
      <c r="D214" t="s">
        <v>72</v>
      </c>
      <c r="E214" t="s">
        <v>4974</v>
      </c>
      <c r="F214" s="77" t="s">
        <v>4973</v>
      </c>
      <c r="G214" t="s">
        <v>4983</v>
      </c>
      <c r="H214" s="3" t="s">
        <v>4984</v>
      </c>
      <c r="I214" s="3" t="s">
        <v>5194</v>
      </c>
      <c r="J214" s="78"/>
      <c r="K214" s="78"/>
      <c r="M214" s="78"/>
      <c r="N214" s="8">
        <f>+SUMIFS(N$2:N$149,$CB$2:$CB$149,Table1[[#This Row],[BAĞLANTI]])</f>
        <v>0</v>
      </c>
      <c r="O214" s="8">
        <f>+SUMIFS(O$2:O$149,$CB$2:$CB$149,Table1[[#This Row],[BAĞLANTI]])</f>
        <v>0</v>
      </c>
      <c r="P214" s="8">
        <f>+SUMIFS(P$2:P$149,$CB$2:$CB$149,Table1[[#This Row],[BAĞLANTI]])</f>
        <v>0</v>
      </c>
      <c r="Q214" s="8">
        <f>+SUMIFS(Q$2:Q$149,$CB$2:$CB$149,Table1[[#This Row],[BAĞLANTI]])</f>
        <v>0</v>
      </c>
      <c r="R214" s="8">
        <f>+SUMIFS(R$2:R$149,$CB$2:$CB$149,Table1[[#This Row],[BAĞLANTI]])</f>
        <v>252</v>
      </c>
      <c r="S214" s="8">
        <f>+SUMIFS(S$2:S$149,$CB$2:$CB$149,Table1[[#This Row],[BAĞLANTI]])</f>
        <v>5652</v>
      </c>
      <c r="T214" s="8">
        <f>+SUMIFS(T$2:T$149,$CB$2:$CB$149,Table1[[#This Row],[BAĞLANTI]])</f>
        <v>7524</v>
      </c>
      <c r="U214" s="8">
        <f>+SUMIFS(U$2:U$149,$CB$2:$CB$149,Table1[[#This Row],[BAĞLANTI]])</f>
        <v>14649</v>
      </c>
      <c r="V214" s="8">
        <f>+SUMIFS(V$2:V$149,$CB$2:$CB$149,Table1[[#This Row],[BAĞLANTI]])</f>
        <v>21549</v>
      </c>
      <c r="W214" s="8">
        <f>+SUMIFS(W$2:W$149,$CB$2:$CB$149,Table1[[#This Row],[BAĞLANTI]])</f>
        <v>24461</v>
      </c>
      <c r="X214" s="10">
        <f>+SUMIFS(X$2:X$149,$CB$2:$CB$149,Table1[[#This Row],[BAĞLANTI]])</f>
        <v>19847</v>
      </c>
      <c r="Y214" s="8">
        <f>+SUMIFS(Y$2:Y$149,$CB$2:$CB$149,Table1[[#This Row],[BAĞLANTI]])</f>
        <v>471.35364238410631</v>
      </c>
      <c r="Z214" s="8">
        <f>+SUMIFS(Z$2:Z$149,$CB$2:$CB$149,Table1[[#This Row],[BAĞLANTI]])</f>
        <v>433.85960264900649</v>
      </c>
      <c r="AA214" s="8">
        <f>+SUMIFS(AA$2:AA$149,$CB$2:$CB$149,Table1[[#This Row],[BAĞLANTI]])</f>
        <v>235.67682119205281</v>
      </c>
      <c r="AB214" s="8">
        <f>+SUMIFS(AB$2:AB$149,$CB$2:$CB$149,Table1[[#This Row],[BAĞLANTI]])</f>
        <v>235.67682119205281</v>
      </c>
      <c r="AC214" s="8">
        <f>+SUMIFS(AC$2:AC$149,$CB$2:$CB$149,Table1[[#This Row],[BAĞLANTI]])</f>
        <v>235.67682119205281</v>
      </c>
      <c r="AD214" s="8">
        <f>+SUMIFS(AD$2:AD$149,$CB$2:$CB$149,Table1[[#This Row],[BAĞLANTI]])</f>
        <v>235.67682119205281</v>
      </c>
      <c r="AE214" s="8">
        <f>+SUMIFS(AE$2:AE$149,$CB$2:$CB$149,Table1[[#This Row],[BAĞLANTI]])</f>
        <v>235.67682119205281</v>
      </c>
      <c r="AF214" s="8">
        <f>+SUMIFS(AF$2:AF$149,$CB$2:$CB$149,Table1[[#This Row],[BAĞLANTI]])</f>
        <v>176.75761589403962</v>
      </c>
      <c r="AG214" s="8">
        <f>+SUMIFS(AG$2:AG$149,$CB$2:$CB$149,Table1[[#This Row],[BAĞLANTI]])</f>
        <v>235.67682119205281</v>
      </c>
      <c r="AH214" s="8">
        <f>+SUMIFS(AH$2:AH$149,$CB$2:$CB$149,Table1[[#This Row],[BAĞLANTI]])</f>
        <v>176.75761589403962</v>
      </c>
      <c r="AI214" s="8">
        <f>+SUMIFS(AI$2:AI$149,$CB$2:$CB$149,Table1[[#This Row],[BAĞLANTI]])</f>
        <v>235.67682119205281</v>
      </c>
      <c r="AJ214" s="8">
        <f>+SUMIFS(AJ$2:AJ$149,$CB$2:$CB$149,Table1[[#This Row],[BAĞLANTI]])</f>
        <v>235.67682119205281</v>
      </c>
      <c r="AK214" s="8">
        <f>+SUMIFS(AK$2:AK$149,$CB$2:$CB$149,Table1[[#This Row],[BAĞLANTI]])</f>
        <v>235.67682119205281</v>
      </c>
      <c r="AL214" s="8">
        <f>+SUMIFS(AL$2:AL$149,$CB$2:$CB$149,Table1[[#This Row],[BAĞLANTI]])</f>
        <v>235.67682119205281</v>
      </c>
      <c r="AM214" s="8">
        <f>+SUMIFS(AM$2:AM$149,$CB$2:$CB$149,Table1[[#This Row],[BAĞLANTI]])</f>
        <v>235.67682119205281</v>
      </c>
      <c r="AN214" s="8">
        <f>+SUMIFS(AN$2:AN$149,$CB$2:$CB$149,Table1[[#This Row],[BAĞLANTI]])</f>
        <v>235.67682119205281</v>
      </c>
      <c r="AO214" s="8">
        <f>+SUMIFS(AO$2:AO$149,$CB$2:$CB$149,Table1[[#This Row],[BAĞLANTI]])</f>
        <v>235.67682119205281</v>
      </c>
      <c r="AP214" s="8">
        <f>+SUMIFS(AP$2:AP$149,$CB$2:$CB$149,Table1[[#This Row],[BAĞLANTI]])</f>
        <v>235.67682119205281</v>
      </c>
      <c r="AQ214" s="8">
        <f>+SUMIFS(AQ$2:AQ$149,$CB$2:$CB$149,Table1[[#This Row],[BAĞLANTI]])</f>
        <v>176.75761589403962</v>
      </c>
      <c r="AR214" s="8">
        <f>+SUMIFS(AR$2:AR$149,$CB$2:$CB$149,Table1[[#This Row],[BAĞLANTI]])</f>
        <v>208.89536423841042</v>
      </c>
      <c r="AS214" s="8">
        <f>+SUMIFS(AS$2:AS$149,$CB$2:$CB$149,Table1[[#This Row],[BAĞLANTI]])</f>
        <v>128.55099337748374</v>
      </c>
      <c r="AT214" s="8">
        <f>+SUMIFS(AT$2:AT$149,$CB$2:$CB$149,Table1[[#This Row],[BAĞLANTI]])</f>
        <v>396.36556291390735</v>
      </c>
      <c r="AU214" s="8">
        <f>+SUMIFS(AU$2:AU$149,$CB$2:$CB$149,Table1[[#This Row],[BAĞLANTI]])</f>
        <v>128.55099337748374</v>
      </c>
      <c r="AV214" s="8">
        <f>+SUMIFS(AV$2:AV$149,$CB$2:$CB$149,Table1[[#This Row],[BAĞLANTI]])</f>
        <v>128.55099337748374</v>
      </c>
      <c r="AW214" s="8">
        <f>+SUMIFS(AW$2:AW$149,$CB$2:$CB$149,Table1[[#This Row],[BAĞLANTI]])</f>
        <v>128.55099337748374</v>
      </c>
      <c r="AX214" s="8">
        <f>+SUMIFS(AX$2:AX$149,$CB$2:$CB$149,Table1[[#This Row],[BAĞLANTI]])</f>
        <v>128.55099337748374</v>
      </c>
      <c r="AY214" s="8">
        <f>+SUMIFS(AY$2:AY$149,$CB$2:$CB$149,Table1[[#This Row],[BAĞLANTI]])</f>
        <v>83.022516556291137</v>
      </c>
      <c r="AZ214" s="8">
        <f>+SUMIFS(AZ$2:AZ$149,$CB$2:$CB$149,Table1[[#This Row],[BAĞLANTI]])</f>
        <v>0</v>
      </c>
      <c r="BA214" s="8">
        <f>+SUMIFS(BA$2:BA$149,$CB$2:$CB$149,Table1[[#This Row],[BAĞLANTI]])</f>
        <v>0</v>
      </c>
      <c r="BB214" s="8">
        <f>+SUMIFS(BB$2:BB$149,$CB$2:$CB$149,Table1[[#This Row],[BAĞLANTI]])</f>
        <v>0</v>
      </c>
      <c r="BC214" s="8">
        <f>+SUMIFS(BC$2:BC$149,$CB$2:$CB$149,Table1[[#This Row],[BAĞLANTI]])</f>
        <v>0</v>
      </c>
      <c r="BD214" s="8">
        <f>+SUMIFS(BD$2:BD$149,$CB$2:$CB$149,Table1[[#This Row],[BAĞLANTI]])</f>
        <v>0</v>
      </c>
      <c r="BE214" s="8">
        <f>+SUMIFS(BE$2:BE$149,$CB$2:$CB$149,Table1[[#This Row],[BAĞLANTI]])</f>
        <v>0</v>
      </c>
      <c r="BF214" s="8">
        <f>+SUMIFS(BF$2:BF$149,$CB$2:$CB$149,Table1[[#This Row],[BAĞLANTI]])</f>
        <v>0</v>
      </c>
      <c r="BG214" s="8">
        <f>+SUMIFS(BG$2:BG$149,$CB$2:$CB$149,Table1[[#This Row],[BAĞLANTI]])</f>
        <v>0</v>
      </c>
      <c r="BH214" s="8">
        <f>+SUMIFS(BH$2:BH$149,$CB$2:$CB$149,Table1[[#This Row],[BAĞLANTI]])</f>
        <v>0</v>
      </c>
      <c r="BI214" s="8">
        <f>+SUMIFS(BI$2:BI$149,$CB$2:$CB$149,Table1[[#This Row],[BAĞLANTI]])</f>
        <v>0</v>
      </c>
      <c r="BJ214" s="8">
        <f>+SUMIFS(BJ$2:BJ$149,$CB$2:$CB$149,Table1[[#This Row],[BAĞLANTI]])</f>
        <v>0</v>
      </c>
      <c r="BK214" s="8">
        <f>+SUMIFS(BK$2:BK$149,$CB$2:$CB$149,Table1[[#This Row],[BAĞLANTI]])</f>
        <v>0</v>
      </c>
      <c r="BL214" s="8">
        <f>+SUMIFS(BL$2:BL$149,$CB$2:$CB$149,Table1[[#This Row],[BAĞLANTI]])</f>
        <v>0</v>
      </c>
      <c r="BM214" s="8">
        <f>+SUMIFS(BM$2:BM$149,$CB$2:$CB$149,Table1[[#This Row],[BAĞLANTI]])</f>
        <v>0</v>
      </c>
      <c r="BN214" s="8">
        <f>+SUMIFS(BN$2:BN$149,$CB$2:$CB$149,Table1[[#This Row],[BAĞLANTI]])</f>
        <v>0</v>
      </c>
      <c r="BO214" s="8">
        <f>+SUMIFS(BO$2:BO$149,$CB$2:$CB$149,Table1[[#This Row],[BAĞLANTI]])</f>
        <v>0</v>
      </c>
      <c r="BP214" s="8">
        <f>+SUMIFS(BP$2:BP$149,$CB$2:$CB$149,Table1[[#This Row],[BAĞLANTI]])</f>
        <v>0</v>
      </c>
      <c r="BQ214" s="8">
        <f>+SUMIFS(BQ$2:BQ$149,$CB$2:$CB$149,Table1[[#This Row],[BAĞLANTI]])</f>
        <v>0</v>
      </c>
      <c r="BR214" s="8">
        <f>+SUMIFS(BR$2:BR$149,$CB$2:$CB$149,Table1[[#This Row],[BAĞLANTI]])</f>
        <v>0</v>
      </c>
      <c r="BS214" s="8">
        <f>+SUMIFS(BS$2:BS$149,$CB$2:$CB$149,Table1[[#This Row],[BAĞLANTI]])</f>
        <v>0</v>
      </c>
      <c r="BT214" s="8">
        <f>+SUMIFS(BT$2:BT$149,$CB$2:$CB$149,Table1[[#This Row],[BAĞLANTI]])</f>
        <v>0</v>
      </c>
      <c r="BU214" s="8">
        <f>+SUMIFS(BU$2:BU$149,$CB$2:$CB$149,Table1[[#This Row],[BAĞLANTI]])</f>
        <v>0</v>
      </c>
      <c r="BV214" s="8">
        <f>+SUMIFS(BV$2:BV$149,$CB$2:$CB$149,Table1[[#This Row],[BAĞLANTI]])</f>
        <v>0</v>
      </c>
      <c r="BW214" s="8">
        <f>+SUMIFS(BW$2:BW$149,$CB$2:$CB$149,Table1[[#This Row],[BAĞLANTI]])</f>
        <v>0</v>
      </c>
      <c r="BX214" s="8">
        <f>+SUMIFS(BX$2:BX$149,$CB$2:$CB$149,Table1[[#This Row],[BAĞLANTI]])</f>
        <v>0</v>
      </c>
      <c r="BY214" s="8">
        <f>+SUMIFS(BY$2:BY$149,$CB$2:$CB$149,Table1[[#This Row],[BAĞLANTI]])</f>
        <v>0</v>
      </c>
      <c r="BZ214" s="8">
        <f>+SUMIFS(BZ$2:BZ$149,$CB$2:$CB$149,Table1[[#This Row],[BAĞLANTI]])</f>
        <v>0</v>
      </c>
      <c r="CA214" s="8">
        <f>+SUMIFS(CA$2:CA$149,$CB$2:$CB$149,Table1[[#This Row],[BAĞLANTI]])</f>
        <v>0</v>
      </c>
      <c r="CB214" s="8" t="s">
        <v>5417</v>
      </c>
    </row>
    <row r="215" spans="1:80">
      <c r="A215" s="3" t="s">
        <v>5444</v>
      </c>
      <c r="B215" t="s">
        <v>23</v>
      </c>
      <c r="C215" t="s">
        <v>336</v>
      </c>
      <c r="D215" t="s">
        <v>74</v>
      </c>
      <c r="E215" t="s">
        <v>4975</v>
      </c>
      <c r="F215" s="77" t="s">
        <v>4973</v>
      </c>
      <c r="G215" t="s">
        <v>4983</v>
      </c>
      <c r="H215" s="3" t="s">
        <v>4984</v>
      </c>
      <c r="I215" s="3" t="s">
        <v>5194</v>
      </c>
      <c r="J215" s="78"/>
      <c r="K215" s="78"/>
      <c r="M215" s="78"/>
      <c r="N215" s="8">
        <f>+SUMIFS(N$2:N$149,$CB$2:$CB$149,Table1[[#This Row],[BAĞLANTI]])</f>
        <v>0</v>
      </c>
      <c r="O215" s="8">
        <f>+SUMIFS(O$2:O$149,$CB$2:$CB$149,Table1[[#This Row],[BAĞLANTI]])</f>
        <v>0</v>
      </c>
      <c r="P215" s="8">
        <f>+SUMIFS(P$2:P$149,$CB$2:$CB$149,Table1[[#This Row],[BAĞLANTI]])</f>
        <v>0</v>
      </c>
      <c r="Q215" s="8">
        <f>+SUMIFS(Q$2:Q$149,$CB$2:$CB$149,Table1[[#This Row],[BAĞLANTI]])</f>
        <v>0</v>
      </c>
      <c r="R215" s="8">
        <f>+SUMIFS(R$2:R$149,$CB$2:$CB$149,Table1[[#This Row],[BAĞLANTI]])</f>
        <v>1182</v>
      </c>
      <c r="S215" s="8">
        <f>+SUMIFS(S$2:S$149,$CB$2:$CB$149,Table1[[#This Row],[BAĞLANTI]])</f>
        <v>3500</v>
      </c>
      <c r="T215" s="8">
        <f>+SUMIFS(T$2:T$149,$CB$2:$CB$149,Table1[[#This Row],[BAĞLANTI]])</f>
        <v>5703</v>
      </c>
      <c r="U215" s="8">
        <f>+SUMIFS(U$2:U$149,$CB$2:$CB$149,Table1[[#This Row],[BAĞLANTI]])</f>
        <v>14781</v>
      </c>
      <c r="V215" s="8">
        <f>+SUMIFS(V$2:V$149,$CB$2:$CB$149,Table1[[#This Row],[BAĞLANTI]])</f>
        <v>7458</v>
      </c>
      <c r="W215" s="8">
        <f>+SUMIFS(W$2:W$149,$CB$2:$CB$149,Table1[[#This Row],[BAĞLANTI]])</f>
        <v>12675</v>
      </c>
      <c r="X215" s="10">
        <f>+SUMIFS(X$2:X$149,$CB$2:$CB$149,Table1[[#This Row],[BAĞLANTI]])</f>
        <v>7452</v>
      </c>
      <c r="Y215" s="8">
        <f>+SUMIFS(Y$2:Y$149,$CB$2:$CB$149,Table1[[#This Row],[BAĞLANTI]])</f>
        <v>4557.7994215291837</v>
      </c>
      <c r="Z215" s="8">
        <f>+SUMIFS(Z$2:Z$149,$CB$2:$CB$149,Table1[[#This Row],[BAĞLANTI]])</f>
        <v>3058.1183350100496</v>
      </c>
      <c r="AA215" s="8">
        <f>+SUMIFS(AA$2:AA$149,$CB$2:$CB$149,Table1[[#This Row],[BAĞLANTI]])</f>
        <v>3058.1183350100496</v>
      </c>
      <c r="AB215" s="8">
        <f>+SUMIFS(AB$2:AB$149,$CB$2:$CB$149,Table1[[#This Row],[BAĞLANTI]])</f>
        <v>3304.3346327967906</v>
      </c>
      <c r="AC215" s="8">
        <f>+SUMIFS(AC$2:AC$149,$CB$2:$CB$149,Table1[[#This Row],[BAĞLANTI]])</f>
        <v>2655.2189386317891</v>
      </c>
      <c r="AD215" s="8">
        <f>+SUMIFS(AD$2:AD$149,$CB$2:$CB$149,Table1[[#This Row],[BAĞLANTI]])</f>
        <v>2274.7028420523143</v>
      </c>
      <c r="AE215" s="8">
        <f>+SUMIFS(AE$2:AE$149,$CB$2:$CB$149,Table1[[#This Row],[BAĞLANTI]])</f>
        <v>2274.7028420523143</v>
      </c>
      <c r="AF215" s="8">
        <f>+SUMIFS(AF$2:AF$149,$CB$2:$CB$149,Table1[[#This Row],[BAĞLANTI]])</f>
        <v>1066.004652917504</v>
      </c>
      <c r="AG215" s="8">
        <f>+SUMIFS(AG$2:AG$149,$CB$2:$CB$149,Table1[[#This Row],[BAĞLANTI]])</f>
        <v>0</v>
      </c>
      <c r="AH215" s="8">
        <f>+SUMIFS(AH$2:AH$149,$CB$2:$CB$149,Table1[[#This Row],[BAĞLANTI]])</f>
        <v>0</v>
      </c>
      <c r="AI215" s="8">
        <f>+SUMIFS(AI$2:AI$149,$CB$2:$CB$149,Table1[[#This Row],[BAĞLANTI]])</f>
        <v>0</v>
      </c>
      <c r="AJ215" s="8">
        <f>+SUMIFS(AJ$2:AJ$149,$CB$2:$CB$149,Table1[[#This Row],[BAĞLANTI]])</f>
        <v>0</v>
      </c>
      <c r="AK215" s="8">
        <f>+SUMIFS(AK$2:AK$149,$CB$2:$CB$149,Table1[[#This Row],[BAĞLANTI]])</f>
        <v>0</v>
      </c>
      <c r="AL215" s="8">
        <f>+SUMIFS(AL$2:AL$149,$CB$2:$CB$149,Table1[[#This Row],[BAĞLANTI]])</f>
        <v>0</v>
      </c>
      <c r="AM215" s="8">
        <f>+SUMIFS(AM$2:AM$149,$CB$2:$CB$149,Table1[[#This Row],[BAĞLANTI]])</f>
        <v>0</v>
      </c>
      <c r="AN215" s="8">
        <f>+SUMIFS(AN$2:AN$149,$CB$2:$CB$149,Table1[[#This Row],[BAĞLANTI]])</f>
        <v>0</v>
      </c>
      <c r="AO215" s="8">
        <f>+SUMIFS(AO$2:AO$149,$CB$2:$CB$149,Table1[[#This Row],[BAĞLANTI]])</f>
        <v>0</v>
      </c>
      <c r="AP215" s="8">
        <f>+SUMIFS(AP$2:AP$149,$CB$2:$CB$149,Table1[[#This Row],[BAĞLANTI]])</f>
        <v>0</v>
      </c>
      <c r="AQ215" s="8">
        <f>+SUMIFS(AQ$2:AQ$149,$CB$2:$CB$149,Table1[[#This Row],[BAĞLANTI]])</f>
        <v>0</v>
      </c>
      <c r="AR215" s="8">
        <f>+SUMIFS(AR$2:AR$149,$CB$2:$CB$149,Table1[[#This Row],[BAĞLANTI]])</f>
        <v>0</v>
      </c>
      <c r="AS215" s="8">
        <f>+SUMIFS(AS$2:AS$149,$CB$2:$CB$149,Table1[[#This Row],[BAĞLANTI]])</f>
        <v>0</v>
      </c>
      <c r="AT215" s="8">
        <f>+SUMIFS(AT$2:AT$149,$CB$2:$CB$149,Table1[[#This Row],[BAĞLANTI]])</f>
        <v>0</v>
      </c>
      <c r="AU215" s="8">
        <f>+SUMIFS(AU$2:AU$149,$CB$2:$CB$149,Table1[[#This Row],[BAĞLANTI]])</f>
        <v>0</v>
      </c>
      <c r="AV215" s="8">
        <f>+SUMIFS(AV$2:AV$149,$CB$2:$CB$149,Table1[[#This Row],[BAĞLANTI]])</f>
        <v>0</v>
      </c>
      <c r="AW215" s="8">
        <f>+SUMIFS(AW$2:AW$149,$CB$2:$CB$149,Table1[[#This Row],[BAĞLANTI]])</f>
        <v>0</v>
      </c>
      <c r="AX215" s="8">
        <f>+SUMIFS(AX$2:AX$149,$CB$2:$CB$149,Table1[[#This Row],[BAĞLANTI]])</f>
        <v>0</v>
      </c>
      <c r="AY215" s="8">
        <f>+SUMIFS(AY$2:AY$149,$CB$2:$CB$149,Table1[[#This Row],[BAĞLANTI]])</f>
        <v>0</v>
      </c>
      <c r="AZ215" s="8">
        <f>+SUMIFS(AZ$2:AZ$149,$CB$2:$CB$149,Table1[[#This Row],[BAĞLANTI]])</f>
        <v>0</v>
      </c>
      <c r="BA215" s="8">
        <f>+SUMIFS(BA$2:BA$149,$CB$2:$CB$149,Table1[[#This Row],[BAĞLANTI]])</f>
        <v>0</v>
      </c>
      <c r="BB215" s="8">
        <f>+SUMIFS(BB$2:BB$149,$CB$2:$CB$149,Table1[[#This Row],[BAĞLANTI]])</f>
        <v>0</v>
      </c>
      <c r="BC215" s="8">
        <f>+SUMIFS(BC$2:BC$149,$CB$2:$CB$149,Table1[[#This Row],[BAĞLANTI]])</f>
        <v>0</v>
      </c>
      <c r="BD215" s="8">
        <f>+SUMIFS(BD$2:BD$149,$CB$2:$CB$149,Table1[[#This Row],[BAĞLANTI]])</f>
        <v>0</v>
      </c>
      <c r="BE215" s="8">
        <f>+SUMIFS(BE$2:BE$149,$CB$2:$CB$149,Table1[[#This Row],[BAĞLANTI]])</f>
        <v>0</v>
      </c>
      <c r="BF215" s="8">
        <f>+SUMIFS(BF$2:BF$149,$CB$2:$CB$149,Table1[[#This Row],[BAĞLANTI]])</f>
        <v>0</v>
      </c>
      <c r="BG215" s="8">
        <f>+SUMIFS(BG$2:BG$149,$CB$2:$CB$149,Table1[[#This Row],[BAĞLANTI]])</f>
        <v>0</v>
      </c>
      <c r="BH215" s="8">
        <f>+SUMIFS(BH$2:BH$149,$CB$2:$CB$149,Table1[[#This Row],[BAĞLANTI]])</f>
        <v>0</v>
      </c>
      <c r="BI215" s="8">
        <f>+SUMIFS(BI$2:BI$149,$CB$2:$CB$149,Table1[[#This Row],[BAĞLANTI]])</f>
        <v>0</v>
      </c>
      <c r="BJ215" s="8">
        <f>+SUMIFS(BJ$2:BJ$149,$CB$2:$CB$149,Table1[[#This Row],[BAĞLANTI]])</f>
        <v>0</v>
      </c>
      <c r="BK215" s="8">
        <f>+SUMIFS(BK$2:BK$149,$CB$2:$CB$149,Table1[[#This Row],[BAĞLANTI]])</f>
        <v>0</v>
      </c>
      <c r="BL215" s="8">
        <f>+SUMIFS(BL$2:BL$149,$CB$2:$CB$149,Table1[[#This Row],[BAĞLANTI]])</f>
        <v>0</v>
      </c>
      <c r="BM215" s="8">
        <f>+SUMIFS(BM$2:BM$149,$CB$2:$CB$149,Table1[[#This Row],[BAĞLANTI]])</f>
        <v>0</v>
      </c>
      <c r="BN215" s="8">
        <f>+SUMIFS(BN$2:BN$149,$CB$2:$CB$149,Table1[[#This Row],[BAĞLANTI]])</f>
        <v>0</v>
      </c>
      <c r="BO215" s="8">
        <f>+SUMIFS(BO$2:BO$149,$CB$2:$CB$149,Table1[[#This Row],[BAĞLANTI]])</f>
        <v>0</v>
      </c>
      <c r="BP215" s="8">
        <f>+SUMIFS(BP$2:BP$149,$CB$2:$CB$149,Table1[[#This Row],[BAĞLANTI]])</f>
        <v>0</v>
      </c>
      <c r="BQ215" s="8">
        <f>+SUMIFS(BQ$2:BQ$149,$CB$2:$CB$149,Table1[[#This Row],[BAĞLANTI]])</f>
        <v>0</v>
      </c>
      <c r="BR215" s="8">
        <f>+SUMIFS(BR$2:BR$149,$CB$2:$CB$149,Table1[[#This Row],[BAĞLANTI]])</f>
        <v>0</v>
      </c>
      <c r="BS215" s="8">
        <f>+SUMIFS(BS$2:BS$149,$CB$2:$CB$149,Table1[[#This Row],[BAĞLANTI]])</f>
        <v>0</v>
      </c>
      <c r="BT215" s="8">
        <f>+SUMIFS(BT$2:BT$149,$CB$2:$CB$149,Table1[[#This Row],[BAĞLANTI]])</f>
        <v>0</v>
      </c>
      <c r="BU215" s="8">
        <f>+SUMIFS(BU$2:BU$149,$CB$2:$CB$149,Table1[[#This Row],[BAĞLANTI]])</f>
        <v>0</v>
      </c>
      <c r="BV215" s="8">
        <f>+SUMIFS(BV$2:BV$149,$CB$2:$CB$149,Table1[[#This Row],[BAĞLANTI]])</f>
        <v>0</v>
      </c>
      <c r="BW215" s="8">
        <f>+SUMIFS(BW$2:BW$149,$CB$2:$CB$149,Table1[[#This Row],[BAĞLANTI]])</f>
        <v>0</v>
      </c>
      <c r="BX215" s="8">
        <f>+SUMIFS(BX$2:BX$149,$CB$2:$CB$149,Table1[[#This Row],[BAĞLANTI]])</f>
        <v>0</v>
      </c>
      <c r="BY215" s="8">
        <f>+SUMIFS(BY$2:BY$149,$CB$2:$CB$149,Table1[[#This Row],[BAĞLANTI]])</f>
        <v>0</v>
      </c>
      <c r="BZ215" s="8">
        <f>+SUMIFS(BZ$2:BZ$149,$CB$2:$CB$149,Table1[[#This Row],[BAĞLANTI]])</f>
        <v>0</v>
      </c>
      <c r="CA215" s="8">
        <f>+SUMIFS(CA$2:CA$149,$CB$2:$CB$149,Table1[[#This Row],[BAĞLANTI]])</f>
        <v>0</v>
      </c>
      <c r="CB215" s="8" t="s">
        <v>5418</v>
      </c>
    </row>
    <row r="216" spans="1:80">
      <c r="A216" s="3" t="s">
        <v>5444</v>
      </c>
      <c r="B216" t="s">
        <v>23</v>
      </c>
      <c r="C216" t="s">
        <v>336</v>
      </c>
      <c r="D216" t="s">
        <v>5182</v>
      </c>
      <c r="E216" t="s">
        <v>5183</v>
      </c>
      <c r="F216" s="77" t="s">
        <v>4973</v>
      </c>
      <c r="G216" t="s">
        <v>4983</v>
      </c>
      <c r="H216" s="3" t="s">
        <v>4984</v>
      </c>
      <c r="I216" s="3" t="s">
        <v>5194</v>
      </c>
      <c r="J216" s="78"/>
      <c r="K216" s="78"/>
      <c r="M216" s="78"/>
      <c r="N216" s="8">
        <f>+SUMIFS(N$2:N$149,$CB$2:$CB$149,Table1[[#This Row],[BAĞLANTI]])</f>
        <v>0</v>
      </c>
      <c r="O216" s="8">
        <f>+SUMIFS(O$2:O$149,$CB$2:$CB$149,Table1[[#This Row],[BAĞLANTI]])</f>
        <v>0</v>
      </c>
      <c r="P216" s="8">
        <f>+SUMIFS(P$2:P$149,$CB$2:$CB$149,Table1[[#This Row],[BAĞLANTI]])</f>
        <v>0</v>
      </c>
      <c r="Q216" s="8">
        <f>+SUMIFS(Q$2:Q$149,$CB$2:$CB$149,Table1[[#This Row],[BAĞLANTI]])</f>
        <v>0</v>
      </c>
      <c r="R216" s="8">
        <f>+SUMIFS(R$2:R$149,$CB$2:$CB$149,Table1[[#This Row],[BAĞLANTI]])</f>
        <v>0</v>
      </c>
      <c r="S216" s="8">
        <f>+SUMIFS(S$2:S$149,$CB$2:$CB$149,Table1[[#This Row],[BAĞLANTI]])</f>
        <v>0</v>
      </c>
      <c r="T216" s="8">
        <f>+SUMIFS(T$2:T$149,$CB$2:$CB$149,Table1[[#This Row],[BAĞLANTI]])</f>
        <v>3336</v>
      </c>
      <c r="U216" s="8">
        <f>+SUMIFS(U$2:U$149,$CB$2:$CB$149,Table1[[#This Row],[BAĞLANTI]])</f>
        <v>2826</v>
      </c>
      <c r="V216" s="8">
        <f>+SUMIFS(V$2:V$149,$CB$2:$CB$149,Table1[[#This Row],[BAĞLANTI]])</f>
        <v>3735</v>
      </c>
      <c r="W216" s="8">
        <f>+SUMIFS(W$2:W$149,$CB$2:$CB$149,Table1[[#This Row],[BAĞLANTI]])</f>
        <v>10878</v>
      </c>
      <c r="X216" s="10">
        <f>+SUMIFS(X$2:X$149,$CB$2:$CB$149,Table1[[#This Row],[BAĞLANTI]])</f>
        <v>19998</v>
      </c>
      <c r="Y216" s="8">
        <f>+SUMIFS(Y$2:Y$149,$CB$2:$CB$149,Table1[[#This Row],[BAĞLANTI]])</f>
        <v>2496.8757961783444</v>
      </c>
      <c r="Z216" s="8">
        <f>+SUMIFS(Z$2:Z$149,$CB$2:$CB$149,Table1[[#This Row],[BAĞLANTI]])</f>
        <v>2496.8757961783444</v>
      </c>
      <c r="AA216" s="8">
        <f>+SUMIFS(AA$2:AA$149,$CB$2:$CB$149,Table1[[#This Row],[BAĞLANTI]])</f>
        <v>2496.8757961783444</v>
      </c>
      <c r="AB216" s="8">
        <f>+SUMIFS(AB$2:AB$149,$CB$2:$CB$149,Table1[[#This Row],[BAĞLANTI]])</f>
        <v>2496.8757961783444</v>
      </c>
      <c r="AC216" s="8">
        <f>+SUMIFS(AC$2:AC$149,$CB$2:$CB$149,Table1[[#This Row],[BAĞLANTI]])</f>
        <v>4761.4840764331211</v>
      </c>
      <c r="AD216" s="8">
        <f>+SUMIFS(AD$2:AD$149,$CB$2:$CB$149,Table1[[#This Row],[BAĞLANTI]])</f>
        <v>4761.4840764331211</v>
      </c>
      <c r="AE216" s="8">
        <f>+SUMIFS(AE$2:AE$149,$CB$2:$CB$149,Table1[[#This Row],[BAĞLANTI]])</f>
        <v>5922.8216560509518</v>
      </c>
      <c r="AF216" s="8">
        <f>+SUMIFS(AF$2:AF$149,$CB$2:$CB$149,Table1[[#This Row],[BAĞLANTI]])</f>
        <v>5922.8216560509518</v>
      </c>
      <c r="AG216" s="8">
        <f>+SUMIFS(AG$2:AG$149,$CB$2:$CB$149,Table1[[#This Row],[BAĞLANTI]])</f>
        <v>3135.6114649681522</v>
      </c>
      <c r="AH216" s="8">
        <f>+SUMIFS(AH$2:AH$149,$CB$2:$CB$149,Table1[[#This Row],[BAĞLANTI]])</f>
        <v>4296.9490445859892</v>
      </c>
      <c r="AI216" s="8">
        <f>+SUMIFS(AI$2:AI$149,$CB$2:$CB$149,Table1[[#This Row],[BAĞLANTI]])</f>
        <v>4296.9490445859892</v>
      </c>
      <c r="AJ216" s="8">
        <f>+SUMIFS(AJ$2:AJ$149,$CB$2:$CB$149,Table1[[#This Row],[BAĞLANTI]])</f>
        <v>4180.8152866242053</v>
      </c>
      <c r="AK216" s="8">
        <f>+SUMIFS(AK$2:AK$149,$CB$2:$CB$149,Table1[[#This Row],[BAĞLANTI]])</f>
        <v>6677.6910828025393</v>
      </c>
      <c r="AL216" s="8">
        <f>+SUMIFS(AL$2:AL$149,$CB$2:$CB$149,Table1[[#This Row],[BAĞLANTI]])</f>
        <v>754.86942675159196</v>
      </c>
      <c r="AM216" s="8">
        <f>+SUMIFS(AM$2:AM$149,$CB$2:$CB$149,Table1[[#This Row],[BAĞLANTI]])</f>
        <v>0</v>
      </c>
      <c r="AN216" s="8">
        <f>+SUMIFS(AN$2:AN$149,$CB$2:$CB$149,Table1[[#This Row],[BAĞLANTI]])</f>
        <v>0</v>
      </c>
      <c r="AO216" s="8">
        <f>+SUMIFS(AO$2:AO$149,$CB$2:$CB$149,Table1[[#This Row],[BAĞLANTI]])</f>
        <v>0</v>
      </c>
      <c r="AP216" s="8">
        <f>+SUMIFS(AP$2:AP$149,$CB$2:$CB$149,Table1[[#This Row],[BAĞLANTI]])</f>
        <v>0</v>
      </c>
      <c r="AQ216" s="8">
        <f>+SUMIFS(AQ$2:AQ$149,$CB$2:$CB$149,Table1[[#This Row],[BAĞLANTI]])</f>
        <v>0</v>
      </c>
      <c r="AR216" s="8">
        <f>+SUMIFS(AR$2:AR$149,$CB$2:$CB$149,Table1[[#This Row],[BAĞLANTI]])</f>
        <v>0</v>
      </c>
      <c r="AS216" s="8">
        <f>+SUMIFS(AS$2:AS$149,$CB$2:$CB$149,Table1[[#This Row],[BAĞLANTI]])</f>
        <v>0</v>
      </c>
      <c r="AT216" s="8">
        <f>+SUMIFS(AT$2:AT$149,$CB$2:$CB$149,Table1[[#This Row],[BAĞLANTI]])</f>
        <v>0</v>
      </c>
      <c r="AU216" s="8">
        <f>+SUMIFS(AU$2:AU$149,$CB$2:$CB$149,Table1[[#This Row],[BAĞLANTI]])</f>
        <v>0</v>
      </c>
      <c r="AV216" s="8">
        <f>+SUMIFS(AV$2:AV$149,$CB$2:$CB$149,Table1[[#This Row],[BAĞLANTI]])</f>
        <v>0</v>
      </c>
      <c r="AW216" s="8">
        <f>+SUMIFS(AW$2:AW$149,$CB$2:$CB$149,Table1[[#This Row],[BAĞLANTI]])</f>
        <v>0</v>
      </c>
      <c r="AX216" s="8">
        <f>+SUMIFS(AX$2:AX$149,$CB$2:$CB$149,Table1[[#This Row],[BAĞLANTI]])</f>
        <v>0</v>
      </c>
      <c r="AY216" s="8">
        <f>+SUMIFS(AY$2:AY$149,$CB$2:$CB$149,Table1[[#This Row],[BAĞLANTI]])</f>
        <v>0</v>
      </c>
      <c r="AZ216" s="8">
        <f>+SUMIFS(AZ$2:AZ$149,$CB$2:$CB$149,Table1[[#This Row],[BAĞLANTI]])</f>
        <v>0</v>
      </c>
      <c r="BA216" s="8">
        <f>+SUMIFS(BA$2:BA$149,$CB$2:$CB$149,Table1[[#This Row],[BAĞLANTI]])</f>
        <v>0</v>
      </c>
      <c r="BB216" s="8">
        <f>+SUMIFS(BB$2:BB$149,$CB$2:$CB$149,Table1[[#This Row],[BAĞLANTI]])</f>
        <v>0</v>
      </c>
      <c r="BC216" s="8">
        <f>+SUMIFS(BC$2:BC$149,$CB$2:$CB$149,Table1[[#This Row],[BAĞLANTI]])</f>
        <v>0</v>
      </c>
      <c r="BD216" s="8">
        <f>+SUMIFS(BD$2:BD$149,$CB$2:$CB$149,Table1[[#This Row],[BAĞLANTI]])</f>
        <v>0</v>
      </c>
      <c r="BE216" s="8">
        <f>+SUMIFS(BE$2:BE$149,$CB$2:$CB$149,Table1[[#This Row],[BAĞLANTI]])</f>
        <v>0</v>
      </c>
      <c r="BF216" s="8">
        <f>+SUMIFS(BF$2:BF$149,$CB$2:$CB$149,Table1[[#This Row],[BAĞLANTI]])</f>
        <v>0</v>
      </c>
      <c r="BG216" s="8">
        <f>+SUMIFS(BG$2:BG$149,$CB$2:$CB$149,Table1[[#This Row],[BAĞLANTI]])</f>
        <v>0</v>
      </c>
      <c r="BH216" s="8">
        <f>+SUMIFS(BH$2:BH$149,$CB$2:$CB$149,Table1[[#This Row],[BAĞLANTI]])</f>
        <v>0</v>
      </c>
      <c r="BI216" s="8">
        <f>+SUMIFS(BI$2:BI$149,$CB$2:$CB$149,Table1[[#This Row],[BAĞLANTI]])</f>
        <v>0</v>
      </c>
      <c r="BJ216" s="8">
        <f>+SUMIFS(BJ$2:BJ$149,$CB$2:$CB$149,Table1[[#This Row],[BAĞLANTI]])</f>
        <v>0</v>
      </c>
      <c r="BK216" s="8">
        <f>+SUMIFS(BK$2:BK$149,$CB$2:$CB$149,Table1[[#This Row],[BAĞLANTI]])</f>
        <v>0</v>
      </c>
      <c r="BL216" s="8">
        <f>+SUMIFS(BL$2:BL$149,$CB$2:$CB$149,Table1[[#This Row],[BAĞLANTI]])</f>
        <v>0</v>
      </c>
      <c r="BM216" s="8">
        <f>+SUMIFS(BM$2:BM$149,$CB$2:$CB$149,Table1[[#This Row],[BAĞLANTI]])</f>
        <v>0</v>
      </c>
      <c r="BN216" s="8">
        <f>+SUMIFS(BN$2:BN$149,$CB$2:$CB$149,Table1[[#This Row],[BAĞLANTI]])</f>
        <v>0</v>
      </c>
      <c r="BO216" s="8">
        <f>+SUMIFS(BO$2:BO$149,$CB$2:$CB$149,Table1[[#This Row],[BAĞLANTI]])</f>
        <v>0</v>
      </c>
      <c r="BP216" s="8">
        <f>+SUMIFS(BP$2:BP$149,$CB$2:$CB$149,Table1[[#This Row],[BAĞLANTI]])</f>
        <v>0</v>
      </c>
      <c r="BQ216" s="8">
        <f>+SUMIFS(BQ$2:BQ$149,$CB$2:$CB$149,Table1[[#This Row],[BAĞLANTI]])</f>
        <v>0</v>
      </c>
      <c r="BR216" s="8">
        <f>+SUMIFS(BR$2:BR$149,$CB$2:$CB$149,Table1[[#This Row],[BAĞLANTI]])</f>
        <v>0</v>
      </c>
      <c r="BS216" s="8">
        <f>+SUMIFS(BS$2:BS$149,$CB$2:$CB$149,Table1[[#This Row],[BAĞLANTI]])</f>
        <v>0</v>
      </c>
      <c r="BT216" s="8">
        <f>+SUMIFS(BT$2:BT$149,$CB$2:$CB$149,Table1[[#This Row],[BAĞLANTI]])</f>
        <v>0</v>
      </c>
      <c r="BU216" s="8">
        <f>+SUMIFS(BU$2:BU$149,$CB$2:$CB$149,Table1[[#This Row],[BAĞLANTI]])</f>
        <v>0</v>
      </c>
      <c r="BV216" s="8">
        <f>+SUMIFS(BV$2:BV$149,$CB$2:$CB$149,Table1[[#This Row],[BAĞLANTI]])</f>
        <v>0</v>
      </c>
      <c r="BW216" s="8">
        <f>+SUMIFS(BW$2:BW$149,$CB$2:$CB$149,Table1[[#This Row],[BAĞLANTI]])</f>
        <v>0</v>
      </c>
      <c r="BX216" s="8">
        <f>+SUMIFS(BX$2:BX$149,$CB$2:$CB$149,Table1[[#This Row],[BAĞLANTI]])</f>
        <v>0</v>
      </c>
      <c r="BY216" s="8">
        <f>+SUMIFS(BY$2:BY$149,$CB$2:$CB$149,Table1[[#This Row],[BAĞLANTI]])</f>
        <v>0</v>
      </c>
      <c r="BZ216" s="8">
        <f>+SUMIFS(BZ$2:BZ$149,$CB$2:$CB$149,Table1[[#This Row],[BAĞLANTI]])</f>
        <v>0</v>
      </c>
      <c r="CA216" s="8">
        <f>+SUMIFS(CA$2:CA$149,$CB$2:$CB$149,Table1[[#This Row],[BAĞLANTI]])</f>
        <v>0</v>
      </c>
      <c r="CB216" s="8" t="s">
        <v>5419</v>
      </c>
    </row>
    <row r="217" spans="1:80">
      <c r="A217" s="3" t="s">
        <v>5444</v>
      </c>
      <c r="B217" t="s">
        <v>24</v>
      </c>
      <c r="C217" t="s">
        <v>340</v>
      </c>
      <c r="D217" t="s">
        <v>72</v>
      </c>
      <c r="E217" t="s">
        <v>4974</v>
      </c>
      <c r="F217" s="77" t="s">
        <v>4973</v>
      </c>
      <c r="G217" t="s">
        <v>4983</v>
      </c>
      <c r="H217" s="3" t="s">
        <v>4984</v>
      </c>
      <c r="I217" s="3" t="s">
        <v>5194</v>
      </c>
      <c r="J217" s="78"/>
      <c r="K217" s="78"/>
      <c r="M217" s="78"/>
      <c r="N217" s="8">
        <f>+SUMIFS(N$2:N$149,$CB$2:$CB$149,Table1[[#This Row],[BAĞLANTI]])</f>
        <v>0</v>
      </c>
      <c r="O217" s="8">
        <f>+SUMIFS(O$2:O$149,$CB$2:$CB$149,Table1[[#This Row],[BAĞLANTI]])</f>
        <v>0</v>
      </c>
      <c r="P217" s="8">
        <f>+SUMIFS(P$2:P$149,$CB$2:$CB$149,Table1[[#This Row],[BAĞLANTI]])</f>
        <v>0</v>
      </c>
      <c r="Q217" s="8">
        <f>+SUMIFS(Q$2:Q$149,$CB$2:$CB$149,Table1[[#This Row],[BAĞLANTI]])</f>
        <v>0</v>
      </c>
      <c r="R217" s="8">
        <f>+SUMIFS(R$2:R$149,$CB$2:$CB$149,Table1[[#This Row],[BAĞLANTI]])</f>
        <v>0</v>
      </c>
      <c r="S217" s="8">
        <f>+SUMIFS(S$2:S$149,$CB$2:$CB$149,Table1[[#This Row],[BAĞLANTI]])</f>
        <v>0</v>
      </c>
      <c r="T217" s="8">
        <f>+SUMIFS(T$2:T$149,$CB$2:$CB$149,Table1[[#This Row],[BAĞLANTI]])</f>
        <v>0</v>
      </c>
      <c r="U217" s="8">
        <f>+SUMIFS(U$2:U$149,$CB$2:$CB$149,Table1[[#This Row],[BAĞLANTI]])</f>
        <v>0</v>
      </c>
      <c r="V217" s="8">
        <f>+SUMIFS(V$2:V$149,$CB$2:$CB$149,Table1[[#This Row],[BAĞLANTI]])</f>
        <v>0</v>
      </c>
      <c r="W217" s="8">
        <f>+SUMIFS(W$2:W$149,$CB$2:$CB$149,Table1[[#This Row],[BAĞLANTI]])</f>
        <v>0</v>
      </c>
      <c r="X217" s="10">
        <f>+SUMIFS(X$2:X$149,$CB$2:$CB$149,Table1[[#This Row],[BAĞLANTI]])</f>
        <v>0</v>
      </c>
      <c r="Y217" s="8">
        <f>+SUMIFS(Y$2:Y$149,$CB$2:$CB$149,Table1[[#This Row],[BAĞLANTI]])</f>
        <v>0</v>
      </c>
      <c r="Z217" s="8">
        <f>+SUMIFS(Z$2:Z$149,$CB$2:$CB$149,Table1[[#This Row],[BAĞLANTI]])</f>
        <v>0</v>
      </c>
      <c r="AA217" s="8">
        <f>+SUMIFS(AA$2:AA$149,$CB$2:$CB$149,Table1[[#This Row],[BAĞLANTI]])</f>
        <v>2344.7498054474722</v>
      </c>
      <c r="AB217" s="8">
        <f>+SUMIFS(AB$2:AB$149,$CB$2:$CB$149,Table1[[#This Row],[BAĞLANTI]])</f>
        <v>4220.549649805449</v>
      </c>
      <c r="AC217" s="8">
        <f>+SUMIFS(AC$2:AC$149,$CB$2:$CB$149,Table1[[#This Row],[BAĞLANTI]])</f>
        <v>1172.3749027237332</v>
      </c>
      <c r="AD217" s="8">
        <f>+SUMIFS(AD$2:AD$149,$CB$2:$CB$149,Table1[[#This Row],[BAĞLANTI]])</f>
        <v>0</v>
      </c>
      <c r="AE217" s="8">
        <f>+SUMIFS(AE$2:AE$149,$CB$2:$CB$149,Table1[[#This Row],[BAĞLANTI]])</f>
        <v>0</v>
      </c>
      <c r="AF217" s="8">
        <f>+SUMIFS(AF$2:AF$149,$CB$2:$CB$149,Table1[[#This Row],[BAĞLANTI]])</f>
        <v>0</v>
      </c>
      <c r="AG217" s="8">
        <f>+SUMIFS(AG$2:AG$149,$CB$2:$CB$149,Table1[[#This Row],[BAĞLANTI]])</f>
        <v>0</v>
      </c>
      <c r="AH217" s="8">
        <f>+SUMIFS(AH$2:AH$149,$CB$2:$CB$149,Table1[[#This Row],[BAĞLANTI]])</f>
        <v>0</v>
      </c>
      <c r="AI217" s="8">
        <f>+SUMIFS(AI$2:AI$149,$CB$2:$CB$149,Table1[[#This Row],[BAĞLANTI]])</f>
        <v>0</v>
      </c>
      <c r="AJ217" s="8">
        <f>+SUMIFS(AJ$2:AJ$149,$CB$2:$CB$149,Table1[[#This Row],[BAĞLANTI]])</f>
        <v>0</v>
      </c>
      <c r="AK217" s="8">
        <f>+SUMIFS(AK$2:AK$149,$CB$2:$CB$149,Table1[[#This Row],[BAĞLANTI]])</f>
        <v>0</v>
      </c>
      <c r="AL217" s="8">
        <f>+SUMIFS(AL$2:AL$149,$CB$2:$CB$149,Table1[[#This Row],[BAĞLANTI]])</f>
        <v>0</v>
      </c>
      <c r="AM217" s="8">
        <f>+SUMIFS(AM$2:AM$149,$CB$2:$CB$149,Table1[[#This Row],[BAĞLANTI]])</f>
        <v>0</v>
      </c>
      <c r="AN217" s="8">
        <f>+SUMIFS(AN$2:AN$149,$CB$2:$CB$149,Table1[[#This Row],[BAĞLANTI]])</f>
        <v>0</v>
      </c>
      <c r="AO217" s="8">
        <f>+SUMIFS(AO$2:AO$149,$CB$2:$CB$149,Table1[[#This Row],[BAĞLANTI]])</f>
        <v>0</v>
      </c>
      <c r="AP217" s="8">
        <f>+SUMIFS(AP$2:AP$149,$CB$2:$CB$149,Table1[[#This Row],[BAĞLANTI]])</f>
        <v>0</v>
      </c>
      <c r="AQ217" s="8">
        <f>+SUMIFS(AQ$2:AQ$149,$CB$2:$CB$149,Table1[[#This Row],[BAĞLANTI]])</f>
        <v>0</v>
      </c>
      <c r="AR217" s="8">
        <f>+SUMIFS(AR$2:AR$149,$CB$2:$CB$149,Table1[[#This Row],[BAĞLANTI]])</f>
        <v>0</v>
      </c>
      <c r="AS217" s="8">
        <f>+SUMIFS(AS$2:AS$149,$CB$2:$CB$149,Table1[[#This Row],[BAĞLANTI]])</f>
        <v>2813.6997665369681</v>
      </c>
      <c r="AT217" s="8">
        <f>+SUMIFS(AT$2:AT$149,$CB$2:$CB$149,Table1[[#This Row],[BAĞLANTI]])</f>
        <v>3915.7321750971664</v>
      </c>
      <c r="AU217" s="8">
        <f>+SUMIFS(AU$2:AU$149,$CB$2:$CB$149,Table1[[#This Row],[BAĞLANTI]])</f>
        <v>8487.9942957198637</v>
      </c>
      <c r="AV217" s="8">
        <f>+SUMIFS(AV$2:AV$149,$CB$2:$CB$149,Table1[[#This Row],[BAĞLANTI]])</f>
        <v>8487.9942957198637</v>
      </c>
      <c r="AW217" s="8">
        <f>+SUMIFS(AW$2:AW$149,$CB$2:$CB$149,Table1[[#This Row],[BAĞLANTI]])</f>
        <v>8487.9942957198637</v>
      </c>
      <c r="AX217" s="8">
        <f>+SUMIFS(AX$2:AX$149,$CB$2:$CB$149,Table1[[#This Row],[BAĞLANTI]])</f>
        <v>8487.9942957198637</v>
      </c>
      <c r="AY217" s="8">
        <f>+SUMIFS(AY$2:AY$149,$CB$2:$CB$149,Table1[[#This Row],[BAĞLANTI]])</f>
        <v>8487.9942957198637</v>
      </c>
      <c r="AZ217" s="8">
        <f>+SUMIFS(AZ$2:AZ$149,$CB$2:$CB$149,Table1[[#This Row],[BAĞLANTI]])</f>
        <v>3352.9922217898829</v>
      </c>
      <c r="BA217" s="8">
        <f>+SUMIFS(BA$2:BA$149,$CB$2:$CB$149,Table1[[#This Row],[BAĞLANTI]])</f>
        <v>0</v>
      </c>
      <c r="BB217" s="8">
        <f>+SUMIFS(BB$2:BB$149,$CB$2:$CB$149,Table1[[#This Row],[BAĞLANTI]])</f>
        <v>0</v>
      </c>
      <c r="BC217" s="8">
        <f>+SUMIFS(BC$2:BC$149,$CB$2:$CB$149,Table1[[#This Row],[BAĞLANTI]])</f>
        <v>0</v>
      </c>
      <c r="BD217" s="8">
        <f>+SUMIFS(BD$2:BD$149,$CB$2:$CB$149,Table1[[#This Row],[BAĞLANTI]])</f>
        <v>0</v>
      </c>
      <c r="BE217" s="8">
        <f>+SUMIFS(BE$2:BE$149,$CB$2:$CB$149,Table1[[#This Row],[BAĞLANTI]])</f>
        <v>0</v>
      </c>
      <c r="BF217" s="8">
        <f>+SUMIFS(BF$2:BF$149,$CB$2:$CB$149,Table1[[#This Row],[BAĞLANTI]])</f>
        <v>0</v>
      </c>
      <c r="BG217" s="8">
        <f>+SUMIFS(BG$2:BG$149,$CB$2:$CB$149,Table1[[#This Row],[BAĞLANTI]])</f>
        <v>0</v>
      </c>
      <c r="BH217" s="8">
        <f>+SUMIFS(BH$2:BH$149,$CB$2:$CB$149,Table1[[#This Row],[BAĞLANTI]])</f>
        <v>0</v>
      </c>
      <c r="BI217" s="8">
        <f>+SUMIFS(BI$2:BI$149,$CB$2:$CB$149,Table1[[#This Row],[BAĞLANTI]])</f>
        <v>0</v>
      </c>
      <c r="BJ217" s="8">
        <f>+SUMIFS(BJ$2:BJ$149,$CB$2:$CB$149,Table1[[#This Row],[BAĞLANTI]])</f>
        <v>0</v>
      </c>
      <c r="BK217" s="8">
        <f>+SUMIFS(BK$2:BK$149,$CB$2:$CB$149,Table1[[#This Row],[BAĞLANTI]])</f>
        <v>0</v>
      </c>
      <c r="BL217" s="8">
        <f>+SUMIFS(BL$2:BL$149,$CB$2:$CB$149,Table1[[#This Row],[BAĞLANTI]])</f>
        <v>0</v>
      </c>
      <c r="BM217" s="8">
        <f>+SUMIFS(BM$2:BM$149,$CB$2:$CB$149,Table1[[#This Row],[BAĞLANTI]])</f>
        <v>0</v>
      </c>
      <c r="BN217" s="8">
        <f>+SUMIFS(BN$2:BN$149,$CB$2:$CB$149,Table1[[#This Row],[BAĞLANTI]])</f>
        <v>0</v>
      </c>
      <c r="BO217" s="8">
        <f>+SUMIFS(BO$2:BO$149,$CB$2:$CB$149,Table1[[#This Row],[BAĞLANTI]])</f>
        <v>0</v>
      </c>
      <c r="BP217" s="8">
        <f>+SUMIFS(BP$2:BP$149,$CB$2:$CB$149,Table1[[#This Row],[BAĞLANTI]])</f>
        <v>0</v>
      </c>
      <c r="BQ217" s="8">
        <f>+SUMIFS(BQ$2:BQ$149,$CB$2:$CB$149,Table1[[#This Row],[BAĞLANTI]])</f>
        <v>0</v>
      </c>
      <c r="BR217" s="8">
        <f>+SUMIFS(BR$2:BR$149,$CB$2:$CB$149,Table1[[#This Row],[BAĞLANTI]])</f>
        <v>0</v>
      </c>
      <c r="BS217" s="8">
        <f>+SUMIFS(BS$2:BS$149,$CB$2:$CB$149,Table1[[#This Row],[BAĞLANTI]])</f>
        <v>0</v>
      </c>
      <c r="BT217" s="8">
        <f>+SUMIFS(BT$2:BT$149,$CB$2:$CB$149,Table1[[#This Row],[BAĞLANTI]])</f>
        <v>0</v>
      </c>
      <c r="BU217" s="8">
        <f>+SUMIFS(BU$2:BU$149,$CB$2:$CB$149,Table1[[#This Row],[BAĞLANTI]])</f>
        <v>0</v>
      </c>
      <c r="BV217" s="8">
        <f>+SUMIFS(BV$2:BV$149,$CB$2:$CB$149,Table1[[#This Row],[BAĞLANTI]])</f>
        <v>0</v>
      </c>
      <c r="BW217" s="8">
        <f>+SUMIFS(BW$2:BW$149,$CB$2:$CB$149,Table1[[#This Row],[BAĞLANTI]])</f>
        <v>0</v>
      </c>
      <c r="BX217" s="8">
        <f>+SUMIFS(BX$2:BX$149,$CB$2:$CB$149,Table1[[#This Row],[BAĞLANTI]])</f>
        <v>0</v>
      </c>
      <c r="BY217" s="8">
        <f>+SUMIFS(BY$2:BY$149,$CB$2:$CB$149,Table1[[#This Row],[BAĞLANTI]])</f>
        <v>0</v>
      </c>
      <c r="BZ217" s="8">
        <f>+SUMIFS(BZ$2:BZ$149,$CB$2:$CB$149,Table1[[#This Row],[BAĞLANTI]])</f>
        <v>0</v>
      </c>
      <c r="CA217" s="8">
        <f>+SUMIFS(CA$2:CA$149,$CB$2:$CB$149,Table1[[#This Row],[BAĞLANTI]])</f>
        <v>0</v>
      </c>
      <c r="CB217" s="8" t="s">
        <v>5420</v>
      </c>
    </row>
    <row r="218" spans="1:80">
      <c r="A218" s="3" t="s">
        <v>5444</v>
      </c>
      <c r="B218" t="s">
        <v>24</v>
      </c>
      <c r="C218" t="s">
        <v>340</v>
      </c>
      <c r="D218" t="s">
        <v>74</v>
      </c>
      <c r="E218" t="s">
        <v>4975</v>
      </c>
      <c r="F218" s="77" t="s">
        <v>4973</v>
      </c>
      <c r="G218" t="s">
        <v>4983</v>
      </c>
      <c r="H218" s="3" t="s">
        <v>4984</v>
      </c>
      <c r="I218" s="3" t="s">
        <v>5194</v>
      </c>
      <c r="J218" s="78"/>
      <c r="K218" s="78"/>
      <c r="M218" s="78"/>
      <c r="N218" s="8">
        <f>+SUMIFS(N$2:N$149,$CB$2:$CB$149,Table1[[#This Row],[BAĞLANTI]])</f>
        <v>0</v>
      </c>
      <c r="O218" s="8">
        <f>+SUMIFS(O$2:O$149,$CB$2:$CB$149,Table1[[#This Row],[BAĞLANTI]])</f>
        <v>0</v>
      </c>
      <c r="P218" s="8">
        <f>+SUMIFS(P$2:P$149,$CB$2:$CB$149,Table1[[#This Row],[BAĞLANTI]])</f>
        <v>0</v>
      </c>
      <c r="Q218" s="8">
        <f>+SUMIFS(Q$2:Q$149,$CB$2:$CB$149,Table1[[#This Row],[BAĞLANTI]])</f>
        <v>0</v>
      </c>
      <c r="R218" s="8">
        <f>+SUMIFS(R$2:R$149,$CB$2:$CB$149,Table1[[#This Row],[BAĞLANTI]])</f>
        <v>0</v>
      </c>
      <c r="S218" s="8">
        <f>+SUMIFS(S$2:S$149,$CB$2:$CB$149,Table1[[#This Row],[BAĞLANTI]])</f>
        <v>0</v>
      </c>
      <c r="T218" s="8">
        <f>+SUMIFS(T$2:T$149,$CB$2:$CB$149,Table1[[#This Row],[BAĞLANTI]])</f>
        <v>0</v>
      </c>
      <c r="U218" s="8">
        <f>+SUMIFS(U$2:U$149,$CB$2:$CB$149,Table1[[#This Row],[BAĞLANTI]])</f>
        <v>0</v>
      </c>
      <c r="V218" s="8">
        <f>+SUMIFS(V$2:V$149,$CB$2:$CB$149,Table1[[#This Row],[BAĞLANTI]])</f>
        <v>0</v>
      </c>
      <c r="W218" s="8">
        <f>+SUMIFS(W$2:W$149,$CB$2:$CB$149,Table1[[#This Row],[BAĞLANTI]])</f>
        <v>0</v>
      </c>
      <c r="X218" s="10">
        <f>+SUMIFS(X$2:X$149,$CB$2:$CB$149,Table1[[#This Row],[BAĞLANTI]])</f>
        <v>0</v>
      </c>
      <c r="Y218" s="8">
        <f>+SUMIFS(Y$2:Y$149,$CB$2:$CB$149,Table1[[#This Row],[BAĞLANTI]])</f>
        <v>0</v>
      </c>
      <c r="Z218" s="8">
        <f>+SUMIFS(Z$2:Z$149,$CB$2:$CB$149,Table1[[#This Row],[BAĞLANTI]])</f>
        <v>0</v>
      </c>
      <c r="AA218" s="8">
        <f>+SUMIFS(AA$2:AA$149,$CB$2:$CB$149,Table1[[#This Row],[BAĞLANTI]])</f>
        <v>0</v>
      </c>
      <c r="AB218" s="8">
        <f>+SUMIFS(AB$2:AB$149,$CB$2:$CB$149,Table1[[#This Row],[BAĞLANTI]])</f>
        <v>0</v>
      </c>
      <c r="AC218" s="8">
        <f>+SUMIFS(AC$2:AC$149,$CB$2:$CB$149,Table1[[#This Row],[BAĞLANTI]])</f>
        <v>5667.0758480000004</v>
      </c>
      <c r="AD218" s="8">
        <f>+SUMIFS(AD$2:AD$149,$CB$2:$CB$149,Table1[[#This Row],[BAĞLANTI]])</f>
        <v>5460.0593786666795</v>
      </c>
      <c r="AE218" s="8">
        <f>+SUMIFS(AE$2:AE$149,$CB$2:$CB$149,Table1[[#This Row],[BAĞLANTI]])</f>
        <v>5434.1823200000008</v>
      </c>
      <c r="AF218" s="8">
        <f>+SUMIFS(AF$2:AF$149,$CB$2:$CB$149,Table1[[#This Row],[BAĞLANTI]])</f>
        <v>6624.5270186666803</v>
      </c>
      <c r="AG218" s="8">
        <f>+SUMIFS(AG$2:AG$149,$CB$2:$CB$149,Table1[[#This Row],[BAĞLANTI]])</f>
        <v>7788.9946586666802</v>
      </c>
      <c r="AH218" s="8">
        <f>+SUMIFS(AH$2:AH$149,$CB$2:$CB$149,Table1[[#This Row],[BAĞLANTI]])</f>
        <v>6676.2811359999996</v>
      </c>
      <c r="AI218" s="8">
        <f>+SUMIFS(AI$2:AI$149,$CB$2:$CB$149,Table1[[#This Row],[BAĞLANTI]])</f>
        <v>1164.4676400000001</v>
      </c>
      <c r="AJ218" s="8">
        <f>+SUMIFS(AJ$2:AJ$149,$CB$2:$CB$149,Table1[[#This Row],[BAĞLANTI]])</f>
        <v>0</v>
      </c>
      <c r="AK218" s="8">
        <f>+SUMIFS(AK$2:AK$149,$CB$2:$CB$149,Table1[[#This Row],[BAĞLANTI]])</f>
        <v>0</v>
      </c>
      <c r="AL218" s="8">
        <f>+SUMIFS(AL$2:AL$149,$CB$2:$CB$149,Table1[[#This Row],[BAĞLANTI]])</f>
        <v>0</v>
      </c>
      <c r="AM218" s="8">
        <f>+SUMIFS(AM$2:AM$149,$CB$2:$CB$149,Table1[[#This Row],[BAĞLANTI]])</f>
        <v>0</v>
      </c>
      <c r="AN218" s="8">
        <f>+SUMIFS(AN$2:AN$149,$CB$2:$CB$149,Table1[[#This Row],[BAĞLANTI]])</f>
        <v>0</v>
      </c>
      <c r="AO218" s="8">
        <f>+SUMIFS(AO$2:AO$149,$CB$2:$CB$149,Table1[[#This Row],[BAĞLANTI]])</f>
        <v>0</v>
      </c>
      <c r="AP218" s="8">
        <f>+SUMIFS(AP$2:AP$149,$CB$2:$CB$149,Table1[[#This Row],[BAĞLANTI]])</f>
        <v>0</v>
      </c>
      <c r="AQ218" s="8">
        <f>+SUMIFS(AQ$2:AQ$149,$CB$2:$CB$149,Table1[[#This Row],[BAĞLANTI]])</f>
        <v>0</v>
      </c>
      <c r="AR218" s="8">
        <f>+SUMIFS(AR$2:AR$149,$CB$2:$CB$149,Table1[[#This Row],[BAĞLANTI]])</f>
        <v>0</v>
      </c>
      <c r="AS218" s="8">
        <f>+SUMIFS(AS$2:AS$149,$CB$2:$CB$149,Table1[[#This Row],[BAĞLANTI]])</f>
        <v>0</v>
      </c>
      <c r="AT218" s="8">
        <f>+SUMIFS(AT$2:AT$149,$CB$2:$CB$149,Table1[[#This Row],[BAĞLANTI]])</f>
        <v>0</v>
      </c>
      <c r="AU218" s="8">
        <f>+SUMIFS(AU$2:AU$149,$CB$2:$CB$149,Table1[[#This Row],[BAĞLANTI]])</f>
        <v>0</v>
      </c>
      <c r="AV218" s="8">
        <f>+SUMIFS(AV$2:AV$149,$CB$2:$CB$149,Table1[[#This Row],[BAĞLANTI]])</f>
        <v>0</v>
      </c>
      <c r="AW218" s="8">
        <f>+SUMIFS(AW$2:AW$149,$CB$2:$CB$149,Table1[[#This Row],[BAĞLANTI]])</f>
        <v>0</v>
      </c>
      <c r="AX218" s="8">
        <f>+SUMIFS(AX$2:AX$149,$CB$2:$CB$149,Table1[[#This Row],[BAĞLANTI]])</f>
        <v>0</v>
      </c>
      <c r="AY218" s="8">
        <f>+SUMIFS(AY$2:AY$149,$CB$2:$CB$149,Table1[[#This Row],[BAĞLANTI]])</f>
        <v>0</v>
      </c>
      <c r="AZ218" s="8">
        <f>+SUMIFS(AZ$2:AZ$149,$CB$2:$CB$149,Table1[[#This Row],[BAĞLANTI]])</f>
        <v>0</v>
      </c>
      <c r="BA218" s="8">
        <f>+SUMIFS(BA$2:BA$149,$CB$2:$CB$149,Table1[[#This Row],[BAĞLANTI]])</f>
        <v>0</v>
      </c>
      <c r="BB218" s="8">
        <f>+SUMIFS(BB$2:BB$149,$CB$2:$CB$149,Table1[[#This Row],[BAĞLANTI]])</f>
        <v>0</v>
      </c>
      <c r="BC218" s="8">
        <f>+SUMIFS(BC$2:BC$149,$CB$2:$CB$149,Table1[[#This Row],[BAĞLANTI]])</f>
        <v>0</v>
      </c>
      <c r="BD218" s="8">
        <f>+SUMIFS(BD$2:BD$149,$CB$2:$CB$149,Table1[[#This Row],[BAĞLANTI]])</f>
        <v>0</v>
      </c>
      <c r="BE218" s="8">
        <f>+SUMIFS(BE$2:BE$149,$CB$2:$CB$149,Table1[[#This Row],[BAĞLANTI]])</f>
        <v>0</v>
      </c>
      <c r="BF218" s="8">
        <f>+SUMIFS(BF$2:BF$149,$CB$2:$CB$149,Table1[[#This Row],[BAĞLANTI]])</f>
        <v>0</v>
      </c>
      <c r="BG218" s="8">
        <f>+SUMIFS(BG$2:BG$149,$CB$2:$CB$149,Table1[[#This Row],[BAĞLANTI]])</f>
        <v>0</v>
      </c>
      <c r="BH218" s="8">
        <f>+SUMIFS(BH$2:BH$149,$CB$2:$CB$149,Table1[[#This Row],[BAĞLANTI]])</f>
        <v>0</v>
      </c>
      <c r="BI218" s="8">
        <f>+SUMIFS(BI$2:BI$149,$CB$2:$CB$149,Table1[[#This Row],[BAĞLANTI]])</f>
        <v>0</v>
      </c>
      <c r="BJ218" s="8">
        <f>+SUMIFS(BJ$2:BJ$149,$CB$2:$CB$149,Table1[[#This Row],[BAĞLANTI]])</f>
        <v>0</v>
      </c>
      <c r="BK218" s="8">
        <f>+SUMIFS(BK$2:BK$149,$CB$2:$CB$149,Table1[[#This Row],[BAĞLANTI]])</f>
        <v>0</v>
      </c>
      <c r="BL218" s="8">
        <f>+SUMIFS(BL$2:BL$149,$CB$2:$CB$149,Table1[[#This Row],[BAĞLANTI]])</f>
        <v>0</v>
      </c>
      <c r="BM218" s="8">
        <f>+SUMIFS(BM$2:BM$149,$CB$2:$CB$149,Table1[[#This Row],[BAĞLANTI]])</f>
        <v>0</v>
      </c>
      <c r="BN218" s="8">
        <f>+SUMIFS(BN$2:BN$149,$CB$2:$CB$149,Table1[[#This Row],[BAĞLANTI]])</f>
        <v>0</v>
      </c>
      <c r="BO218" s="8">
        <f>+SUMIFS(BO$2:BO$149,$CB$2:$CB$149,Table1[[#This Row],[BAĞLANTI]])</f>
        <v>0</v>
      </c>
      <c r="BP218" s="8">
        <f>+SUMIFS(BP$2:BP$149,$CB$2:$CB$149,Table1[[#This Row],[BAĞLANTI]])</f>
        <v>0</v>
      </c>
      <c r="BQ218" s="8">
        <f>+SUMIFS(BQ$2:BQ$149,$CB$2:$CB$149,Table1[[#This Row],[BAĞLANTI]])</f>
        <v>0</v>
      </c>
      <c r="BR218" s="8">
        <f>+SUMIFS(BR$2:BR$149,$CB$2:$CB$149,Table1[[#This Row],[BAĞLANTI]])</f>
        <v>0</v>
      </c>
      <c r="BS218" s="8">
        <f>+SUMIFS(BS$2:BS$149,$CB$2:$CB$149,Table1[[#This Row],[BAĞLANTI]])</f>
        <v>0</v>
      </c>
      <c r="BT218" s="8">
        <f>+SUMIFS(BT$2:BT$149,$CB$2:$CB$149,Table1[[#This Row],[BAĞLANTI]])</f>
        <v>0</v>
      </c>
      <c r="BU218" s="8">
        <f>+SUMIFS(BU$2:BU$149,$CB$2:$CB$149,Table1[[#This Row],[BAĞLANTI]])</f>
        <v>0</v>
      </c>
      <c r="BV218" s="8">
        <f>+SUMIFS(BV$2:BV$149,$CB$2:$CB$149,Table1[[#This Row],[BAĞLANTI]])</f>
        <v>0</v>
      </c>
      <c r="BW218" s="8">
        <f>+SUMIFS(BW$2:BW$149,$CB$2:$CB$149,Table1[[#This Row],[BAĞLANTI]])</f>
        <v>0</v>
      </c>
      <c r="BX218" s="8">
        <f>+SUMIFS(BX$2:BX$149,$CB$2:$CB$149,Table1[[#This Row],[BAĞLANTI]])</f>
        <v>0</v>
      </c>
      <c r="BY218" s="8">
        <f>+SUMIFS(BY$2:BY$149,$CB$2:$CB$149,Table1[[#This Row],[BAĞLANTI]])</f>
        <v>0</v>
      </c>
      <c r="BZ218" s="8">
        <f>+SUMIFS(BZ$2:BZ$149,$CB$2:$CB$149,Table1[[#This Row],[BAĞLANTI]])</f>
        <v>0</v>
      </c>
      <c r="CA218" s="8">
        <f>+SUMIFS(CA$2:CA$149,$CB$2:$CB$149,Table1[[#This Row],[BAĞLANTI]])</f>
        <v>0</v>
      </c>
      <c r="CB218" s="8" t="s">
        <v>5421</v>
      </c>
    </row>
    <row r="219" spans="1:80">
      <c r="A219" s="3" t="s">
        <v>5444</v>
      </c>
      <c r="B219" t="s">
        <v>24</v>
      </c>
      <c r="C219" t="s">
        <v>340</v>
      </c>
      <c r="D219" t="s">
        <v>5182</v>
      </c>
      <c r="E219" t="s">
        <v>5183</v>
      </c>
      <c r="F219" s="77" t="s">
        <v>4973</v>
      </c>
      <c r="G219" t="s">
        <v>4983</v>
      </c>
      <c r="H219" s="3" t="s">
        <v>4984</v>
      </c>
      <c r="I219" s="3" t="s">
        <v>5194</v>
      </c>
      <c r="J219" s="78"/>
      <c r="K219" s="78"/>
      <c r="M219" s="78"/>
      <c r="N219" s="8">
        <f>+SUMIFS(N$2:N$149,$CB$2:$CB$149,Table1[[#This Row],[BAĞLANTI]])</f>
        <v>0</v>
      </c>
      <c r="O219" s="8">
        <f>+SUMIFS(O$2:O$149,$CB$2:$CB$149,Table1[[#This Row],[BAĞLANTI]])</f>
        <v>0</v>
      </c>
      <c r="P219" s="8">
        <f>+SUMIFS(P$2:P$149,$CB$2:$CB$149,Table1[[#This Row],[BAĞLANTI]])</f>
        <v>0</v>
      </c>
      <c r="Q219" s="8">
        <f>+SUMIFS(Q$2:Q$149,$CB$2:$CB$149,Table1[[#This Row],[BAĞLANTI]])</f>
        <v>0</v>
      </c>
      <c r="R219" s="8">
        <f>+SUMIFS(R$2:R$149,$CB$2:$CB$149,Table1[[#This Row],[BAĞLANTI]])</f>
        <v>0</v>
      </c>
      <c r="S219" s="8">
        <f>+SUMIFS(S$2:S$149,$CB$2:$CB$149,Table1[[#This Row],[BAĞLANTI]])</f>
        <v>0</v>
      </c>
      <c r="T219" s="8">
        <f>+SUMIFS(T$2:T$149,$CB$2:$CB$149,Table1[[#This Row],[BAĞLANTI]])</f>
        <v>0</v>
      </c>
      <c r="U219" s="8">
        <f>+SUMIFS(U$2:U$149,$CB$2:$CB$149,Table1[[#This Row],[BAĞLANTI]])</f>
        <v>0</v>
      </c>
      <c r="V219" s="8">
        <f>+SUMIFS(V$2:V$149,$CB$2:$CB$149,Table1[[#This Row],[BAĞLANTI]])</f>
        <v>0</v>
      </c>
      <c r="W219" s="8">
        <f>+SUMIFS(W$2:W$149,$CB$2:$CB$149,Table1[[#This Row],[BAĞLANTI]])</f>
        <v>0</v>
      </c>
      <c r="X219" s="10">
        <f>+SUMIFS(X$2:X$149,$CB$2:$CB$149,Table1[[#This Row],[BAĞLANTI]])</f>
        <v>0</v>
      </c>
      <c r="Y219" s="8">
        <f>+SUMIFS(Y$2:Y$149,$CB$2:$CB$149,Table1[[#This Row],[BAĞLANTI]])</f>
        <v>0</v>
      </c>
      <c r="Z219" s="8">
        <f>+SUMIFS(Z$2:Z$149,$CB$2:$CB$149,Table1[[#This Row],[BAĞLANTI]])</f>
        <v>0</v>
      </c>
      <c r="AA219" s="8">
        <f>+SUMIFS(AA$2:AA$149,$CB$2:$CB$149,Table1[[#This Row],[BAĞLANTI]])</f>
        <v>0</v>
      </c>
      <c r="AB219" s="8">
        <f>+SUMIFS(AB$2:AB$149,$CB$2:$CB$149,Table1[[#This Row],[BAĞLANTI]])</f>
        <v>0</v>
      </c>
      <c r="AC219" s="8">
        <f>+SUMIFS(AC$2:AC$149,$CB$2:$CB$149,Table1[[#This Row],[BAĞLANTI]])</f>
        <v>0</v>
      </c>
      <c r="AD219" s="8">
        <f>+SUMIFS(AD$2:AD$149,$CB$2:$CB$149,Table1[[#This Row],[BAĞLANTI]])</f>
        <v>0</v>
      </c>
      <c r="AE219" s="8">
        <f>+SUMIFS(AE$2:AE$149,$CB$2:$CB$149,Table1[[#This Row],[BAĞLANTI]])</f>
        <v>0</v>
      </c>
      <c r="AF219" s="8">
        <f>+SUMIFS(AF$2:AF$149,$CB$2:$CB$149,Table1[[#This Row],[BAĞLANTI]])</f>
        <v>0</v>
      </c>
      <c r="AG219" s="8">
        <f>+SUMIFS(AG$2:AG$149,$CB$2:$CB$149,Table1[[#This Row],[BAĞLANTI]])</f>
        <v>0</v>
      </c>
      <c r="AH219" s="8">
        <f>+SUMIFS(AH$2:AH$149,$CB$2:$CB$149,Table1[[#This Row],[BAĞLANTI]])</f>
        <v>0</v>
      </c>
      <c r="AI219" s="8">
        <f>+SUMIFS(AI$2:AI$149,$CB$2:$CB$149,Table1[[#This Row],[BAĞLANTI]])</f>
        <v>0</v>
      </c>
      <c r="AJ219" s="8">
        <f>+SUMIFS(AJ$2:AJ$149,$CB$2:$CB$149,Table1[[#This Row],[BAĞLANTI]])</f>
        <v>0</v>
      </c>
      <c r="AK219" s="8">
        <f>+SUMIFS(AK$2:AK$149,$CB$2:$CB$149,Table1[[#This Row],[BAĞLANTI]])</f>
        <v>0</v>
      </c>
      <c r="AL219" s="8">
        <f>+SUMIFS(AL$2:AL$149,$CB$2:$CB$149,Table1[[#This Row],[BAĞLANTI]])</f>
        <v>10340.94423529411</v>
      </c>
      <c r="AM219" s="8">
        <f>+SUMIFS(AM$2:AM$149,$CB$2:$CB$149,Table1[[#This Row],[BAĞLANTI]])</f>
        <v>10340.94423529411</v>
      </c>
      <c r="AN219" s="8">
        <f>+SUMIFS(AN$2:AN$149,$CB$2:$CB$149,Table1[[#This Row],[BAĞLANTI]])</f>
        <v>8617.4535294117777</v>
      </c>
      <c r="AO219" s="8">
        <f>+SUMIFS(AO$2:AO$149,$CB$2:$CB$149,Table1[[#This Row],[BAĞLANTI]])</f>
        <v>0</v>
      </c>
      <c r="AP219" s="8">
        <f>+SUMIFS(AP$2:AP$149,$CB$2:$CB$149,Table1[[#This Row],[BAĞLANTI]])</f>
        <v>0</v>
      </c>
      <c r="AQ219" s="8">
        <f>+SUMIFS(AQ$2:AQ$149,$CB$2:$CB$149,Table1[[#This Row],[BAĞLANTI]])</f>
        <v>0</v>
      </c>
      <c r="AR219" s="8">
        <f>+SUMIFS(AR$2:AR$149,$CB$2:$CB$149,Table1[[#This Row],[BAĞLANTI]])</f>
        <v>0</v>
      </c>
      <c r="AS219" s="8">
        <f>+SUMIFS(AS$2:AS$149,$CB$2:$CB$149,Table1[[#This Row],[BAĞLANTI]])</f>
        <v>0</v>
      </c>
      <c r="AT219" s="8">
        <f>+SUMIFS(AT$2:AT$149,$CB$2:$CB$149,Table1[[#This Row],[BAĞLANTI]])</f>
        <v>0</v>
      </c>
      <c r="AU219" s="8">
        <f>+SUMIFS(AU$2:AU$149,$CB$2:$CB$149,Table1[[#This Row],[BAĞLANTI]])</f>
        <v>0</v>
      </c>
      <c r="AV219" s="8">
        <f>+SUMIFS(AV$2:AV$149,$CB$2:$CB$149,Table1[[#This Row],[BAĞLANTI]])</f>
        <v>0</v>
      </c>
      <c r="AW219" s="8">
        <f>+SUMIFS(AW$2:AW$149,$CB$2:$CB$149,Table1[[#This Row],[BAĞLANTI]])</f>
        <v>0</v>
      </c>
      <c r="AX219" s="8">
        <f>+SUMIFS(AX$2:AX$149,$CB$2:$CB$149,Table1[[#This Row],[BAĞLANTI]])</f>
        <v>0</v>
      </c>
      <c r="AY219" s="8">
        <f>+SUMIFS(AY$2:AY$149,$CB$2:$CB$149,Table1[[#This Row],[BAĞLANTI]])</f>
        <v>0</v>
      </c>
      <c r="AZ219" s="8">
        <f>+SUMIFS(AZ$2:AZ$149,$CB$2:$CB$149,Table1[[#This Row],[BAĞLANTI]])</f>
        <v>0</v>
      </c>
      <c r="BA219" s="8">
        <f>+SUMIFS(BA$2:BA$149,$CB$2:$CB$149,Table1[[#This Row],[BAĞLANTI]])</f>
        <v>0</v>
      </c>
      <c r="BB219" s="8">
        <f>+SUMIFS(BB$2:BB$149,$CB$2:$CB$149,Table1[[#This Row],[BAĞLANTI]])</f>
        <v>0</v>
      </c>
      <c r="BC219" s="8">
        <f>+SUMIFS(BC$2:BC$149,$CB$2:$CB$149,Table1[[#This Row],[BAĞLANTI]])</f>
        <v>0</v>
      </c>
      <c r="BD219" s="8">
        <f>+SUMIFS(BD$2:BD$149,$CB$2:$CB$149,Table1[[#This Row],[BAĞLANTI]])</f>
        <v>0</v>
      </c>
      <c r="BE219" s="8">
        <f>+SUMIFS(BE$2:BE$149,$CB$2:$CB$149,Table1[[#This Row],[BAĞLANTI]])</f>
        <v>0</v>
      </c>
      <c r="BF219" s="8">
        <f>+SUMIFS(BF$2:BF$149,$CB$2:$CB$149,Table1[[#This Row],[BAĞLANTI]])</f>
        <v>0</v>
      </c>
      <c r="BG219" s="8">
        <f>+SUMIFS(BG$2:BG$149,$CB$2:$CB$149,Table1[[#This Row],[BAĞLANTI]])</f>
        <v>0</v>
      </c>
      <c r="BH219" s="8">
        <f>+SUMIFS(BH$2:BH$149,$CB$2:$CB$149,Table1[[#This Row],[BAĞLANTI]])</f>
        <v>0</v>
      </c>
      <c r="BI219" s="8">
        <f>+SUMIFS(BI$2:BI$149,$CB$2:$CB$149,Table1[[#This Row],[BAĞLANTI]])</f>
        <v>0</v>
      </c>
      <c r="BJ219" s="8">
        <f>+SUMIFS(BJ$2:BJ$149,$CB$2:$CB$149,Table1[[#This Row],[BAĞLANTI]])</f>
        <v>0</v>
      </c>
      <c r="BK219" s="8">
        <f>+SUMIFS(BK$2:BK$149,$CB$2:$CB$149,Table1[[#This Row],[BAĞLANTI]])</f>
        <v>0</v>
      </c>
      <c r="BL219" s="8">
        <f>+SUMIFS(BL$2:BL$149,$CB$2:$CB$149,Table1[[#This Row],[BAĞLANTI]])</f>
        <v>0</v>
      </c>
      <c r="BM219" s="8">
        <f>+SUMIFS(BM$2:BM$149,$CB$2:$CB$149,Table1[[#This Row],[BAĞLANTI]])</f>
        <v>0</v>
      </c>
      <c r="BN219" s="8">
        <f>+SUMIFS(BN$2:BN$149,$CB$2:$CB$149,Table1[[#This Row],[BAĞLANTI]])</f>
        <v>0</v>
      </c>
      <c r="BO219" s="8">
        <f>+SUMIFS(BO$2:BO$149,$CB$2:$CB$149,Table1[[#This Row],[BAĞLANTI]])</f>
        <v>0</v>
      </c>
      <c r="BP219" s="8">
        <f>+SUMIFS(BP$2:BP$149,$CB$2:$CB$149,Table1[[#This Row],[BAĞLANTI]])</f>
        <v>0</v>
      </c>
      <c r="BQ219" s="8">
        <f>+SUMIFS(BQ$2:BQ$149,$CB$2:$CB$149,Table1[[#This Row],[BAĞLANTI]])</f>
        <v>0</v>
      </c>
      <c r="BR219" s="8">
        <f>+SUMIFS(BR$2:BR$149,$CB$2:$CB$149,Table1[[#This Row],[BAĞLANTI]])</f>
        <v>0</v>
      </c>
      <c r="BS219" s="8">
        <f>+SUMIFS(BS$2:BS$149,$CB$2:$CB$149,Table1[[#This Row],[BAĞLANTI]])</f>
        <v>0</v>
      </c>
      <c r="BT219" s="8">
        <f>+SUMIFS(BT$2:BT$149,$CB$2:$CB$149,Table1[[#This Row],[BAĞLANTI]])</f>
        <v>0</v>
      </c>
      <c r="BU219" s="8">
        <f>+SUMIFS(BU$2:BU$149,$CB$2:$CB$149,Table1[[#This Row],[BAĞLANTI]])</f>
        <v>0</v>
      </c>
      <c r="BV219" s="8">
        <f>+SUMIFS(BV$2:BV$149,$CB$2:$CB$149,Table1[[#This Row],[BAĞLANTI]])</f>
        <v>0</v>
      </c>
      <c r="BW219" s="8">
        <f>+SUMIFS(BW$2:BW$149,$CB$2:$CB$149,Table1[[#This Row],[BAĞLANTI]])</f>
        <v>0</v>
      </c>
      <c r="BX219" s="8">
        <f>+SUMIFS(BX$2:BX$149,$CB$2:$CB$149,Table1[[#This Row],[BAĞLANTI]])</f>
        <v>0</v>
      </c>
      <c r="BY219" s="8">
        <f>+SUMIFS(BY$2:BY$149,$CB$2:$CB$149,Table1[[#This Row],[BAĞLANTI]])</f>
        <v>0</v>
      </c>
      <c r="BZ219" s="8">
        <f>+SUMIFS(BZ$2:BZ$149,$CB$2:$CB$149,Table1[[#This Row],[BAĞLANTI]])</f>
        <v>0</v>
      </c>
      <c r="CA219" s="8">
        <f>+SUMIFS(CA$2:CA$149,$CB$2:$CB$149,Table1[[#This Row],[BAĞLANTI]])</f>
        <v>0</v>
      </c>
      <c r="CB219" s="8" t="s">
        <v>5422</v>
      </c>
    </row>
    <row r="220" spans="1:80">
      <c r="A220" s="3" t="s">
        <v>5444</v>
      </c>
      <c r="B220" t="s">
        <v>25</v>
      </c>
      <c r="C220" t="s">
        <v>344</v>
      </c>
      <c r="D220" t="s">
        <v>72</v>
      </c>
      <c r="E220" t="s">
        <v>4974</v>
      </c>
      <c r="F220" s="77" t="s">
        <v>4973</v>
      </c>
      <c r="G220" t="s">
        <v>4983</v>
      </c>
      <c r="H220" s="3" t="s">
        <v>4984</v>
      </c>
      <c r="I220" s="3" t="s">
        <v>5194</v>
      </c>
      <c r="J220" s="78"/>
      <c r="K220" s="78"/>
      <c r="M220" s="78"/>
      <c r="N220" s="8">
        <f>+SUMIFS(N$2:N$149,$CB$2:$CB$149,Table1[[#This Row],[BAĞLANTI]])</f>
        <v>0</v>
      </c>
      <c r="O220" s="8">
        <f>+SUMIFS(O$2:O$149,$CB$2:$CB$149,Table1[[#This Row],[BAĞLANTI]])</f>
        <v>0</v>
      </c>
      <c r="P220" s="8">
        <f>+SUMIFS(P$2:P$149,$CB$2:$CB$149,Table1[[#This Row],[BAĞLANTI]])</f>
        <v>0</v>
      </c>
      <c r="Q220" s="8">
        <f>+SUMIFS(Q$2:Q$149,$CB$2:$CB$149,Table1[[#This Row],[BAĞLANTI]])</f>
        <v>0</v>
      </c>
      <c r="R220" s="8">
        <f>+SUMIFS(R$2:R$149,$CB$2:$CB$149,Table1[[#This Row],[BAĞLANTI]])</f>
        <v>0</v>
      </c>
      <c r="S220" s="8">
        <f>+SUMIFS(S$2:S$149,$CB$2:$CB$149,Table1[[#This Row],[BAĞLANTI]])</f>
        <v>0</v>
      </c>
      <c r="T220" s="8">
        <f>+SUMIFS(T$2:T$149,$CB$2:$CB$149,Table1[[#This Row],[BAĞLANTI]])</f>
        <v>0</v>
      </c>
      <c r="U220" s="8">
        <f>+SUMIFS(U$2:U$149,$CB$2:$CB$149,Table1[[#This Row],[BAĞLANTI]])</f>
        <v>0</v>
      </c>
      <c r="V220" s="8">
        <f>+SUMIFS(V$2:V$149,$CB$2:$CB$149,Table1[[#This Row],[BAĞLANTI]])</f>
        <v>0</v>
      </c>
      <c r="W220" s="8">
        <f>+SUMIFS(W$2:W$149,$CB$2:$CB$149,Table1[[#This Row],[BAĞLANTI]])</f>
        <v>0</v>
      </c>
      <c r="X220" s="10">
        <f>+SUMIFS(X$2:X$149,$CB$2:$CB$149,Table1[[#This Row],[BAĞLANTI]])</f>
        <v>0</v>
      </c>
      <c r="Y220" s="8">
        <f>+SUMIFS(Y$2:Y$149,$CB$2:$CB$149,Table1[[#This Row],[BAĞLANTI]])</f>
        <v>0</v>
      </c>
      <c r="Z220" s="8">
        <f>+SUMIFS(Z$2:Z$149,$CB$2:$CB$149,Table1[[#This Row],[BAĞLANTI]])</f>
        <v>0</v>
      </c>
      <c r="AA220" s="8">
        <f>+SUMIFS(AA$2:AA$149,$CB$2:$CB$149,Table1[[#This Row],[BAĞLANTI]])</f>
        <v>1516.6217898832692</v>
      </c>
      <c r="AB220" s="8">
        <f>+SUMIFS(AB$2:AB$149,$CB$2:$CB$149,Table1[[#This Row],[BAĞLANTI]])</f>
        <v>2729.9192217898844</v>
      </c>
      <c r="AC220" s="8">
        <f>+SUMIFS(AC$2:AC$149,$CB$2:$CB$149,Table1[[#This Row],[BAĞLANTI]])</f>
        <v>758.3108949416328</v>
      </c>
      <c r="AD220" s="8">
        <f>+SUMIFS(AD$2:AD$149,$CB$2:$CB$149,Table1[[#This Row],[BAĞLANTI]])</f>
        <v>0</v>
      </c>
      <c r="AE220" s="8">
        <f>+SUMIFS(AE$2:AE$149,$CB$2:$CB$149,Table1[[#This Row],[BAĞLANTI]])</f>
        <v>0</v>
      </c>
      <c r="AF220" s="8">
        <f>+SUMIFS(AF$2:AF$149,$CB$2:$CB$149,Table1[[#This Row],[BAĞLANTI]])</f>
        <v>0</v>
      </c>
      <c r="AG220" s="8">
        <f>+SUMIFS(AG$2:AG$149,$CB$2:$CB$149,Table1[[#This Row],[BAĞLANTI]])</f>
        <v>0</v>
      </c>
      <c r="AH220" s="8">
        <f>+SUMIFS(AH$2:AH$149,$CB$2:$CB$149,Table1[[#This Row],[BAĞLANTI]])</f>
        <v>0</v>
      </c>
      <c r="AI220" s="8">
        <f>+SUMIFS(AI$2:AI$149,$CB$2:$CB$149,Table1[[#This Row],[BAĞLANTI]])</f>
        <v>0</v>
      </c>
      <c r="AJ220" s="8">
        <f>+SUMIFS(AJ$2:AJ$149,$CB$2:$CB$149,Table1[[#This Row],[BAĞLANTI]])</f>
        <v>0</v>
      </c>
      <c r="AK220" s="8">
        <f>+SUMIFS(AK$2:AK$149,$CB$2:$CB$149,Table1[[#This Row],[BAĞLANTI]])</f>
        <v>0</v>
      </c>
      <c r="AL220" s="8">
        <f>+SUMIFS(AL$2:AL$149,$CB$2:$CB$149,Table1[[#This Row],[BAĞLANTI]])</f>
        <v>0</v>
      </c>
      <c r="AM220" s="8">
        <f>+SUMIFS(AM$2:AM$149,$CB$2:$CB$149,Table1[[#This Row],[BAĞLANTI]])</f>
        <v>0</v>
      </c>
      <c r="AN220" s="8">
        <f>+SUMIFS(AN$2:AN$149,$CB$2:$CB$149,Table1[[#This Row],[BAĞLANTI]])</f>
        <v>0</v>
      </c>
      <c r="AO220" s="8">
        <f>+SUMIFS(AO$2:AO$149,$CB$2:$CB$149,Table1[[#This Row],[BAĞLANTI]])</f>
        <v>0</v>
      </c>
      <c r="AP220" s="8">
        <f>+SUMIFS(AP$2:AP$149,$CB$2:$CB$149,Table1[[#This Row],[BAĞLANTI]])</f>
        <v>0</v>
      </c>
      <c r="AQ220" s="8">
        <f>+SUMIFS(AQ$2:AQ$149,$CB$2:$CB$149,Table1[[#This Row],[BAĞLANTI]])</f>
        <v>0</v>
      </c>
      <c r="AR220" s="8">
        <f>+SUMIFS(AR$2:AR$149,$CB$2:$CB$149,Table1[[#This Row],[BAĞLANTI]])</f>
        <v>0</v>
      </c>
      <c r="AS220" s="8">
        <f>+SUMIFS(AS$2:AS$149,$CB$2:$CB$149,Table1[[#This Row],[BAĞLANTI]])</f>
        <v>1819.9461478599242</v>
      </c>
      <c r="AT220" s="8">
        <f>+SUMIFS(AT$2:AT$149,$CB$2:$CB$149,Table1[[#This Row],[BAĞLANTI]])</f>
        <v>2532.7583891049853</v>
      </c>
      <c r="AU220" s="8">
        <f>+SUMIFS(AU$2:AU$149,$CB$2:$CB$149,Table1[[#This Row],[BAĞLANTI]])</f>
        <v>5490.1708793774451</v>
      </c>
      <c r="AV220" s="8">
        <f>+SUMIFS(AV$2:AV$149,$CB$2:$CB$149,Table1[[#This Row],[BAĞLANTI]])</f>
        <v>5490.1708793774451</v>
      </c>
      <c r="AW220" s="8">
        <f>+SUMIFS(AW$2:AW$149,$CB$2:$CB$149,Table1[[#This Row],[BAĞLANTI]])</f>
        <v>5490.1708793774451</v>
      </c>
      <c r="AX220" s="8">
        <f>+SUMIFS(AX$2:AX$149,$CB$2:$CB$149,Table1[[#This Row],[BAĞLANTI]])</f>
        <v>5490.1708793774451</v>
      </c>
      <c r="AY220" s="8">
        <f>+SUMIFS(AY$2:AY$149,$CB$2:$CB$149,Table1[[#This Row],[BAĞLANTI]])</f>
        <v>5490.1708793774451</v>
      </c>
      <c r="AZ220" s="8">
        <f>+SUMIFS(AZ$2:AZ$149,$CB$2:$CB$149,Table1[[#This Row],[BAĞLANTI]])</f>
        <v>2168.7691595330739</v>
      </c>
      <c r="BA220" s="8">
        <f>+SUMIFS(BA$2:BA$149,$CB$2:$CB$149,Table1[[#This Row],[BAĞLANTI]])</f>
        <v>0</v>
      </c>
      <c r="BB220" s="8">
        <f>+SUMIFS(BB$2:BB$149,$CB$2:$CB$149,Table1[[#This Row],[BAĞLANTI]])</f>
        <v>0</v>
      </c>
      <c r="BC220" s="8">
        <f>+SUMIFS(BC$2:BC$149,$CB$2:$CB$149,Table1[[#This Row],[BAĞLANTI]])</f>
        <v>0</v>
      </c>
      <c r="BD220" s="8">
        <f>+SUMIFS(BD$2:BD$149,$CB$2:$CB$149,Table1[[#This Row],[BAĞLANTI]])</f>
        <v>0</v>
      </c>
      <c r="BE220" s="8">
        <f>+SUMIFS(BE$2:BE$149,$CB$2:$CB$149,Table1[[#This Row],[BAĞLANTI]])</f>
        <v>0</v>
      </c>
      <c r="BF220" s="8">
        <f>+SUMIFS(BF$2:BF$149,$CB$2:$CB$149,Table1[[#This Row],[BAĞLANTI]])</f>
        <v>0</v>
      </c>
      <c r="BG220" s="8">
        <f>+SUMIFS(BG$2:BG$149,$CB$2:$CB$149,Table1[[#This Row],[BAĞLANTI]])</f>
        <v>0</v>
      </c>
      <c r="BH220" s="8">
        <f>+SUMIFS(BH$2:BH$149,$CB$2:$CB$149,Table1[[#This Row],[BAĞLANTI]])</f>
        <v>0</v>
      </c>
      <c r="BI220" s="8">
        <f>+SUMIFS(BI$2:BI$149,$CB$2:$CB$149,Table1[[#This Row],[BAĞLANTI]])</f>
        <v>0</v>
      </c>
      <c r="BJ220" s="8">
        <f>+SUMIFS(BJ$2:BJ$149,$CB$2:$CB$149,Table1[[#This Row],[BAĞLANTI]])</f>
        <v>0</v>
      </c>
      <c r="BK220" s="8">
        <f>+SUMIFS(BK$2:BK$149,$CB$2:$CB$149,Table1[[#This Row],[BAĞLANTI]])</f>
        <v>0</v>
      </c>
      <c r="BL220" s="8">
        <f>+SUMIFS(BL$2:BL$149,$CB$2:$CB$149,Table1[[#This Row],[BAĞLANTI]])</f>
        <v>0</v>
      </c>
      <c r="BM220" s="8">
        <f>+SUMIFS(BM$2:BM$149,$CB$2:$CB$149,Table1[[#This Row],[BAĞLANTI]])</f>
        <v>0</v>
      </c>
      <c r="BN220" s="8">
        <f>+SUMIFS(BN$2:BN$149,$CB$2:$CB$149,Table1[[#This Row],[BAĞLANTI]])</f>
        <v>0</v>
      </c>
      <c r="BO220" s="8">
        <f>+SUMIFS(BO$2:BO$149,$CB$2:$CB$149,Table1[[#This Row],[BAĞLANTI]])</f>
        <v>0</v>
      </c>
      <c r="BP220" s="8">
        <f>+SUMIFS(BP$2:BP$149,$CB$2:$CB$149,Table1[[#This Row],[BAĞLANTI]])</f>
        <v>0</v>
      </c>
      <c r="BQ220" s="8">
        <f>+SUMIFS(BQ$2:BQ$149,$CB$2:$CB$149,Table1[[#This Row],[BAĞLANTI]])</f>
        <v>0</v>
      </c>
      <c r="BR220" s="8">
        <f>+SUMIFS(BR$2:BR$149,$CB$2:$CB$149,Table1[[#This Row],[BAĞLANTI]])</f>
        <v>0</v>
      </c>
      <c r="BS220" s="8">
        <f>+SUMIFS(BS$2:BS$149,$CB$2:$CB$149,Table1[[#This Row],[BAĞLANTI]])</f>
        <v>0</v>
      </c>
      <c r="BT220" s="8">
        <f>+SUMIFS(BT$2:BT$149,$CB$2:$CB$149,Table1[[#This Row],[BAĞLANTI]])</f>
        <v>0</v>
      </c>
      <c r="BU220" s="8">
        <f>+SUMIFS(BU$2:BU$149,$CB$2:$CB$149,Table1[[#This Row],[BAĞLANTI]])</f>
        <v>0</v>
      </c>
      <c r="BV220" s="8">
        <f>+SUMIFS(BV$2:BV$149,$CB$2:$CB$149,Table1[[#This Row],[BAĞLANTI]])</f>
        <v>0</v>
      </c>
      <c r="BW220" s="8">
        <f>+SUMIFS(BW$2:BW$149,$CB$2:$CB$149,Table1[[#This Row],[BAĞLANTI]])</f>
        <v>0</v>
      </c>
      <c r="BX220" s="8">
        <f>+SUMIFS(BX$2:BX$149,$CB$2:$CB$149,Table1[[#This Row],[BAĞLANTI]])</f>
        <v>0</v>
      </c>
      <c r="BY220" s="8">
        <f>+SUMIFS(BY$2:BY$149,$CB$2:$CB$149,Table1[[#This Row],[BAĞLANTI]])</f>
        <v>0</v>
      </c>
      <c r="BZ220" s="8">
        <f>+SUMIFS(BZ$2:BZ$149,$CB$2:$CB$149,Table1[[#This Row],[BAĞLANTI]])</f>
        <v>0</v>
      </c>
      <c r="CA220" s="8">
        <f>+SUMIFS(CA$2:CA$149,$CB$2:$CB$149,Table1[[#This Row],[BAĞLANTI]])</f>
        <v>0</v>
      </c>
      <c r="CB220" s="8" t="s">
        <v>5426</v>
      </c>
    </row>
    <row r="221" spans="1:80">
      <c r="A221" s="3" t="s">
        <v>5444</v>
      </c>
      <c r="B221" t="s">
        <v>25</v>
      </c>
      <c r="C221" t="s">
        <v>344</v>
      </c>
      <c r="D221" t="s">
        <v>74</v>
      </c>
      <c r="E221" t="s">
        <v>4975</v>
      </c>
      <c r="F221" s="77" t="s">
        <v>4973</v>
      </c>
      <c r="G221" t="s">
        <v>4983</v>
      </c>
      <c r="H221" s="3" t="s">
        <v>4984</v>
      </c>
      <c r="I221" s="3" t="s">
        <v>5194</v>
      </c>
      <c r="J221" s="78"/>
      <c r="K221" s="78"/>
      <c r="M221" s="78"/>
      <c r="N221" s="8">
        <f>+SUMIFS(N$2:N$149,$CB$2:$CB$149,Table1[[#This Row],[BAĞLANTI]])</f>
        <v>0</v>
      </c>
      <c r="O221" s="8">
        <f>+SUMIFS(O$2:O$149,$CB$2:$CB$149,Table1[[#This Row],[BAĞLANTI]])</f>
        <v>0</v>
      </c>
      <c r="P221" s="8">
        <f>+SUMIFS(P$2:P$149,$CB$2:$CB$149,Table1[[#This Row],[BAĞLANTI]])</f>
        <v>0</v>
      </c>
      <c r="Q221" s="8">
        <f>+SUMIFS(Q$2:Q$149,$CB$2:$CB$149,Table1[[#This Row],[BAĞLANTI]])</f>
        <v>0</v>
      </c>
      <c r="R221" s="8">
        <f>+SUMIFS(R$2:R$149,$CB$2:$CB$149,Table1[[#This Row],[BAĞLANTI]])</f>
        <v>0</v>
      </c>
      <c r="S221" s="8">
        <f>+SUMIFS(S$2:S$149,$CB$2:$CB$149,Table1[[#This Row],[BAĞLANTI]])</f>
        <v>0</v>
      </c>
      <c r="T221" s="8">
        <f>+SUMIFS(T$2:T$149,$CB$2:$CB$149,Table1[[#This Row],[BAĞLANTI]])</f>
        <v>0</v>
      </c>
      <c r="U221" s="8">
        <f>+SUMIFS(U$2:U$149,$CB$2:$CB$149,Table1[[#This Row],[BAĞLANTI]])</f>
        <v>0</v>
      </c>
      <c r="V221" s="8">
        <f>+SUMIFS(V$2:V$149,$CB$2:$CB$149,Table1[[#This Row],[BAĞLANTI]])</f>
        <v>0</v>
      </c>
      <c r="W221" s="8">
        <f>+SUMIFS(W$2:W$149,$CB$2:$CB$149,Table1[[#This Row],[BAĞLANTI]])</f>
        <v>0</v>
      </c>
      <c r="X221" s="10">
        <f>+SUMIFS(X$2:X$149,$CB$2:$CB$149,Table1[[#This Row],[BAĞLANTI]])</f>
        <v>0</v>
      </c>
      <c r="Y221" s="8">
        <f>+SUMIFS(Y$2:Y$149,$CB$2:$CB$149,Table1[[#This Row],[BAĞLANTI]])</f>
        <v>0</v>
      </c>
      <c r="Z221" s="8">
        <f>+SUMIFS(Z$2:Z$149,$CB$2:$CB$149,Table1[[#This Row],[BAĞLANTI]])</f>
        <v>0</v>
      </c>
      <c r="AA221" s="8">
        <f>+SUMIFS(AA$2:AA$149,$CB$2:$CB$149,Table1[[#This Row],[BAĞLANTI]])</f>
        <v>0</v>
      </c>
      <c r="AB221" s="8">
        <f>+SUMIFS(AB$2:AB$149,$CB$2:$CB$149,Table1[[#This Row],[BAĞLANTI]])</f>
        <v>0</v>
      </c>
      <c r="AC221" s="8">
        <f>+SUMIFS(AC$2:AC$149,$CB$2:$CB$149,Table1[[#This Row],[BAĞLANTI]])</f>
        <v>3930.4417639999997</v>
      </c>
      <c r="AD221" s="8">
        <f>+SUMIFS(AD$2:AD$149,$CB$2:$CB$149,Table1[[#This Row],[BAĞLANTI]])</f>
        <v>3786.8639826666754</v>
      </c>
      <c r="AE221" s="8">
        <f>+SUMIFS(AE$2:AE$149,$CB$2:$CB$149,Table1[[#This Row],[BAĞLANTI]])</f>
        <v>3768.9167600000001</v>
      </c>
      <c r="AF221" s="8">
        <f>+SUMIFS(AF$2:AF$149,$CB$2:$CB$149,Table1[[#This Row],[BAĞLANTI]])</f>
        <v>4594.4890026666753</v>
      </c>
      <c r="AG221" s="8">
        <f>+SUMIFS(AG$2:AG$149,$CB$2:$CB$149,Table1[[#This Row],[BAĞLANTI]])</f>
        <v>5402.1140226666748</v>
      </c>
      <c r="AH221" s="8">
        <f>+SUMIFS(AH$2:AH$149,$CB$2:$CB$149,Table1[[#This Row],[BAĞLANTI]])</f>
        <v>4630.3834479999996</v>
      </c>
      <c r="AI221" s="8">
        <f>+SUMIFS(AI$2:AI$149,$CB$2:$CB$149,Table1[[#This Row],[BAĞLANTI]])</f>
        <v>807.62501999999995</v>
      </c>
      <c r="AJ221" s="8">
        <f>+SUMIFS(AJ$2:AJ$149,$CB$2:$CB$149,Table1[[#This Row],[BAĞLANTI]])</f>
        <v>0</v>
      </c>
      <c r="AK221" s="8">
        <f>+SUMIFS(AK$2:AK$149,$CB$2:$CB$149,Table1[[#This Row],[BAĞLANTI]])</f>
        <v>0</v>
      </c>
      <c r="AL221" s="8">
        <f>+SUMIFS(AL$2:AL$149,$CB$2:$CB$149,Table1[[#This Row],[BAĞLANTI]])</f>
        <v>0</v>
      </c>
      <c r="AM221" s="8">
        <f>+SUMIFS(AM$2:AM$149,$CB$2:$CB$149,Table1[[#This Row],[BAĞLANTI]])</f>
        <v>0</v>
      </c>
      <c r="AN221" s="8">
        <f>+SUMIFS(AN$2:AN$149,$CB$2:$CB$149,Table1[[#This Row],[BAĞLANTI]])</f>
        <v>0</v>
      </c>
      <c r="AO221" s="8">
        <f>+SUMIFS(AO$2:AO$149,$CB$2:$CB$149,Table1[[#This Row],[BAĞLANTI]])</f>
        <v>0</v>
      </c>
      <c r="AP221" s="8">
        <f>+SUMIFS(AP$2:AP$149,$CB$2:$CB$149,Table1[[#This Row],[BAĞLANTI]])</f>
        <v>0</v>
      </c>
      <c r="AQ221" s="8">
        <f>+SUMIFS(AQ$2:AQ$149,$CB$2:$CB$149,Table1[[#This Row],[BAĞLANTI]])</f>
        <v>0</v>
      </c>
      <c r="AR221" s="8">
        <f>+SUMIFS(AR$2:AR$149,$CB$2:$CB$149,Table1[[#This Row],[BAĞLANTI]])</f>
        <v>0</v>
      </c>
      <c r="AS221" s="8">
        <f>+SUMIFS(AS$2:AS$149,$CB$2:$CB$149,Table1[[#This Row],[BAĞLANTI]])</f>
        <v>0</v>
      </c>
      <c r="AT221" s="8">
        <f>+SUMIFS(AT$2:AT$149,$CB$2:$CB$149,Table1[[#This Row],[BAĞLANTI]])</f>
        <v>0</v>
      </c>
      <c r="AU221" s="8">
        <f>+SUMIFS(AU$2:AU$149,$CB$2:$CB$149,Table1[[#This Row],[BAĞLANTI]])</f>
        <v>0</v>
      </c>
      <c r="AV221" s="8">
        <f>+SUMIFS(AV$2:AV$149,$CB$2:$CB$149,Table1[[#This Row],[BAĞLANTI]])</f>
        <v>0</v>
      </c>
      <c r="AW221" s="8">
        <f>+SUMIFS(AW$2:AW$149,$CB$2:$CB$149,Table1[[#This Row],[BAĞLANTI]])</f>
        <v>0</v>
      </c>
      <c r="AX221" s="8">
        <f>+SUMIFS(AX$2:AX$149,$CB$2:$CB$149,Table1[[#This Row],[BAĞLANTI]])</f>
        <v>0</v>
      </c>
      <c r="AY221" s="8">
        <f>+SUMIFS(AY$2:AY$149,$CB$2:$CB$149,Table1[[#This Row],[BAĞLANTI]])</f>
        <v>0</v>
      </c>
      <c r="AZ221" s="8">
        <f>+SUMIFS(AZ$2:AZ$149,$CB$2:$CB$149,Table1[[#This Row],[BAĞLANTI]])</f>
        <v>0</v>
      </c>
      <c r="BA221" s="8">
        <f>+SUMIFS(BA$2:BA$149,$CB$2:$CB$149,Table1[[#This Row],[BAĞLANTI]])</f>
        <v>0</v>
      </c>
      <c r="BB221" s="8">
        <f>+SUMIFS(BB$2:BB$149,$CB$2:$CB$149,Table1[[#This Row],[BAĞLANTI]])</f>
        <v>0</v>
      </c>
      <c r="BC221" s="8">
        <f>+SUMIFS(BC$2:BC$149,$CB$2:$CB$149,Table1[[#This Row],[BAĞLANTI]])</f>
        <v>0</v>
      </c>
      <c r="BD221" s="8">
        <f>+SUMIFS(BD$2:BD$149,$CB$2:$CB$149,Table1[[#This Row],[BAĞLANTI]])</f>
        <v>0</v>
      </c>
      <c r="BE221" s="8">
        <f>+SUMIFS(BE$2:BE$149,$CB$2:$CB$149,Table1[[#This Row],[BAĞLANTI]])</f>
        <v>0</v>
      </c>
      <c r="BF221" s="8">
        <f>+SUMIFS(BF$2:BF$149,$CB$2:$CB$149,Table1[[#This Row],[BAĞLANTI]])</f>
        <v>0</v>
      </c>
      <c r="BG221" s="8">
        <f>+SUMIFS(BG$2:BG$149,$CB$2:$CB$149,Table1[[#This Row],[BAĞLANTI]])</f>
        <v>0</v>
      </c>
      <c r="BH221" s="8">
        <f>+SUMIFS(BH$2:BH$149,$CB$2:$CB$149,Table1[[#This Row],[BAĞLANTI]])</f>
        <v>0</v>
      </c>
      <c r="BI221" s="8">
        <f>+SUMIFS(BI$2:BI$149,$CB$2:$CB$149,Table1[[#This Row],[BAĞLANTI]])</f>
        <v>0</v>
      </c>
      <c r="BJ221" s="8">
        <f>+SUMIFS(BJ$2:BJ$149,$CB$2:$CB$149,Table1[[#This Row],[BAĞLANTI]])</f>
        <v>0</v>
      </c>
      <c r="BK221" s="8">
        <f>+SUMIFS(BK$2:BK$149,$CB$2:$CB$149,Table1[[#This Row],[BAĞLANTI]])</f>
        <v>0</v>
      </c>
      <c r="BL221" s="8">
        <f>+SUMIFS(BL$2:BL$149,$CB$2:$CB$149,Table1[[#This Row],[BAĞLANTI]])</f>
        <v>0</v>
      </c>
      <c r="BM221" s="8">
        <f>+SUMIFS(BM$2:BM$149,$CB$2:$CB$149,Table1[[#This Row],[BAĞLANTI]])</f>
        <v>0</v>
      </c>
      <c r="BN221" s="8">
        <f>+SUMIFS(BN$2:BN$149,$CB$2:$CB$149,Table1[[#This Row],[BAĞLANTI]])</f>
        <v>0</v>
      </c>
      <c r="BO221" s="8">
        <f>+SUMIFS(BO$2:BO$149,$CB$2:$CB$149,Table1[[#This Row],[BAĞLANTI]])</f>
        <v>0</v>
      </c>
      <c r="BP221" s="8">
        <f>+SUMIFS(BP$2:BP$149,$CB$2:$CB$149,Table1[[#This Row],[BAĞLANTI]])</f>
        <v>0</v>
      </c>
      <c r="BQ221" s="8">
        <f>+SUMIFS(BQ$2:BQ$149,$CB$2:$CB$149,Table1[[#This Row],[BAĞLANTI]])</f>
        <v>0</v>
      </c>
      <c r="BR221" s="8">
        <f>+SUMIFS(BR$2:BR$149,$CB$2:$CB$149,Table1[[#This Row],[BAĞLANTI]])</f>
        <v>0</v>
      </c>
      <c r="BS221" s="8">
        <f>+SUMIFS(BS$2:BS$149,$CB$2:$CB$149,Table1[[#This Row],[BAĞLANTI]])</f>
        <v>0</v>
      </c>
      <c r="BT221" s="8">
        <f>+SUMIFS(BT$2:BT$149,$CB$2:$CB$149,Table1[[#This Row],[BAĞLANTI]])</f>
        <v>0</v>
      </c>
      <c r="BU221" s="8">
        <f>+SUMIFS(BU$2:BU$149,$CB$2:$CB$149,Table1[[#This Row],[BAĞLANTI]])</f>
        <v>0</v>
      </c>
      <c r="BV221" s="8">
        <f>+SUMIFS(BV$2:BV$149,$CB$2:$CB$149,Table1[[#This Row],[BAĞLANTI]])</f>
        <v>0</v>
      </c>
      <c r="BW221" s="8">
        <f>+SUMIFS(BW$2:BW$149,$CB$2:$CB$149,Table1[[#This Row],[BAĞLANTI]])</f>
        <v>0</v>
      </c>
      <c r="BX221" s="8">
        <f>+SUMIFS(BX$2:BX$149,$CB$2:$CB$149,Table1[[#This Row],[BAĞLANTI]])</f>
        <v>0</v>
      </c>
      <c r="BY221" s="8">
        <f>+SUMIFS(BY$2:BY$149,$CB$2:$CB$149,Table1[[#This Row],[BAĞLANTI]])</f>
        <v>0</v>
      </c>
      <c r="BZ221" s="8">
        <f>+SUMIFS(BZ$2:BZ$149,$CB$2:$CB$149,Table1[[#This Row],[BAĞLANTI]])</f>
        <v>0</v>
      </c>
      <c r="CA221" s="8">
        <f>+SUMIFS(CA$2:CA$149,$CB$2:$CB$149,Table1[[#This Row],[BAĞLANTI]])</f>
        <v>0</v>
      </c>
      <c r="CB221" s="8" t="s">
        <v>5427</v>
      </c>
    </row>
    <row r="222" spans="1:80">
      <c r="A222" s="3" t="s">
        <v>5444</v>
      </c>
      <c r="B222" t="s">
        <v>25</v>
      </c>
      <c r="C222" t="s">
        <v>344</v>
      </c>
      <c r="D222" t="s">
        <v>5182</v>
      </c>
      <c r="E222" t="s">
        <v>5183</v>
      </c>
      <c r="F222" s="77" t="s">
        <v>4973</v>
      </c>
      <c r="G222" t="s">
        <v>4983</v>
      </c>
      <c r="H222" s="3" t="s">
        <v>4984</v>
      </c>
      <c r="I222" s="3" t="s">
        <v>5194</v>
      </c>
      <c r="J222" s="78"/>
      <c r="K222" s="78"/>
      <c r="M222" s="78"/>
      <c r="N222" s="8">
        <f>+SUMIFS(N$2:N$149,$CB$2:$CB$149,Table1[[#This Row],[BAĞLANTI]])</f>
        <v>0</v>
      </c>
      <c r="O222" s="8">
        <f>+SUMIFS(O$2:O$149,$CB$2:$CB$149,Table1[[#This Row],[BAĞLANTI]])</f>
        <v>0</v>
      </c>
      <c r="P222" s="8">
        <f>+SUMIFS(P$2:P$149,$CB$2:$CB$149,Table1[[#This Row],[BAĞLANTI]])</f>
        <v>0</v>
      </c>
      <c r="Q222" s="8">
        <f>+SUMIFS(Q$2:Q$149,$CB$2:$CB$149,Table1[[#This Row],[BAĞLANTI]])</f>
        <v>0</v>
      </c>
      <c r="R222" s="8">
        <f>+SUMIFS(R$2:R$149,$CB$2:$CB$149,Table1[[#This Row],[BAĞLANTI]])</f>
        <v>0</v>
      </c>
      <c r="S222" s="8">
        <f>+SUMIFS(S$2:S$149,$CB$2:$CB$149,Table1[[#This Row],[BAĞLANTI]])</f>
        <v>0</v>
      </c>
      <c r="T222" s="8">
        <f>+SUMIFS(T$2:T$149,$CB$2:$CB$149,Table1[[#This Row],[BAĞLANTI]])</f>
        <v>0</v>
      </c>
      <c r="U222" s="8">
        <f>+SUMIFS(U$2:U$149,$CB$2:$CB$149,Table1[[#This Row],[BAĞLANTI]])</f>
        <v>0</v>
      </c>
      <c r="V222" s="8">
        <f>+SUMIFS(V$2:V$149,$CB$2:$CB$149,Table1[[#This Row],[BAĞLANTI]])</f>
        <v>0</v>
      </c>
      <c r="W222" s="8">
        <f>+SUMIFS(W$2:W$149,$CB$2:$CB$149,Table1[[#This Row],[BAĞLANTI]])</f>
        <v>0</v>
      </c>
      <c r="X222" s="10">
        <f>+SUMIFS(X$2:X$149,$CB$2:$CB$149,Table1[[#This Row],[BAĞLANTI]])</f>
        <v>0</v>
      </c>
      <c r="Y222" s="8">
        <f>+SUMIFS(Y$2:Y$149,$CB$2:$CB$149,Table1[[#This Row],[BAĞLANTI]])</f>
        <v>0</v>
      </c>
      <c r="Z222" s="8">
        <f>+SUMIFS(Z$2:Z$149,$CB$2:$CB$149,Table1[[#This Row],[BAĞLANTI]])</f>
        <v>0</v>
      </c>
      <c r="AA222" s="8">
        <f>+SUMIFS(AA$2:AA$149,$CB$2:$CB$149,Table1[[#This Row],[BAĞLANTI]])</f>
        <v>0</v>
      </c>
      <c r="AB222" s="8">
        <f>+SUMIFS(AB$2:AB$149,$CB$2:$CB$149,Table1[[#This Row],[BAĞLANTI]])</f>
        <v>0</v>
      </c>
      <c r="AC222" s="8">
        <f>+SUMIFS(AC$2:AC$149,$CB$2:$CB$149,Table1[[#This Row],[BAĞLANTI]])</f>
        <v>0</v>
      </c>
      <c r="AD222" s="8">
        <f>+SUMIFS(AD$2:AD$149,$CB$2:$CB$149,Table1[[#This Row],[BAĞLANTI]])</f>
        <v>0</v>
      </c>
      <c r="AE222" s="8">
        <f>+SUMIFS(AE$2:AE$149,$CB$2:$CB$149,Table1[[#This Row],[BAĞLANTI]])</f>
        <v>0</v>
      </c>
      <c r="AF222" s="8">
        <f>+SUMIFS(AF$2:AF$149,$CB$2:$CB$149,Table1[[#This Row],[BAĞLANTI]])</f>
        <v>0</v>
      </c>
      <c r="AG222" s="8">
        <f>+SUMIFS(AG$2:AG$149,$CB$2:$CB$149,Table1[[#This Row],[BAĞLANTI]])</f>
        <v>0</v>
      </c>
      <c r="AH222" s="8">
        <f>+SUMIFS(AH$2:AH$149,$CB$2:$CB$149,Table1[[#This Row],[BAĞLANTI]])</f>
        <v>0</v>
      </c>
      <c r="AI222" s="8">
        <f>+SUMIFS(AI$2:AI$149,$CB$2:$CB$149,Table1[[#This Row],[BAĞLANTI]])</f>
        <v>0</v>
      </c>
      <c r="AJ222" s="8">
        <f>+SUMIFS(AJ$2:AJ$149,$CB$2:$CB$149,Table1[[#This Row],[BAĞLANTI]])</f>
        <v>0</v>
      </c>
      <c r="AK222" s="8">
        <f>+SUMIFS(AK$2:AK$149,$CB$2:$CB$149,Table1[[#This Row],[BAĞLANTI]])</f>
        <v>0</v>
      </c>
      <c r="AL222" s="8">
        <f>+SUMIFS(AL$2:AL$149,$CB$2:$CB$149,Table1[[#This Row],[BAĞLANTI]])</f>
        <v>8241.5244705882287</v>
      </c>
      <c r="AM222" s="8">
        <f>+SUMIFS(AM$2:AM$149,$CB$2:$CB$149,Table1[[#This Row],[BAĞLANTI]])</f>
        <v>8241.5244705882287</v>
      </c>
      <c r="AN222" s="8">
        <f>+SUMIFS(AN$2:AN$149,$CB$2:$CB$149,Table1[[#This Row],[BAĞLANTI]])</f>
        <v>6867.9370588235406</v>
      </c>
      <c r="AO222" s="8">
        <f>+SUMIFS(AO$2:AO$149,$CB$2:$CB$149,Table1[[#This Row],[BAĞLANTI]])</f>
        <v>0</v>
      </c>
      <c r="AP222" s="8">
        <f>+SUMIFS(AP$2:AP$149,$CB$2:$CB$149,Table1[[#This Row],[BAĞLANTI]])</f>
        <v>0</v>
      </c>
      <c r="AQ222" s="8">
        <f>+SUMIFS(AQ$2:AQ$149,$CB$2:$CB$149,Table1[[#This Row],[BAĞLANTI]])</f>
        <v>0</v>
      </c>
      <c r="AR222" s="8">
        <f>+SUMIFS(AR$2:AR$149,$CB$2:$CB$149,Table1[[#This Row],[BAĞLANTI]])</f>
        <v>0</v>
      </c>
      <c r="AS222" s="8">
        <f>+SUMIFS(AS$2:AS$149,$CB$2:$CB$149,Table1[[#This Row],[BAĞLANTI]])</f>
        <v>0</v>
      </c>
      <c r="AT222" s="8">
        <f>+SUMIFS(AT$2:AT$149,$CB$2:$CB$149,Table1[[#This Row],[BAĞLANTI]])</f>
        <v>0</v>
      </c>
      <c r="AU222" s="8">
        <f>+SUMIFS(AU$2:AU$149,$CB$2:$CB$149,Table1[[#This Row],[BAĞLANTI]])</f>
        <v>0</v>
      </c>
      <c r="AV222" s="8">
        <f>+SUMIFS(AV$2:AV$149,$CB$2:$CB$149,Table1[[#This Row],[BAĞLANTI]])</f>
        <v>0</v>
      </c>
      <c r="AW222" s="8">
        <f>+SUMIFS(AW$2:AW$149,$CB$2:$CB$149,Table1[[#This Row],[BAĞLANTI]])</f>
        <v>0</v>
      </c>
      <c r="AX222" s="8">
        <f>+SUMIFS(AX$2:AX$149,$CB$2:$CB$149,Table1[[#This Row],[BAĞLANTI]])</f>
        <v>0</v>
      </c>
      <c r="AY222" s="8">
        <f>+SUMIFS(AY$2:AY$149,$CB$2:$CB$149,Table1[[#This Row],[BAĞLANTI]])</f>
        <v>0</v>
      </c>
      <c r="AZ222" s="8">
        <f>+SUMIFS(AZ$2:AZ$149,$CB$2:$CB$149,Table1[[#This Row],[BAĞLANTI]])</f>
        <v>0</v>
      </c>
      <c r="BA222" s="8">
        <f>+SUMIFS(BA$2:BA$149,$CB$2:$CB$149,Table1[[#This Row],[BAĞLANTI]])</f>
        <v>0</v>
      </c>
      <c r="BB222" s="8">
        <f>+SUMIFS(BB$2:BB$149,$CB$2:$CB$149,Table1[[#This Row],[BAĞLANTI]])</f>
        <v>0</v>
      </c>
      <c r="BC222" s="8">
        <f>+SUMIFS(BC$2:BC$149,$CB$2:$CB$149,Table1[[#This Row],[BAĞLANTI]])</f>
        <v>0</v>
      </c>
      <c r="BD222" s="8">
        <f>+SUMIFS(BD$2:BD$149,$CB$2:$CB$149,Table1[[#This Row],[BAĞLANTI]])</f>
        <v>0</v>
      </c>
      <c r="BE222" s="8">
        <f>+SUMIFS(BE$2:BE$149,$CB$2:$CB$149,Table1[[#This Row],[BAĞLANTI]])</f>
        <v>0</v>
      </c>
      <c r="BF222" s="8">
        <f>+SUMIFS(BF$2:BF$149,$CB$2:$CB$149,Table1[[#This Row],[BAĞLANTI]])</f>
        <v>0</v>
      </c>
      <c r="BG222" s="8">
        <f>+SUMIFS(BG$2:BG$149,$CB$2:$CB$149,Table1[[#This Row],[BAĞLANTI]])</f>
        <v>0</v>
      </c>
      <c r="BH222" s="8">
        <f>+SUMIFS(BH$2:BH$149,$CB$2:$CB$149,Table1[[#This Row],[BAĞLANTI]])</f>
        <v>0</v>
      </c>
      <c r="BI222" s="8">
        <f>+SUMIFS(BI$2:BI$149,$CB$2:$CB$149,Table1[[#This Row],[BAĞLANTI]])</f>
        <v>0</v>
      </c>
      <c r="BJ222" s="8">
        <f>+SUMIFS(BJ$2:BJ$149,$CB$2:$CB$149,Table1[[#This Row],[BAĞLANTI]])</f>
        <v>0</v>
      </c>
      <c r="BK222" s="8">
        <f>+SUMIFS(BK$2:BK$149,$CB$2:$CB$149,Table1[[#This Row],[BAĞLANTI]])</f>
        <v>0</v>
      </c>
      <c r="BL222" s="8">
        <f>+SUMIFS(BL$2:BL$149,$CB$2:$CB$149,Table1[[#This Row],[BAĞLANTI]])</f>
        <v>0</v>
      </c>
      <c r="BM222" s="8">
        <f>+SUMIFS(BM$2:BM$149,$CB$2:$CB$149,Table1[[#This Row],[BAĞLANTI]])</f>
        <v>0</v>
      </c>
      <c r="BN222" s="8">
        <f>+SUMIFS(BN$2:BN$149,$CB$2:$CB$149,Table1[[#This Row],[BAĞLANTI]])</f>
        <v>0</v>
      </c>
      <c r="BO222" s="8">
        <f>+SUMIFS(BO$2:BO$149,$CB$2:$CB$149,Table1[[#This Row],[BAĞLANTI]])</f>
        <v>0</v>
      </c>
      <c r="BP222" s="8">
        <f>+SUMIFS(BP$2:BP$149,$CB$2:$CB$149,Table1[[#This Row],[BAĞLANTI]])</f>
        <v>0</v>
      </c>
      <c r="BQ222" s="8">
        <f>+SUMIFS(BQ$2:BQ$149,$CB$2:$CB$149,Table1[[#This Row],[BAĞLANTI]])</f>
        <v>0</v>
      </c>
      <c r="BR222" s="8">
        <f>+SUMIFS(BR$2:BR$149,$CB$2:$CB$149,Table1[[#This Row],[BAĞLANTI]])</f>
        <v>0</v>
      </c>
      <c r="BS222" s="8">
        <f>+SUMIFS(BS$2:BS$149,$CB$2:$CB$149,Table1[[#This Row],[BAĞLANTI]])</f>
        <v>0</v>
      </c>
      <c r="BT222" s="8">
        <f>+SUMIFS(BT$2:BT$149,$CB$2:$CB$149,Table1[[#This Row],[BAĞLANTI]])</f>
        <v>0</v>
      </c>
      <c r="BU222" s="8">
        <f>+SUMIFS(BU$2:BU$149,$CB$2:$CB$149,Table1[[#This Row],[BAĞLANTI]])</f>
        <v>0</v>
      </c>
      <c r="BV222" s="8">
        <f>+SUMIFS(BV$2:BV$149,$CB$2:$CB$149,Table1[[#This Row],[BAĞLANTI]])</f>
        <v>0</v>
      </c>
      <c r="BW222" s="8">
        <f>+SUMIFS(BW$2:BW$149,$CB$2:$CB$149,Table1[[#This Row],[BAĞLANTI]])</f>
        <v>0</v>
      </c>
      <c r="BX222" s="8">
        <f>+SUMIFS(BX$2:BX$149,$CB$2:$CB$149,Table1[[#This Row],[BAĞLANTI]])</f>
        <v>0</v>
      </c>
      <c r="BY222" s="8">
        <f>+SUMIFS(BY$2:BY$149,$CB$2:$CB$149,Table1[[#This Row],[BAĞLANTI]])</f>
        <v>0</v>
      </c>
      <c r="BZ222" s="8">
        <f>+SUMIFS(BZ$2:BZ$149,$CB$2:$CB$149,Table1[[#This Row],[BAĞLANTI]])</f>
        <v>0</v>
      </c>
      <c r="CA222" s="8">
        <f>+SUMIFS(CA$2:CA$149,$CB$2:$CB$149,Table1[[#This Row],[BAĞLANTI]])</f>
        <v>0</v>
      </c>
      <c r="CB222" s="8" t="s">
        <v>5428</v>
      </c>
    </row>
    <row r="223" spans="1:80">
      <c r="A223" s="3" t="s">
        <v>5444</v>
      </c>
      <c r="B223" t="s">
        <v>26</v>
      </c>
      <c r="C223" t="s">
        <v>348</v>
      </c>
      <c r="D223" t="s">
        <v>72</v>
      </c>
      <c r="E223" t="s">
        <v>4974</v>
      </c>
      <c r="F223" s="77" t="s">
        <v>4973</v>
      </c>
      <c r="G223" t="s">
        <v>4983</v>
      </c>
      <c r="H223" s="3" t="s">
        <v>4984</v>
      </c>
      <c r="I223" s="3" t="s">
        <v>5194</v>
      </c>
      <c r="J223" s="78"/>
      <c r="K223" s="78"/>
      <c r="M223" s="78"/>
      <c r="N223" s="8">
        <f>+SUMIFS(N$2:N$149,$CB$2:$CB$149,Table1[[#This Row],[BAĞLANTI]])</f>
        <v>0</v>
      </c>
      <c r="O223" s="8">
        <f>+SUMIFS(O$2:O$149,$CB$2:$CB$149,Table1[[#This Row],[BAĞLANTI]])</f>
        <v>0</v>
      </c>
      <c r="P223" s="8">
        <f>+SUMIFS(P$2:P$149,$CB$2:$CB$149,Table1[[#This Row],[BAĞLANTI]])</f>
        <v>0</v>
      </c>
      <c r="Q223" s="8">
        <f>+SUMIFS(Q$2:Q$149,$CB$2:$CB$149,Table1[[#This Row],[BAĞLANTI]])</f>
        <v>0</v>
      </c>
      <c r="R223" s="8">
        <f>+SUMIFS(R$2:R$149,$CB$2:$CB$149,Table1[[#This Row],[BAĞLANTI]])</f>
        <v>0</v>
      </c>
      <c r="S223" s="8">
        <f>+SUMIFS(S$2:S$149,$CB$2:$CB$149,Table1[[#This Row],[BAĞLANTI]])</f>
        <v>0</v>
      </c>
      <c r="T223" s="8">
        <f>+SUMIFS(T$2:T$149,$CB$2:$CB$149,Table1[[#This Row],[BAĞLANTI]])</f>
        <v>0</v>
      </c>
      <c r="U223" s="8">
        <f>+SUMIFS(U$2:U$149,$CB$2:$CB$149,Table1[[#This Row],[BAĞLANTI]])</f>
        <v>0</v>
      </c>
      <c r="V223" s="8">
        <f>+SUMIFS(V$2:V$149,$CB$2:$CB$149,Table1[[#This Row],[BAĞLANTI]])</f>
        <v>0</v>
      </c>
      <c r="W223" s="8">
        <f>+SUMIFS(W$2:W$149,$CB$2:$CB$149,Table1[[#This Row],[BAĞLANTI]])</f>
        <v>0</v>
      </c>
      <c r="X223" s="10">
        <f>+SUMIFS(X$2:X$149,$CB$2:$CB$149,Table1[[#This Row],[BAĞLANTI]])</f>
        <v>0</v>
      </c>
      <c r="Y223" s="8">
        <f>+SUMIFS(Y$2:Y$149,$CB$2:$CB$149,Table1[[#This Row],[BAĞLANTI]])</f>
        <v>256.42384105960281</v>
      </c>
      <c r="Z223" s="8">
        <f>+SUMIFS(Z$2:Z$149,$CB$2:$CB$149,Table1[[#This Row],[BAĞLANTI]])</f>
        <v>236.02649006622508</v>
      </c>
      <c r="AA223" s="8">
        <f>+SUMIFS(AA$2:AA$149,$CB$2:$CB$149,Table1[[#This Row],[BAĞLANTI]])</f>
        <v>128.21192052980123</v>
      </c>
      <c r="AB223" s="8">
        <f>+SUMIFS(AB$2:AB$149,$CB$2:$CB$149,Table1[[#This Row],[BAĞLANTI]])</f>
        <v>128.21192052980123</v>
      </c>
      <c r="AC223" s="8">
        <f>+SUMIFS(AC$2:AC$149,$CB$2:$CB$149,Table1[[#This Row],[BAĞLANTI]])</f>
        <v>128.21192052980123</v>
      </c>
      <c r="AD223" s="8">
        <f>+SUMIFS(AD$2:AD$149,$CB$2:$CB$149,Table1[[#This Row],[BAĞLANTI]])</f>
        <v>128.21192052980123</v>
      </c>
      <c r="AE223" s="8">
        <f>+SUMIFS(AE$2:AE$149,$CB$2:$CB$149,Table1[[#This Row],[BAĞLANTI]])</f>
        <v>128.21192052980123</v>
      </c>
      <c r="AF223" s="8">
        <f>+SUMIFS(AF$2:AF$149,$CB$2:$CB$149,Table1[[#This Row],[BAĞLANTI]])</f>
        <v>96.158940397350932</v>
      </c>
      <c r="AG223" s="8">
        <f>+SUMIFS(AG$2:AG$149,$CB$2:$CB$149,Table1[[#This Row],[BAĞLANTI]])</f>
        <v>128.21192052980123</v>
      </c>
      <c r="AH223" s="8">
        <f>+SUMIFS(AH$2:AH$149,$CB$2:$CB$149,Table1[[#This Row],[BAĞLANTI]])</f>
        <v>96.158940397350932</v>
      </c>
      <c r="AI223" s="8">
        <f>+SUMIFS(AI$2:AI$149,$CB$2:$CB$149,Table1[[#This Row],[BAĞLANTI]])</f>
        <v>128.21192052980123</v>
      </c>
      <c r="AJ223" s="8">
        <f>+SUMIFS(AJ$2:AJ$149,$CB$2:$CB$149,Table1[[#This Row],[BAĞLANTI]])</f>
        <v>128.21192052980123</v>
      </c>
      <c r="AK223" s="8">
        <f>+SUMIFS(AK$2:AK$149,$CB$2:$CB$149,Table1[[#This Row],[BAĞLANTI]])</f>
        <v>128.21192052980123</v>
      </c>
      <c r="AL223" s="8">
        <f>+SUMIFS(AL$2:AL$149,$CB$2:$CB$149,Table1[[#This Row],[BAĞLANTI]])</f>
        <v>128.21192052980123</v>
      </c>
      <c r="AM223" s="8">
        <f>+SUMIFS(AM$2:AM$149,$CB$2:$CB$149,Table1[[#This Row],[BAĞLANTI]])</f>
        <v>128.21192052980123</v>
      </c>
      <c r="AN223" s="8">
        <f>+SUMIFS(AN$2:AN$149,$CB$2:$CB$149,Table1[[#This Row],[BAĞLANTI]])</f>
        <v>128.21192052980123</v>
      </c>
      <c r="AO223" s="8">
        <f>+SUMIFS(AO$2:AO$149,$CB$2:$CB$149,Table1[[#This Row],[BAĞLANTI]])</f>
        <v>128.21192052980123</v>
      </c>
      <c r="AP223" s="8">
        <f>+SUMIFS(AP$2:AP$149,$CB$2:$CB$149,Table1[[#This Row],[BAĞLANTI]])</f>
        <v>128.21192052980123</v>
      </c>
      <c r="AQ223" s="8">
        <f>+SUMIFS(AQ$2:AQ$149,$CB$2:$CB$149,Table1[[#This Row],[BAĞLANTI]])</f>
        <v>96.158940397350932</v>
      </c>
      <c r="AR223" s="8">
        <f>+SUMIFS(AR$2:AR$149,$CB$2:$CB$149,Table1[[#This Row],[BAĞLANTI]])</f>
        <v>113.64238410596016</v>
      </c>
      <c r="AS223" s="8">
        <f>+SUMIFS(AS$2:AS$149,$CB$2:$CB$149,Table1[[#This Row],[BAĞLANTI]])</f>
        <v>69.933774834437244</v>
      </c>
      <c r="AT223" s="8">
        <f>+SUMIFS(AT$2:AT$149,$CB$2:$CB$149,Table1[[#This Row],[BAĞLANTI]])</f>
        <v>215.62913907284769</v>
      </c>
      <c r="AU223" s="8">
        <f>+SUMIFS(AU$2:AU$149,$CB$2:$CB$149,Table1[[#This Row],[BAĞLANTI]])</f>
        <v>69.933774834437244</v>
      </c>
      <c r="AV223" s="8">
        <f>+SUMIFS(AV$2:AV$149,$CB$2:$CB$149,Table1[[#This Row],[BAĞLANTI]])</f>
        <v>69.933774834437244</v>
      </c>
      <c r="AW223" s="8">
        <f>+SUMIFS(AW$2:AW$149,$CB$2:$CB$149,Table1[[#This Row],[BAĞLANTI]])</f>
        <v>69.933774834437244</v>
      </c>
      <c r="AX223" s="8">
        <f>+SUMIFS(AX$2:AX$149,$CB$2:$CB$149,Table1[[#This Row],[BAĞLANTI]])</f>
        <v>69.933774834437244</v>
      </c>
      <c r="AY223" s="8">
        <f>+SUMIFS(AY$2:AY$149,$CB$2:$CB$149,Table1[[#This Row],[BAĞLANTI]])</f>
        <v>45.165562913907152</v>
      </c>
      <c r="AZ223" s="8">
        <f>+SUMIFS(AZ$2:AZ$149,$CB$2:$CB$149,Table1[[#This Row],[BAĞLANTI]])</f>
        <v>0</v>
      </c>
      <c r="BA223" s="8">
        <f>+SUMIFS(BA$2:BA$149,$CB$2:$CB$149,Table1[[#This Row],[BAĞLANTI]])</f>
        <v>0</v>
      </c>
      <c r="BB223" s="8">
        <f>+SUMIFS(BB$2:BB$149,$CB$2:$CB$149,Table1[[#This Row],[BAĞLANTI]])</f>
        <v>0</v>
      </c>
      <c r="BC223" s="8">
        <f>+SUMIFS(BC$2:BC$149,$CB$2:$CB$149,Table1[[#This Row],[BAĞLANTI]])</f>
        <v>0</v>
      </c>
      <c r="BD223" s="8">
        <f>+SUMIFS(BD$2:BD$149,$CB$2:$CB$149,Table1[[#This Row],[BAĞLANTI]])</f>
        <v>0</v>
      </c>
      <c r="BE223" s="8">
        <f>+SUMIFS(BE$2:BE$149,$CB$2:$CB$149,Table1[[#This Row],[BAĞLANTI]])</f>
        <v>0</v>
      </c>
      <c r="BF223" s="8">
        <f>+SUMIFS(BF$2:BF$149,$CB$2:$CB$149,Table1[[#This Row],[BAĞLANTI]])</f>
        <v>0</v>
      </c>
      <c r="BG223" s="8">
        <f>+SUMIFS(BG$2:BG$149,$CB$2:$CB$149,Table1[[#This Row],[BAĞLANTI]])</f>
        <v>0</v>
      </c>
      <c r="BH223" s="8">
        <f>+SUMIFS(BH$2:BH$149,$CB$2:$CB$149,Table1[[#This Row],[BAĞLANTI]])</f>
        <v>0</v>
      </c>
      <c r="BI223" s="8">
        <f>+SUMIFS(BI$2:BI$149,$CB$2:$CB$149,Table1[[#This Row],[BAĞLANTI]])</f>
        <v>0</v>
      </c>
      <c r="BJ223" s="8">
        <f>+SUMIFS(BJ$2:BJ$149,$CB$2:$CB$149,Table1[[#This Row],[BAĞLANTI]])</f>
        <v>0</v>
      </c>
      <c r="BK223" s="8">
        <f>+SUMIFS(BK$2:BK$149,$CB$2:$CB$149,Table1[[#This Row],[BAĞLANTI]])</f>
        <v>0</v>
      </c>
      <c r="BL223" s="8">
        <f>+SUMIFS(BL$2:BL$149,$CB$2:$CB$149,Table1[[#This Row],[BAĞLANTI]])</f>
        <v>0</v>
      </c>
      <c r="BM223" s="8">
        <f>+SUMIFS(BM$2:BM$149,$CB$2:$CB$149,Table1[[#This Row],[BAĞLANTI]])</f>
        <v>0</v>
      </c>
      <c r="BN223" s="8">
        <f>+SUMIFS(BN$2:BN$149,$CB$2:$CB$149,Table1[[#This Row],[BAĞLANTI]])</f>
        <v>0</v>
      </c>
      <c r="BO223" s="8">
        <f>+SUMIFS(BO$2:BO$149,$CB$2:$CB$149,Table1[[#This Row],[BAĞLANTI]])</f>
        <v>0</v>
      </c>
      <c r="BP223" s="8">
        <f>+SUMIFS(BP$2:BP$149,$CB$2:$CB$149,Table1[[#This Row],[BAĞLANTI]])</f>
        <v>0</v>
      </c>
      <c r="BQ223" s="8">
        <f>+SUMIFS(BQ$2:BQ$149,$CB$2:$CB$149,Table1[[#This Row],[BAĞLANTI]])</f>
        <v>0</v>
      </c>
      <c r="BR223" s="8">
        <f>+SUMIFS(BR$2:BR$149,$CB$2:$CB$149,Table1[[#This Row],[BAĞLANTI]])</f>
        <v>0</v>
      </c>
      <c r="BS223" s="8">
        <f>+SUMIFS(BS$2:BS$149,$CB$2:$CB$149,Table1[[#This Row],[BAĞLANTI]])</f>
        <v>0</v>
      </c>
      <c r="BT223" s="8">
        <f>+SUMIFS(BT$2:BT$149,$CB$2:$CB$149,Table1[[#This Row],[BAĞLANTI]])</f>
        <v>0</v>
      </c>
      <c r="BU223" s="8">
        <f>+SUMIFS(BU$2:BU$149,$CB$2:$CB$149,Table1[[#This Row],[BAĞLANTI]])</f>
        <v>0</v>
      </c>
      <c r="BV223" s="8">
        <f>+SUMIFS(BV$2:BV$149,$CB$2:$CB$149,Table1[[#This Row],[BAĞLANTI]])</f>
        <v>0</v>
      </c>
      <c r="BW223" s="8">
        <f>+SUMIFS(BW$2:BW$149,$CB$2:$CB$149,Table1[[#This Row],[BAĞLANTI]])</f>
        <v>0</v>
      </c>
      <c r="BX223" s="8">
        <f>+SUMIFS(BX$2:BX$149,$CB$2:$CB$149,Table1[[#This Row],[BAĞLANTI]])</f>
        <v>0</v>
      </c>
      <c r="BY223" s="8">
        <f>+SUMIFS(BY$2:BY$149,$CB$2:$CB$149,Table1[[#This Row],[BAĞLANTI]])</f>
        <v>0</v>
      </c>
      <c r="BZ223" s="8">
        <f>+SUMIFS(BZ$2:BZ$149,$CB$2:$CB$149,Table1[[#This Row],[BAĞLANTI]])</f>
        <v>0</v>
      </c>
      <c r="CA223" s="8">
        <f>+SUMIFS(CA$2:CA$149,$CB$2:$CB$149,Table1[[#This Row],[BAĞLANTI]])</f>
        <v>0</v>
      </c>
      <c r="CB223" s="8" t="s">
        <v>5436</v>
      </c>
    </row>
    <row r="224" spans="1:80">
      <c r="A224" s="3" t="s">
        <v>5444</v>
      </c>
      <c r="B224" t="s">
        <v>26</v>
      </c>
      <c r="C224" t="s">
        <v>348</v>
      </c>
      <c r="D224" t="s">
        <v>74</v>
      </c>
      <c r="E224" t="s">
        <v>4975</v>
      </c>
      <c r="F224" s="77" t="s">
        <v>4973</v>
      </c>
      <c r="G224" t="s">
        <v>4983</v>
      </c>
      <c r="H224" s="3" t="s">
        <v>4984</v>
      </c>
      <c r="I224" s="3" t="s">
        <v>5194</v>
      </c>
      <c r="J224" s="78"/>
      <c r="K224" s="78"/>
      <c r="M224" s="78"/>
      <c r="N224" s="8">
        <f>+SUMIFS(N$2:N$149,$CB$2:$CB$149,Table1[[#This Row],[BAĞLANTI]])</f>
        <v>0</v>
      </c>
      <c r="O224" s="8">
        <f>+SUMIFS(O$2:O$149,$CB$2:$CB$149,Table1[[#This Row],[BAĞLANTI]])</f>
        <v>0</v>
      </c>
      <c r="P224" s="8">
        <f>+SUMIFS(P$2:P$149,$CB$2:$CB$149,Table1[[#This Row],[BAĞLANTI]])</f>
        <v>0</v>
      </c>
      <c r="Q224" s="8">
        <f>+SUMIFS(Q$2:Q$149,$CB$2:$CB$149,Table1[[#This Row],[BAĞLANTI]])</f>
        <v>0</v>
      </c>
      <c r="R224" s="8">
        <f>+SUMIFS(R$2:R$149,$CB$2:$CB$149,Table1[[#This Row],[BAĞLANTI]])</f>
        <v>0</v>
      </c>
      <c r="S224" s="8">
        <f>+SUMIFS(S$2:S$149,$CB$2:$CB$149,Table1[[#This Row],[BAĞLANTI]])</f>
        <v>0</v>
      </c>
      <c r="T224" s="8">
        <f>+SUMIFS(T$2:T$149,$CB$2:$CB$149,Table1[[#This Row],[BAĞLANTI]])</f>
        <v>0</v>
      </c>
      <c r="U224" s="8">
        <f>+SUMIFS(U$2:U$149,$CB$2:$CB$149,Table1[[#This Row],[BAĞLANTI]])</f>
        <v>0</v>
      </c>
      <c r="V224" s="8">
        <f>+SUMIFS(V$2:V$149,$CB$2:$CB$149,Table1[[#This Row],[BAĞLANTI]])</f>
        <v>0</v>
      </c>
      <c r="W224" s="8">
        <f>+SUMIFS(W$2:W$149,$CB$2:$CB$149,Table1[[#This Row],[BAĞLANTI]])</f>
        <v>0</v>
      </c>
      <c r="X224" s="10">
        <f>+SUMIFS(X$2:X$149,$CB$2:$CB$149,Table1[[#This Row],[BAĞLANTI]])</f>
        <v>0</v>
      </c>
      <c r="Y224" s="8">
        <f>+SUMIFS(Y$2:Y$149,$CB$2:$CB$149,Table1[[#This Row],[BAĞLANTI]])</f>
        <v>540.81488933601713</v>
      </c>
      <c r="Z224" s="8">
        <f>+SUMIFS(Z$2:Z$149,$CB$2:$CB$149,Table1[[#This Row],[BAĞLANTI]])</f>
        <v>362.86720321931466</v>
      </c>
      <c r="AA224" s="8">
        <f>+SUMIFS(AA$2:AA$149,$CB$2:$CB$149,Table1[[#This Row],[BAĞLANTI]])</f>
        <v>362.86720321931466</v>
      </c>
      <c r="AB224" s="8">
        <f>+SUMIFS(AB$2:AB$149,$CB$2:$CB$149,Table1[[#This Row],[BAĞLANTI]])</f>
        <v>392.08249496982012</v>
      </c>
      <c r="AC224" s="8">
        <f>+SUMIFS(AC$2:AC$149,$CB$2:$CB$149,Table1[[#This Row],[BAĞLANTI]])</f>
        <v>315.06036217303802</v>
      </c>
      <c r="AD224" s="8">
        <f>+SUMIFS(AD$2:AD$149,$CB$2:$CB$149,Table1[[#This Row],[BAĞLANTI]])</f>
        <v>269.90945674044269</v>
      </c>
      <c r="AE224" s="8">
        <f>+SUMIFS(AE$2:AE$149,$CB$2:$CB$149,Table1[[#This Row],[BAĞLANTI]])</f>
        <v>269.90945674044269</v>
      </c>
      <c r="AF224" s="8">
        <f>+SUMIFS(AF$2:AF$149,$CB$2:$CB$149,Table1[[#This Row],[BAĞLANTI]])</f>
        <v>126.48893360160955</v>
      </c>
      <c r="AG224" s="8">
        <f>+SUMIFS(AG$2:AG$149,$CB$2:$CB$149,Table1[[#This Row],[BAĞLANTI]])</f>
        <v>0</v>
      </c>
      <c r="AH224" s="8">
        <f>+SUMIFS(AH$2:AH$149,$CB$2:$CB$149,Table1[[#This Row],[BAĞLANTI]])</f>
        <v>0</v>
      </c>
      <c r="AI224" s="8">
        <f>+SUMIFS(AI$2:AI$149,$CB$2:$CB$149,Table1[[#This Row],[BAĞLANTI]])</f>
        <v>0</v>
      </c>
      <c r="AJ224" s="8">
        <f>+SUMIFS(AJ$2:AJ$149,$CB$2:$CB$149,Table1[[#This Row],[BAĞLANTI]])</f>
        <v>0</v>
      </c>
      <c r="AK224" s="8">
        <f>+SUMIFS(AK$2:AK$149,$CB$2:$CB$149,Table1[[#This Row],[BAĞLANTI]])</f>
        <v>0</v>
      </c>
      <c r="AL224" s="8">
        <f>+SUMIFS(AL$2:AL$149,$CB$2:$CB$149,Table1[[#This Row],[BAĞLANTI]])</f>
        <v>0</v>
      </c>
      <c r="AM224" s="8">
        <f>+SUMIFS(AM$2:AM$149,$CB$2:$CB$149,Table1[[#This Row],[BAĞLANTI]])</f>
        <v>0</v>
      </c>
      <c r="AN224" s="8">
        <f>+SUMIFS(AN$2:AN$149,$CB$2:$CB$149,Table1[[#This Row],[BAĞLANTI]])</f>
        <v>0</v>
      </c>
      <c r="AO224" s="8">
        <f>+SUMIFS(AO$2:AO$149,$CB$2:$CB$149,Table1[[#This Row],[BAĞLANTI]])</f>
        <v>0</v>
      </c>
      <c r="AP224" s="8">
        <f>+SUMIFS(AP$2:AP$149,$CB$2:$CB$149,Table1[[#This Row],[BAĞLANTI]])</f>
        <v>0</v>
      </c>
      <c r="AQ224" s="8">
        <f>+SUMIFS(AQ$2:AQ$149,$CB$2:$CB$149,Table1[[#This Row],[BAĞLANTI]])</f>
        <v>0</v>
      </c>
      <c r="AR224" s="8">
        <f>+SUMIFS(AR$2:AR$149,$CB$2:$CB$149,Table1[[#This Row],[BAĞLANTI]])</f>
        <v>0</v>
      </c>
      <c r="AS224" s="8">
        <f>+SUMIFS(AS$2:AS$149,$CB$2:$CB$149,Table1[[#This Row],[BAĞLANTI]])</f>
        <v>0</v>
      </c>
      <c r="AT224" s="8">
        <f>+SUMIFS(AT$2:AT$149,$CB$2:$CB$149,Table1[[#This Row],[BAĞLANTI]])</f>
        <v>0</v>
      </c>
      <c r="AU224" s="8">
        <f>+SUMIFS(AU$2:AU$149,$CB$2:$CB$149,Table1[[#This Row],[BAĞLANTI]])</f>
        <v>0</v>
      </c>
      <c r="AV224" s="8">
        <f>+SUMIFS(AV$2:AV$149,$CB$2:$CB$149,Table1[[#This Row],[BAĞLANTI]])</f>
        <v>0</v>
      </c>
      <c r="AW224" s="8">
        <f>+SUMIFS(AW$2:AW$149,$CB$2:$CB$149,Table1[[#This Row],[BAĞLANTI]])</f>
        <v>0</v>
      </c>
      <c r="AX224" s="8">
        <f>+SUMIFS(AX$2:AX$149,$CB$2:$CB$149,Table1[[#This Row],[BAĞLANTI]])</f>
        <v>0</v>
      </c>
      <c r="AY224" s="8">
        <f>+SUMIFS(AY$2:AY$149,$CB$2:$CB$149,Table1[[#This Row],[BAĞLANTI]])</f>
        <v>0</v>
      </c>
      <c r="AZ224" s="8">
        <f>+SUMIFS(AZ$2:AZ$149,$CB$2:$CB$149,Table1[[#This Row],[BAĞLANTI]])</f>
        <v>0</v>
      </c>
      <c r="BA224" s="8">
        <f>+SUMIFS(BA$2:BA$149,$CB$2:$CB$149,Table1[[#This Row],[BAĞLANTI]])</f>
        <v>0</v>
      </c>
      <c r="BB224" s="8">
        <f>+SUMIFS(BB$2:BB$149,$CB$2:$CB$149,Table1[[#This Row],[BAĞLANTI]])</f>
        <v>0</v>
      </c>
      <c r="BC224" s="8">
        <f>+SUMIFS(BC$2:BC$149,$CB$2:$CB$149,Table1[[#This Row],[BAĞLANTI]])</f>
        <v>0</v>
      </c>
      <c r="BD224" s="8">
        <f>+SUMIFS(BD$2:BD$149,$CB$2:$CB$149,Table1[[#This Row],[BAĞLANTI]])</f>
        <v>0</v>
      </c>
      <c r="BE224" s="8">
        <f>+SUMIFS(BE$2:BE$149,$CB$2:$CB$149,Table1[[#This Row],[BAĞLANTI]])</f>
        <v>0</v>
      </c>
      <c r="BF224" s="8">
        <f>+SUMIFS(BF$2:BF$149,$CB$2:$CB$149,Table1[[#This Row],[BAĞLANTI]])</f>
        <v>0</v>
      </c>
      <c r="BG224" s="8">
        <f>+SUMIFS(BG$2:BG$149,$CB$2:$CB$149,Table1[[#This Row],[BAĞLANTI]])</f>
        <v>0</v>
      </c>
      <c r="BH224" s="8">
        <f>+SUMIFS(BH$2:BH$149,$CB$2:$CB$149,Table1[[#This Row],[BAĞLANTI]])</f>
        <v>0</v>
      </c>
      <c r="BI224" s="8">
        <f>+SUMIFS(BI$2:BI$149,$CB$2:$CB$149,Table1[[#This Row],[BAĞLANTI]])</f>
        <v>0</v>
      </c>
      <c r="BJ224" s="8">
        <f>+SUMIFS(BJ$2:BJ$149,$CB$2:$CB$149,Table1[[#This Row],[BAĞLANTI]])</f>
        <v>0</v>
      </c>
      <c r="BK224" s="8">
        <f>+SUMIFS(BK$2:BK$149,$CB$2:$CB$149,Table1[[#This Row],[BAĞLANTI]])</f>
        <v>0</v>
      </c>
      <c r="BL224" s="8">
        <f>+SUMIFS(BL$2:BL$149,$CB$2:$CB$149,Table1[[#This Row],[BAĞLANTI]])</f>
        <v>0</v>
      </c>
      <c r="BM224" s="8">
        <f>+SUMIFS(BM$2:BM$149,$CB$2:$CB$149,Table1[[#This Row],[BAĞLANTI]])</f>
        <v>0</v>
      </c>
      <c r="BN224" s="8">
        <f>+SUMIFS(BN$2:BN$149,$CB$2:$CB$149,Table1[[#This Row],[BAĞLANTI]])</f>
        <v>0</v>
      </c>
      <c r="BO224" s="8">
        <f>+SUMIFS(BO$2:BO$149,$CB$2:$CB$149,Table1[[#This Row],[BAĞLANTI]])</f>
        <v>0</v>
      </c>
      <c r="BP224" s="8">
        <f>+SUMIFS(BP$2:BP$149,$CB$2:$CB$149,Table1[[#This Row],[BAĞLANTI]])</f>
        <v>0</v>
      </c>
      <c r="BQ224" s="8">
        <f>+SUMIFS(BQ$2:BQ$149,$CB$2:$CB$149,Table1[[#This Row],[BAĞLANTI]])</f>
        <v>0</v>
      </c>
      <c r="BR224" s="8">
        <f>+SUMIFS(BR$2:BR$149,$CB$2:$CB$149,Table1[[#This Row],[BAĞLANTI]])</f>
        <v>0</v>
      </c>
      <c r="BS224" s="8">
        <f>+SUMIFS(BS$2:BS$149,$CB$2:$CB$149,Table1[[#This Row],[BAĞLANTI]])</f>
        <v>0</v>
      </c>
      <c r="BT224" s="8">
        <f>+SUMIFS(BT$2:BT$149,$CB$2:$CB$149,Table1[[#This Row],[BAĞLANTI]])</f>
        <v>0</v>
      </c>
      <c r="BU224" s="8">
        <f>+SUMIFS(BU$2:BU$149,$CB$2:$CB$149,Table1[[#This Row],[BAĞLANTI]])</f>
        <v>0</v>
      </c>
      <c r="BV224" s="8">
        <f>+SUMIFS(BV$2:BV$149,$CB$2:$CB$149,Table1[[#This Row],[BAĞLANTI]])</f>
        <v>0</v>
      </c>
      <c r="BW224" s="8">
        <f>+SUMIFS(BW$2:BW$149,$CB$2:$CB$149,Table1[[#This Row],[BAĞLANTI]])</f>
        <v>0</v>
      </c>
      <c r="BX224" s="8">
        <f>+SUMIFS(BX$2:BX$149,$CB$2:$CB$149,Table1[[#This Row],[BAĞLANTI]])</f>
        <v>0</v>
      </c>
      <c r="BY224" s="8">
        <f>+SUMIFS(BY$2:BY$149,$CB$2:$CB$149,Table1[[#This Row],[BAĞLANTI]])</f>
        <v>0</v>
      </c>
      <c r="BZ224" s="8">
        <f>+SUMIFS(BZ$2:BZ$149,$CB$2:$CB$149,Table1[[#This Row],[BAĞLANTI]])</f>
        <v>0</v>
      </c>
      <c r="CA224" s="8">
        <f>+SUMIFS(CA$2:CA$149,$CB$2:$CB$149,Table1[[#This Row],[BAĞLANTI]])</f>
        <v>0</v>
      </c>
      <c r="CB224" s="8" t="s">
        <v>5437</v>
      </c>
    </row>
    <row r="225" spans="1:80">
      <c r="A225" s="3" t="s">
        <v>5444</v>
      </c>
      <c r="B225" t="s">
        <v>26</v>
      </c>
      <c r="C225" t="s">
        <v>348</v>
      </c>
      <c r="D225" t="s">
        <v>5182</v>
      </c>
      <c r="E225" t="s">
        <v>5183</v>
      </c>
      <c r="F225" s="77" t="s">
        <v>4973</v>
      </c>
      <c r="G225" t="s">
        <v>4983</v>
      </c>
      <c r="H225" s="3" t="s">
        <v>4984</v>
      </c>
      <c r="I225" s="3" t="s">
        <v>5194</v>
      </c>
      <c r="J225" s="78"/>
      <c r="K225" s="78"/>
      <c r="M225" s="78"/>
      <c r="N225" s="8">
        <f>+SUMIFS(N$2:N$149,$CB$2:$CB$149,Table1[[#This Row],[BAĞLANTI]])</f>
        <v>0</v>
      </c>
      <c r="O225" s="8">
        <f>+SUMIFS(O$2:O$149,$CB$2:$CB$149,Table1[[#This Row],[BAĞLANTI]])</f>
        <v>0</v>
      </c>
      <c r="P225" s="8">
        <f>+SUMIFS(P$2:P$149,$CB$2:$CB$149,Table1[[#This Row],[BAĞLANTI]])</f>
        <v>0</v>
      </c>
      <c r="Q225" s="8">
        <f>+SUMIFS(Q$2:Q$149,$CB$2:$CB$149,Table1[[#This Row],[BAĞLANTI]])</f>
        <v>0</v>
      </c>
      <c r="R225" s="8">
        <f>+SUMIFS(R$2:R$149,$CB$2:$CB$149,Table1[[#This Row],[BAĞLANTI]])</f>
        <v>0</v>
      </c>
      <c r="S225" s="8">
        <f>+SUMIFS(S$2:S$149,$CB$2:$CB$149,Table1[[#This Row],[BAĞLANTI]])</f>
        <v>0</v>
      </c>
      <c r="T225" s="8">
        <f>+SUMIFS(T$2:T$149,$CB$2:$CB$149,Table1[[#This Row],[BAĞLANTI]])</f>
        <v>0</v>
      </c>
      <c r="U225" s="8">
        <f>+SUMIFS(U$2:U$149,$CB$2:$CB$149,Table1[[#This Row],[BAĞLANTI]])</f>
        <v>0</v>
      </c>
      <c r="V225" s="8">
        <f>+SUMIFS(V$2:V$149,$CB$2:$CB$149,Table1[[#This Row],[BAĞLANTI]])</f>
        <v>0</v>
      </c>
      <c r="W225" s="8">
        <f>+SUMIFS(W$2:W$149,$CB$2:$CB$149,Table1[[#This Row],[BAĞLANTI]])</f>
        <v>0</v>
      </c>
      <c r="X225" s="10">
        <f>+SUMIFS(X$2:X$149,$CB$2:$CB$149,Table1[[#This Row],[BAĞLANTI]])</f>
        <v>0</v>
      </c>
      <c r="Y225" s="8">
        <f>+SUMIFS(Y$2:Y$149,$CB$2:$CB$149,Table1[[#This Row],[BAĞLANTI]])</f>
        <v>93.121019108280279</v>
      </c>
      <c r="Z225" s="8">
        <f>+SUMIFS(Z$2:Z$149,$CB$2:$CB$149,Table1[[#This Row],[BAĞLANTI]])</f>
        <v>93.121019108280279</v>
      </c>
      <c r="AA225" s="8">
        <f>+SUMIFS(AA$2:AA$149,$CB$2:$CB$149,Table1[[#This Row],[BAĞLANTI]])</f>
        <v>93.121019108280279</v>
      </c>
      <c r="AB225" s="8">
        <f>+SUMIFS(AB$2:AB$149,$CB$2:$CB$149,Table1[[#This Row],[BAĞLANTI]])</f>
        <v>93.121019108280279</v>
      </c>
      <c r="AC225" s="8">
        <f>+SUMIFS(AC$2:AC$149,$CB$2:$CB$149,Table1[[#This Row],[BAĞLANTI]])</f>
        <v>177.5796178343949</v>
      </c>
      <c r="AD225" s="8">
        <f>+SUMIFS(AD$2:AD$149,$CB$2:$CB$149,Table1[[#This Row],[BAĞLANTI]])</f>
        <v>177.5796178343949</v>
      </c>
      <c r="AE225" s="8">
        <f>+SUMIFS(AE$2:AE$149,$CB$2:$CB$149,Table1[[#This Row],[BAĞLANTI]])</f>
        <v>220.89171974522279</v>
      </c>
      <c r="AF225" s="8">
        <f>+SUMIFS(AF$2:AF$149,$CB$2:$CB$149,Table1[[#This Row],[BAĞLANTI]])</f>
        <v>220.89171974522279</v>
      </c>
      <c r="AG225" s="8">
        <f>+SUMIFS(AG$2:AG$149,$CB$2:$CB$149,Table1[[#This Row],[BAĞLANTI]])</f>
        <v>116.94267515923565</v>
      </c>
      <c r="AH225" s="8">
        <f>+SUMIFS(AH$2:AH$149,$CB$2:$CB$149,Table1[[#This Row],[BAĞLANTI]])</f>
        <v>160.25477707006377</v>
      </c>
      <c r="AI225" s="8">
        <f>+SUMIFS(AI$2:AI$149,$CB$2:$CB$149,Table1[[#This Row],[BAĞLANTI]])</f>
        <v>160.25477707006377</v>
      </c>
      <c r="AJ225" s="8">
        <f>+SUMIFS(AJ$2:AJ$149,$CB$2:$CB$149,Table1[[#This Row],[BAĞLANTI]])</f>
        <v>155.92356687898095</v>
      </c>
      <c r="AK225" s="8">
        <f>+SUMIFS(AK$2:AK$149,$CB$2:$CB$149,Table1[[#This Row],[BAĞLANTI]])</f>
        <v>249.04458598726146</v>
      </c>
      <c r="AL225" s="8">
        <f>+SUMIFS(AL$2:AL$149,$CB$2:$CB$149,Table1[[#This Row],[BAĞLANTI]])</f>
        <v>28.152866242038204</v>
      </c>
      <c r="AM225" s="8">
        <f>+SUMIFS(AM$2:AM$149,$CB$2:$CB$149,Table1[[#This Row],[BAĞLANTI]])</f>
        <v>0</v>
      </c>
      <c r="AN225" s="8">
        <f>+SUMIFS(AN$2:AN$149,$CB$2:$CB$149,Table1[[#This Row],[BAĞLANTI]])</f>
        <v>0</v>
      </c>
      <c r="AO225" s="8">
        <f>+SUMIFS(AO$2:AO$149,$CB$2:$CB$149,Table1[[#This Row],[BAĞLANTI]])</f>
        <v>0</v>
      </c>
      <c r="AP225" s="8">
        <f>+SUMIFS(AP$2:AP$149,$CB$2:$CB$149,Table1[[#This Row],[BAĞLANTI]])</f>
        <v>0</v>
      </c>
      <c r="AQ225" s="8">
        <f>+SUMIFS(AQ$2:AQ$149,$CB$2:$CB$149,Table1[[#This Row],[BAĞLANTI]])</f>
        <v>0</v>
      </c>
      <c r="AR225" s="8">
        <f>+SUMIFS(AR$2:AR$149,$CB$2:$CB$149,Table1[[#This Row],[BAĞLANTI]])</f>
        <v>0</v>
      </c>
      <c r="AS225" s="8">
        <f>+SUMIFS(AS$2:AS$149,$CB$2:$CB$149,Table1[[#This Row],[BAĞLANTI]])</f>
        <v>0</v>
      </c>
      <c r="AT225" s="8">
        <f>+SUMIFS(AT$2:AT$149,$CB$2:$CB$149,Table1[[#This Row],[BAĞLANTI]])</f>
        <v>0</v>
      </c>
      <c r="AU225" s="8">
        <f>+SUMIFS(AU$2:AU$149,$CB$2:$CB$149,Table1[[#This Row],[BAĞLANTI]])</f>
        <v>0</v>
      </c>
      <c r="AV225" s="8">
        <f>+SUMIFS(AV$2:AV$149,$CB$2:$CB$149,Table1[[#This Row],[BAĞLANTI]])</f>
        <v>0</v>
      </c>
      <c r="AW225" s="8">
        <f>+SUMIFS(AW$2:AW$149,$CB$2:$CB$149,Table1[[#This Row],[BAĞLANTI]])</f>
        <v>0</v>
      </c>
      <c r="AX225" s="8">
        <f>+SUMIFS(AX$2:AX$149,$CB$2:$CB$149,Table1[[#This Row],[BAĞLANTI]])</f>
        <v>0</v>
      </c>
      <c r="AY225" s="8">
        <f>+SUMIFS(AY$2:AY$149,$CB$2:$CB$149,Table1[[#This Row],[BAĞLANTI]])</f>
        <v>0</v>
      </c>
      <c r="AZ225" s="8">
        <f>+SUMIFS(AZ$2:AZ$149,$CB$2:$CB$149,Table1[[#This Row],[BAĞLANTI]])</f>
        <v>0</v>
      </c>
      <c r="BA225" s="8">
        <f>+SUMIFS(BA$2:BA$149,$CB$2:$CB$149,Table1[[#This Row],[BAĞLANTI]])</f>
        <v>0</v>
      </c>
      <c r="BB225" s="8">
        <f>+SUMIFS(BB$2:BB$149,$CB$2:$CB$149,Table1[[#This Row],[BAĞLANTI]])</f>
        <v>0</v>
      </c>
      <c r="BC225" s="8">
        <f>+SUMIFS(BC$2:BC$149,$CB$2:$CB$149,Table1[[#This Row],[BAĞLANTI]])</f>
        <v>0</v>
      </c>
      <c r="BD225" s="8">
        <f>+SUMIFS(BD$2:BD$149,$CB$2:$CB$149,Table1[[#This Row],[BAĞLANTI]])</f>
        <v>0</v>
      </c>
      <c r="BE225" s="8">
        <f>+SUMIFS(BE$2:BE$149,$CB$2:$CB$149,Table1[[#This Row],[BAĞLANTI]])</f>
        <v>0</v>
      </c>
      <c r="BF225" s="8">
        <f>+SUMIFS(BF$2:BF$149,$CB$2:$CB$149,Table1[[#This Row],[BAĞLANTI]])</f>
        <v>0</v>
      </c>
      <c r="BG225" s="8">
        <f>+SUMIFS(BG$2:BG$149,$CB$2:$CB$149,Table1[[#This Row],[BAĞLANTI]])</f>
        <v>0</v>
      </c>
      <c r="BH225" s="8">
        <f>+SUMIFS(BH$2:BH$149,$CB$2:$CB$149,Table1[[#This Row],[BAĞLANTI]])</f>
        <v>0</v>
      </c>
      <c r="BI225" s="8">
        <f>+SUMIFS(BI$2:BI$149,$CB$2:$CB$149,Table1[[#This Row],[BAĞLANTI]])</f>
        <v>0</v>
      </c>
      <c r="BJ225" s="8">
        <f>+SUMIFS(BJ$2:BJ$149,$CB$2:$CB$149,Table1[[#This Row],[BAĞLANTI]])</f>
        <v>0</v>
      </c>
      <c r="BK225" s="8">
        <f>+SUMIFS(BK$2:BK$149,$CB$2:$CB$149,Table1[[#This Row],[BAĞLANTI]])</f>
        <v>0</v>
      </c>
      <c r="BL225" s="8">
        <f>+SUMIFS(BL$2:BL$149,$CB$2:$CB$149,Table1[[#This Row],[BAĞLANTI]])</f>
        <v>0</v>
      </c>
      <c r="BM225" s="8">
        <f>+SUMIFS(BM$2:BM$149,$CB$2:$CB$149,Table1[[#This Row],[BAĞLANTI]])</f>
        <v>0</v>
      </c>
      <c r="BN225" s="8">
        <f>+SUMIFS(BN$2:BN$149,$CB$2:$CB$149,Table1[[#This Row],[BAĞLANTI]])</f>
        <v>0</v>
      </c>
      <c r="BO225" s="8">
        <f>+SUMIFS(BO$2:BO$149,$CB$2:$CB$149,Table1[[#This Row],[BAĞLANTI]])</f>
        <v>0</v>
      </c>
      <c r="BP225" s="8">
        <f>+SUMIFS(BP$2:BP$149,$CB$2:$CB$149,Table1[[#This Row],[BAĞLANTI]])</f>
        <v>0</v>
      </c>
      <c r="BQ225" s="8">
        <f>+SUMIFS(BQ$2:BQ$149,$CB$2:$CB$149,Table1[[#This Row],[BAĞLANTI]])</f>
        <v>0</v>
      </c>
      <c r="BR225" s="8">
        <f>+SUMIFS(BR$2:BR$149,$CB$2:$CB$149,Table1[[#This Row],[BAĞLANTI]])</f>
        <v>0</v>
      </c>
      <c r="BS225" s="8">
        <f>+SUMIFS(BS$2:BS$149,$CB$2:$CB$149,Table1[[#This Row],[BAĞLANTI]])</f>
        <v>0</v>
      </c>
      <c r="BT225" s="8">
        <f>+SUMIFS(BT$2:BT$149,$CB$2:$CB$149,Table1[[#This Row],[BAĞLANTI]])</f>
        <v>0</v>
      </c>
      <c r="BU225" s="8">
        <f>+SUMIFS(BU$2:BU$149,$CB$2:$CB$149,Table1[[#This Row],[BAĞLANTI]])</f>
        <v>0</v>
      </c>
      <c r="BV225" s="8">
        <f>+SUMIFS(BV$2:BV$149,$CB$2:$CB$149,Table1[[#This Row],[BAĞLANTI]])</f>
        <v>0</v>
      </c>
      <c r="BW225" s="8">
        <f>+SUMIFS(BW$2:BW$149,$CB$2:$CB$149,Table1[[#This Row],[BAĞLANTI]])</f>
        <v>0</v>
      </c>
      <c r="BX225" s="8">
        <f>+SUMIFS(BX$2:BX$149,$CB$2:$CB$149,Table1[[#This Row],[BAĞLANTI]])</f>
        <v>0</v>
      </c>
      <c r="BY225" s="8">
        <f>+SUMIFS(BY$2:BY$149,$CB$2:$CB$149,Table1[[#This Row],[BAĞLANTI]])</f>
        <v>0</v>
      </c>
      <c r="BZ225" s="8">
        <f>+SUMIFS(BZ$2:BZ$149,$CB$2:$CB$149,Table1[[#This Row],[BAĞLANTI]])</f>
        <v>0</v>
      </c>
      <c r="CA225" s="8">
        <f>+SUMIFS(CA$2:CA$149,$CB$2:$CB$149,Table1[[#This Row],[BAĞLANTI]])</f>
        <v>0</v>
      </c>
      <c r="CB225" s="8" t="s">
        <v>5438</v>
      </c>
    </row>
    <row r="226" spans="1:80">
      <c r="A226" s="3" t="s">
        <v>5444</v>
      </c>
      <c r="B226" t="s">
        <v>27</v>
      </c>
      <c r="C226" t="s">
        <v>352</v>
      </c>
      <c r="D226" t="s">
        <v>72</v>
      </c>
      <c r="E226" t="s">
        <v>4974</v>
      </c>
      <c r="F226" s="77" t="s">
        <v>4973</v>
      </c>
      <c r="G226" t="s">
        <v>4983</v>
      </c>
      <c r="H226" s="3" t="s">
        <v>4984</v>
      </c>
      <c r="I226" s="3" t="s">
        <v>5194</v>
      </c>
      <c r="J226" s="78"/>
      <c r="K226" s="78"/>
      <c r="M226" s="78"/>
      <c r="N226" s="8">
        <f>+SUMIFS(N$2:N$149,$CB$2:$CB$149,Table1[[#This Row],[BAĞLANTI]])</f>
        <v>0</v>
      </c>
      <c r="O226" s="8">
        <f>+SUMIFS(O$2:O$149,$CB$2:$CB$149,Table1[[#This Row],[BAĞLANTI]])</f>
        <v>0</v>
      </c>
      <c r="P226" s="8">
        <f>+SUMIFS(P$2:P$149,$CB$2:$CB$149,Table1[[#This Row],[BAĞLANTI]])</f>
        <v>0</v>
      </c>
      <c r="Q226" s="8">
        <f>+SUMIFS(Q$2:Q$149,$CB$2:$CB$149,Table1[[#This Row],[BAĞLANTI]])</f>
        <v>0</v>
      </c>
      <c r="R226" s="8">
        <f>+SUMIFS(R$2:R$149,$CB$2:$CB$149,Table1[[#This Row],[BAĞLANTI]])</f>
        <v>0</v>
      </c>
      <c r="S226" s="8">
        <f>+SUMIFS(S$2:S$149,$CB$2:$CB$149,Table1[[#This Row],[BAĞLANTI]])</f>
        <v>0</v>
      </c>
      <c r="T226" s="8">
        <f>+SUMIFS(T$2:T$149,$CB$2:$CB$149,Table1[[#This Row],[BAĞLANTI]])</f>
        <v>0</v>
      </c>
      <c r="U226" s="8">
        <f>+SUMIFS(U$2:U$149,$CB$2:$CB$149,Table1[[#This Row],[BAĞLANTI]])</f>
        <v>0</v>
      </c>
      <c r="V226" s="8">
        <f>+SUMIFS(V$2:V$149,$CB$2:$CB$149,Table1[[#This Row],[BAĞLANTI]])</f>
        <v>0</v>
      </c>
      <c r="W226" s="8">
        <f>+SUMIFS(W$2:W$149,$CB$2:$CB$149,Table1[[#This Row],[BAĞLANTI]])</f>
        <v>0</v>
      </c>
      <c r="X226" s="10">
        <f>+SUMIFS(X$2:X$149,$CB$2:$CB$149,Table1[[#This Row],[BAĞLANTI]])</f>
        <v>0</v>
      </c>
      <c r="Y226" s="8">
        <f>+SUMIFS(Y$2:Y$149,$CB$2:$CB$149,Table1[[#This Row],[BAĞLANTI]])</f>
        <v>0</v>
      </c>
      <c r="Z226" s="8">
        <f>+SUMIFS(Z$2:Z$149,$CB$2:$CB$149,Table1[[#This Row],[BAĞLANTI]])</f>
        <v>0</v>
      </c>
      <c r="AA226" s="8">
        <f>+SUMIFS(AA$2:AA$149,$CB$2:$CB$149,Table1[[#This Row],[BAĞLANTI]])</f>
        <v>0</v>
      </c>
      <c r="AB226" s="8">
        <f>+SUMIFS(AB$2:AB$149,$CB$2:$CB$149,Table1[[#This Row],[BAĞLANTI]])</f>
        <v>0</v>
      </c>
      <c r="AC226" s="8">
        <f>+SUMIFS(AC$2:AC$149,$CB$2:$CB$149,Table1[[#This Row],[BAĞLANTI]])</f>
        <v>0</v>
      </c>
      <c r="AD226" s="8">
        <f>+SUMIFS(AD$2:AD$149,$CB$2:$CB$149,Table1[[#This Row],[BAĞLANTI]])</f>
        <v>0</v>
      </c>
      <c r="AE226" s="8">
        <f>+SUMIFS(AE$2:AE$149,$CB$2:$CB$149,Table1[[#This Row],[BAĞLANTI]])</f>
        <v>0</v>
      </c>
      <c r="AF226" s="8">
        <f>+SUMIFS(AF$2:AF$149,$CB$2:$CB$149,Table1[[#This Row],[BAĞLANTI]])</f>
        <v>0</v>
      </c>
      <c r="AG226" s="8">
        <f>+SUMIFS(AG$2:AG$149,$CB$2:$CB$149,Table1[[#This Row],[BAĞLANTI]])</f>
        <v>0</v>
      </c>
      <c r="AH226" s="8">
        <f>+SUMIFS(AH$2:AH$149,$CB$2:$CB$149,Table1[[#This Row],[BAĞLANTI]])</f>
        <v>0</v>
      </c>
      <c r="AI226" s="8">
        <f>+SUMIFS(AI$2:AI$149,$CB$2:$CB$149,Table1[[#This Row],[BAĞLANTI]])</f>
        <v>0</v>
      </c>
      <c r="AJ226" s="8">
        <f>+SUMIFS(AJ$2:AJ$149,$CB$2:$CB$149,Table1[[#This Row],[BAĞLANTI]])</f>
        <v>0</v>
      </c>
      <c r="AK226" s="8">
        <f>+SUMIFS(AK$2:AK$149,$CB$2:$CB$149,Table1[[#This Row],[BAĞLANTI]])</f>
        <v>90</v>
      </c>
      <c r="AL226" s="8">
        <f>+SUMIFS(AL$2:AL$149,$CB$2:$CB$149,Table1[[#This Row],[BAĞLANTI]])</f>
        <v>0</v>
      </c>
      <c r="AM226" s="8">
        <f>+SUMIFS(AM$2:AM$149,$CB$2:$CB$149,Table1[[#This Row],[BAĞLANTI]])</f>
        <v>0</v>
      </c>
      <c r="AN226" s="8">
        <f>+SUMIFS(AN$2:AN$149,$CB$2:$CB$149,Table1[[#This Row],[BAĞLANTI]])</f>
        <v>0</v>
      </c>
      <c r="AO226" s="8">
        <f>+SUMIFS(AO$2:AO$149,$CB$2:$CB$149,Table1[[#This Row],[BAĞLANTI]])</f>
        <v>0</v>
      </c>
      <c r="AP226" s="8">
        <f>+SUMIFS(AP$2:AP$149,$CB$2:$CB$149,Table1[[#This Row],[BAĞLANTI]])</f>
        <v>0</v>
      </c>
      <c r="AQ226" s="8">
        <f>+SUMIFS(AQ$2:AQ$149,$CB$2:$CB$149,Table1[[#This Row],[BAĞLANTI]])</f>
        <v>0</v>
      </c>
      <c r="AR226" s="8">
        <f>+SUMIFS(AR$2:AR$149,$CB$2:$CB$149,Table1[[#This Row],[BAĞLANTI]])</f>
        <v>0</v>
      </c>
      <c r="AS226" s="8">
        <f>+SUMIFS(AS$2:AS$149,$CB$2:$CB$149,Table1[[#This Row],[BAĞLANTI]])</f>
        <v>0</v>
      </c>
      <c r="AT226" s="8">
        <f>+SUMIFS(AT$2:AT$149,$CB$2:$CB$149,Table1[[#This Row],[BAĞLANTI]])</f>
        <v>0</v>
      </c>
      <c r="AU226" s="8">
        <f>+SUMIFS(AU$2:AU$149,$CB$2:$CB$149,Table1[[#This Row],[BAĞLANTI]])</f>
        <v>0</v>
      </c>
      <c r="AV226" s="8">
        <f>+SUMIFS(AV$2:AV$149,$CB$2:$CB$149,Table1[[#This Row],[BAĞLANTI]])</f>
        <v>0</v>
      </c>
      <c r="AW226" s="8">
        <f>+SUMIFS(AW$2:AW$149,$CB$2:$CB$149,Table1[[#This Row],[BAĞLANTI]])</f>
        <v>0</v>
      </c>
      <c r="AX226" s="8">
        <f>+SUMIFS(AX$2:AX$149,$CB$2:$CB$149,Table1[[#This Row],[BAĞLANTI]])</f>
        <v>0</v>
      </c>
      <c r="AY226" s="8">
        <f>+SUMIFS(AY$2:AY$149,$CB$2:$CB$149,Table1[[#This Row],[BAĞLANTI]])</f>
        <v>0</v>
      </c>
      <c r="AZ226" s="8">
        <f>+SUMIFS(AZ$2:AZ$149,$CB$2:$CB$149,Table1[[#This Row],[BAĞLANTI]])</f>
        <v>0</v>
      </c>
      <c r="BA226" s="8">
        <f>+SUMIFS(BA$2:BA$149,$CB$2:$CB$149,Table1[[#This Row],[BAĞLANTI]])</f>
        <v>0</v>
      </c>
      <c r="BB226" s="8">
        <f>+SUMIFS(BB$2:BB$149,$CB$2:$CB$149,Table1[[#This Row],[BAĞLANTI]])</f>
        <v>0</v>
      </c>
      <c r="BC226" s="8">
        <f>+SUMIFS(BC$2:BC$149,$CB$2:$CB$149,Table1[[#This Row],[BAĞLANTI]])</f>
        <v>0</v>
      </c>
      <c r="BD226" s="8">
        <f>+SUMIFS(BD$2:BD$149,$CB$2:$CB$149,Table1[[#This Row],[BAĞLANTI]])</f>
        <v>0</v>
      </c>
      <c r="BE226" s="8">
        <f>+SUMIFS(BE$2:BE$149,$CB$2:$CB$149,Table1[[#This Row],[BAĞLANTI]])</f>
        <v>0</v>
      </c>
      <c r="BF226" s="8">
        <f>+SUMIFS(BF$2:BF$149,$CB$2:$CB$149,Table1[[#This Row],[BAĞLANTI]])</f>
        <v>0</v>
      </c>
      <c r="BG226" s="8">
        <f>+SUMIFS(BG$2:BG$149,$CB$2:$CB$149,Table1[[#This Row],[BAĞLANTI]])</f>
        <v>0</v>
      </c>
      <c r="BH226" s="8">
        <f>+SUMIFS(BH$2:BH$149,$CB$2:$CB$149,Table1[[#This Row],[BAĞLANTI]])</f>
        <v>0</v>
      </c>
      <c r="BI226" s="8">
        <f>+SUMIFS(BI$2:BI$149,$CB$2:$CB$149,Table1[[#This Row],[BAĞLANTI]])</f>
        <v>0</v>
      </c>
      <c r="BJ226" s="8">
        <f>+SUMIFS(BJ$2:BJ$149,$CB$2:$CB$149,Table1[[#This Row],[BAĞLANTI]])</f>
        <v>0</v>
      </c>
      <c r="BK226" s="8">
        <f>+SUMIFS(BK$2:BK$149,$CB$2:$CB$149,Table1[[#This Row],[BAĞLANTI]])</f>
        <v>0</v>
      </c>
      <c r="BL226" s="8">
        <f>+SUMIFS(BL$2:BL$149,$CB$2:$CB$149,Table1[[#This Row],[BAĞLANTI]])</f>
        <v>0</v>
      </c>
      <c r="BM226" s="8">
        <f>+SUMIFS(BM$2:BM$149,$CB$2:$CB$149,Table1[[#This Row],[BAĞLANTI]])</f>
        <v>0</v>
      </c>
      <c r="BN226" s="8">
        <f>+SUMIFS(BN$2:BN$149,$CB$2:$CB$149,Table1[[#This Row],[BAĞLANTI]])</f>
        <v>0</v>
      </c>
      <c r="BO226" s="8">
        <f>+SUMIFS(BO$2:BO$149,$CB$2:$CB$149,Table1[[#This Row],[BAĞLANTI]])</f>
        <v>0</v>
      </c>
      <c r="BP226" s="8">
        <f>+SUMIFS(BP$2:BP$149,$CB$2:$CB$149,Table1[[#This Row],[BAĞLANTI]])</f>
        <v>0</v>
      </c>
      <c r="BQ226" s="8">
        <f>+SUMIFS(BQ$2:BQ$149,$CB$2:$CB$149,Table1[[#This Row],[BAĞLANTI]])</f>
        <v>0</v>
      </c>
      <c r="BR226" s="8">
        <f>+SUMIFS(BR$2:BR$149,$CB$2:$CB$149,Table1[[#This Row],[BAĞLANTI]])</f>
        <v>0</v>
      </c>
      <c r="BS226" s="8">
        <f>+SUMIFS(BS$2:BS$149,$CB$2:$CB$149,Table1[[#This Row],[BAĞLANTI]])</f>
        <v>0</v>
      </c>
      <c r="BT226" s="8">
        <f>+SUMIFS(BT$2:BT$149,$CB$2:$CB$149,Table1[[#This Row],[BAĞLANTI]])</f>
        <v>0</v>
      </c>
      <c r="BU226" s="8">
        <f>+SUMIFS(BU$2:BU$149,$CB$2:$CB$149,Table1[[#This Row],[BAĞLANTI]])</f>
        <v>0</v>
      </c>
      <c r="BV226" s="8">
        <f>+SUMIFS(BV$2:BV$149,$CB$2:$CB$149,Table1[[#This Row],[BAĞLANTI]])</f>
        <v>0</v>
      </c>
      <c r="BW226" s="8">
        <f>+SUMIFS(BW$2:BW$149,$CB$2:$CB$149,Table1[[#This Row],[BAĞLANTI]])</f>
        <v>0</v>
      </c>
      <c r="BX226" s="8">
        <f>+SUMIFS(BX$2:BX$149,$CB$2:$CB$149,Table1[[#This Row],[BAĞLANTI]])</f>
        <v>0</v>
      </c>
      <c r="BY226" s="8">
        <f>+SUMIFS(BY$2:BY$149,$CB$2:$CB$149,Table1[[#This Row],[BAĞLANTI]])</f>
        <v>0</v>
      </c>
      <c r="BZ226" s="8">
        <f>+SUMIFS(BZ$2:BZ$149,$CB$2:$CB$149,Table1[[#This Row],[BAĞLANTI]])</f>
        <v>0</v>
      </c>
      <c r="CA226" s="8">
        <f>+SUMIFS(CA$2:CA$149,$CB$2:$CB$149,Table1[[#This Row],[BAĞLANTI]])</f>
        <v>0</v>
      </c>
      <c r="CB226" s="8" t="s">
        <v>5429</v>
      </c>
    </row>
    <row r="227" spans="1:80">
      <c r="A227" s="3" t="s">
        <v>5444</v>
      </c>
      <c r="B227" t="s">
        <v>27</v>
      </c>
      <c r="C227" t="s">
        <v>352</v>
      </c>
      <c r="D227" t="s">
        <v>74</v>
      </c>
      <c r="E227" t="s">
        <v>4975</v>
      </c>
      <c r="F227" s="77" t="s">
        <v>4973</v>
      </c>
      <c r="G227" t="s">
        <v>4983</v>
      </c>
      <c r="H227" s="3" t="s">
        <v>4984</v>
      </c>
      <c r="I227" s="3" t="s">
        <v>5194</v>
      </c>
      <c r="J227" s="78"/>
      <c r="K227" s="78"/>
      <c r="M227" s="78"/>
      <c r="N227" s="8">
        <f>+SUMIFS(N$2:N$149,$CB$2:$CB$149,Table1[[#This Row],[BAĞLANTI]])</f>
        <v>0</v>
      </c>
      <c r="O227" s="8">
        <f>+SUMIFS(O$2:O$149,$CB$2:$CB$149,Table1[[#This Row],[BAĞLANTI]])</f>
        <v>0</v>
      </c>
      <c r="P227" s="8">
        <f>+SUMIFS(P$2:P$149,$CB$2:$CB$149,Table1[[#This Row],[BAĞLANTI]])</f>
        <v>0</v>
      </c>
      <c r="Q227" s="8">
        <f>+SUMIFS(Q$2:Q$149,$CB$2:$CB$149,Table1[[#This Row],[BAĞLANTI]])</f>
        <v>0</v>
      </c>
      <c r="R227" s="8">
        <f>+SUMIFS(R$2:R$149,$CB$2:$CB$149,Table1[[#This Row],[BAĞLANTI]])</f>
        <v>0</v>
      </c>
      <c r="S227" s="8">
        <f>+SUMIFS(S$2:S$149,$CB$2:$CB$149,Table1[[#This Row],[BAĞLANTI]])</f>
        <v>0</v>
      </c>
      <c r="T227" s="8">
        <f>+SUMIFS(T$2:T$149,$CB$2:$CB$149,Table1[[#This Row],[BAĞLANTI]])</f>
        <v>0</v>
      </c>
      <c r="U227" s="8">
        <f>+SUMIFS(U$2:U$149,$CB$2:$CB$149,Table1[[#This Row],[BAĞLANTI]])</f>
        <v>0</v>
      </c>
      <c r="V227" s="8">
        <f>+SUMIFS(V$2:V$149,$CB$2:$CB$149,Table1[[#This Row],[BAĞLANTI]])</f>
        <v>0</v>
      </c>
      <c r="W227" s="8">
        <f>+SUMIFS(W$2:W$149,$CB$2:$CB$149,Table1[[#This Row],[BAĞLANTI]])</f>
        <v>0</v>
      </c>
      <c r="X227" s="10">
        <f>+SUMIFS(X$2:X$149,$CB$2:$CB$149,Table1[[#This Row],[BAĞLANTI]])</f>
        <v>0</v>
      </c>
      <c r="Y227" s="8">
        <f>+SUMIFS(Y$2:Y$149,$CB$2:$CB$149,Table1[[#This Row],[BAĞLANTI]])</f>
        <v>0</v>
      </c>
      <c r="Z227" s="8">
        <f>+SUMIFS(Z$2:Z$149,$CB$2:$CB$149,Table1[[#This Row],[BAĞLANTI]])</f>
        <v>0</v>
      </c>
      <c r="AA227" s="8">
        <f>+SUMIFS(AA$2:AA$149,$CB$2:$CB$149,Table1[[#This Row],[BAĞLANTI]])</f>
        <v>0</v>
      </c>
      <c r="AB227" s="8">
        <f>+SUMIFS(AB$2:AB$149,$CB$2:$CB$149,Table1[[#This Row],[BAĞLANTI]])</f>
        <v>0</v>
      </c>
      <c r="AC227" s="8">
        <f>+SUMIFS(AC$2:AC$149,$CB$2:$CB$149,Table1[[#This Row],[BAĞLANTI]])</f>
        <v>0</v>
      </c>
      <c r="AD227" s="8">
        <f>+SUMIFS(AD$2:AD$149,$CB$2:$CB$149,Table1[[#This Row],[BAĞLANTI]])</f>
        <v>0</v>
      </c>
      <c r="AE227" s="8">
        <f>+SUMIFS(AE$2:AE$149,$CB$2:$CB$149,Table1[[#This Row],[BAĞLANTI]])</f>
        <v>0</v>
      </c>
      <c r="AF227" s="8">
        <f>+SUMIFS(AF$2:AF$149,$CB$2:$CB$149,Table1[[#This Row],[BAĞLANTI]])</f>
        <v>0</v>
      </c>
      <c r="AG227" s="8">
        <f>+SUMIFS(AG$2:AG$149,$CB$2:$CB$149,Table1[[#This Row],[BAĞLANTI]])</f>
        <v>0</v>
      </c>
      <c r="AH227" s="8">
        <f>+SUMIFS(AH$2:AH$149,$CB$2:$CB$149,Table1[[#This Row],[BAĞLANTI]])</f>
        <v>0</v>
      </c>
      <c r="AI227" s="8">
        <f>+SUMIFS(AI$2:AI$149,$CB$2:$CB$149,Table1[[#This Row],[BAĞLANTI]])</f>
        <v>0</v>
      </c>
      <c r="AJ227" s="8">
        <f>+SUMIFS(AJ$2:AJ$149,$CB$2:$CB$149,Table1[[#This Row],[BAĞLANTI]])</f>
        <v>90</v>
      </c>
      <c r="AK227" s="8">
        <f>+SUMIFS(AK$2:AK$149,$CB$2:$CB$149,Table1[[#This Row],[BAĞLANTI]])</f>
        <v>0</v>
      </c>
      <c r="AL227" s="8">
        <f>+SUMIFS(AL$2:AL$149,$CB$2:$CB$149,Table1[[#This Row],[BAĞLANTI]])</f>
        <v>0</v>
      </c>
      <c r="AM227" s="8">
        <f>+SUMIFS(AM$2:AM$149,$CB$2:$CB$149,Table1[[#This Row],[BAĞLANTI]])</f>
        <v>0</v>
      </c>
      <c r="AN227" s="8">
        <f>+SUMIFS(AN$2:AN$149,$CB$2:$CB$149,Table1[[#This Row],[BAĞLANTI]])</f>
        <v>0</v>
      </c>
      <c r="AO227" s="8">
        <f>+SUMIFS(AO$2:AO$149,$CB$2:$CB$149,Table1[[#This Row],[BAĞLANTI]])</f>
        <v>0</v>
      </c>
      <c r="AP227" s="8">
        <f>+SUMIFS(AP$2:AP$149,$CB$2:$CB$149,Table1[[#This Row],[BAĞLANTI]])</f>
        <v>0</v>
      </c>
      <c r="AQ227" s="8">
        <f>+SUMIFS(AQ$2:AQ$149,$CB$2:$CB$149,Table1[[#This Row],[BAĞLANTI]])</f>
        <v>0</v>
      </c>
      <c r="AR227" s="8">
        <f>+SUMIFS(AR$2:AR$149,$CB$2:$CB$149,Table1[[#This Row],[BAĞLANTI]])</f>
        <v>0</v>
      </c>
      <c r="AS227" s="8">
        <f>+SUMIFS(AS$2:AS$149,$CB$2:$CB$149,Table1[[#This Row],[BAĞLANTI]])</f>
        <v>0</v>
      </c>
      <c r="AT227" s="8">
        <f>+SUMIFS(AT$2:AT$149,$CB$2:$CB$149,Table1[[#This Row],[BAĞLANTI]])</f>
        <v>0</v>
      </c>
      <c r="AU227" s="8">
        <f>+SUMIFS(AU$2:AU$149,$CB$2:$CB$149,Table1[[#This Row],[BAĞLANTI]])</f>
        <v>0</v>
      </c>
      <c r="AV227" s="8">
        <f>+SUMIFS(AV$2:AV$149,$CB$2:$CB$149,Table1[[#This Row],[BAĞLANTI]])</f>
        <v>0</v>
      </c>
      <c r="AW227" s="8">
        <f>+SUMIFS(AW$2:AW$149,$CB$2:$CB$149,Table1[[#This Row],[BAĞLANTI]])</f>
        <v>0</v>
      </c>
      <c r="AX227" s="8">
        <f>+SUMIFS(AX$2:AX$149,$CB$2:$CB$149,Table1[[#This Row],[BAĞLANTI]])</f>
        <v>0</v>
      </c>
      <c r="AY227" s="8">
        <f>+SUMIFS(AY$2:AY$149,$CB$2:$CB$149,Table1[[#This Row],[BAĞLANTI]])</f>
        <v>0</v>
      </c>
      <c r="AZ227" s="8">
        <f>+SUMIFS(AZ$2:AZ$149,$CB$2:$CB$149,Table1[[#This Row],[BAĞLANTI]])</f>
        <v>0</v>
      </c>
      <c r="BA227" s="8">
        <f>+SUMIFS(BA$2:BA$149,$CB$2:$CB$149,Table1[[#This Row],[BAĞLANTI]])</f>
        <v>0</v>
      </c>
      <c r="BB227" s="8">
        <f>+SUMIFS(BB$2:BB$149,$CB$2:$CB$149,Table1[[#This Row],[BAĞLANTI]])</f>
        <v>0</v>
      </c>
      <c r="BC227" s="8">
        <f>+SUMIFS(BC$2:BC$149,$CB$2:$CB$149,Table1[[#This Row],[BAĞLANTI]])</f>
        <v>0</v>
      </c>
      <c r="BD227" s="8">
        <f>+SUMIFS(BD$2:BD$149,$CB$2:$CB$149,Table1[[#This Row],[BAĞLANTI]])</f>
        <v>0</v>
      </c>
      <c r="BE227" s="8">
        <f>+SUMIFS(BE$2:BE$149,$CB$2:$CB$149,Table1[[#This Row],[BAĞLANTI]])</f>
        <v>0</v>
      </c>
      <c r="BF227" s="8">
        <f>+SUMIFS(BF$2:BF$149,$CB$2:$CB$149,Table1[[#This Row],[BAĞLANTI]])</f>
        <v>0</v>
      </c>
      <c r="BG227" s="8">
        <f>+SUMIFS(BG$2:BG$149,$CB$2:$CB$149,Table1[[#This Row],[BAĞLANTI]])</f>
        <v>0</v>
      </c>
      <c r="BH227" s="8">
        <f>+SUMIFS(BH$2:BH$149,$CB$2:$CB$149,Table1[[#This Row],[BAĞLANTI]])</f>
        <v>0</v>
      </c>
      <c r="BI227" s="8">
        <f>+SUMIFS(BI$2:BI$149,$CB$2:$CB$149,Table1[[#This Row],[BAĞLANTI]])</f>
        <v>0</v>
      </c>
      <c r="BJ227" s="8">
        <f>+SUMIFS(BJ$2:BJ$149,$CB$2:$CB$149,Table1[[#This Row],[BAĞLANTI]])</f>
        <v>0</v>
      </c>
      <c r="BK227" s="8">
        <f>+SUMIFS(BK$2:BK$149,$CB$2:$CB$149,Table1[[#This Row],[BAĞLANTI]])</f>
        <v>0</v>
      </c>
      <c r="BL227" s="8">
        <f>+SUMIFS(BL$2:BL$149,$CB$2:$CB$149,Table1[[#This Row],[BAĞLANTI]])</f>
        <v>0</v>
      </c>
      <c r="BM227" s="8">
        <f>+SUMIFS(BM$2:BM$149,$CB$2:$CB$149,Table1[[#This Row],[BAĞLANTI]])</f>
        <v>0</v>
      </c>
      <c r="BN227" s="8">
        <f>+SUMIFS(BN$2:BN$149,$CB$2:$CB$149,Table1[[#This Row],[BAĞLANTI]])</f>
        <v>0</v>
      </c>
      <c r="BO227" s="8">
        <f>+SUMIFS(BO$2:BO$149,$CB$2:$CB$149,Table1[[#This Row],[BAĞLANTI]])</f>
        <v>0</v>
      </c>
      <c r="BP227" s="8">
        <f>+SUMIFS(BP$2:BP$149,$CB$2:$CB$149,Table1[[#This Row],[BAĞLANTI]])</f>
        <v>0</v>
      </c>
      <c r="BQ227" s="8">
        <f>+SUMIFS(BQ$2:BQ$149,$CB$2:$CB$149,Table1[[#This Row],[BAĞLANTI]])</f>
        <v>0</v>
      </c>
      <c r="BR227" s="8">
        <f>+SUMIFS(BR$2:BR$149,$CB$2:$CB$149,Table1[[#This Row],[BAĞLANTI]])</f>
        <v>0</v>
      </c>
      <c r="BS227" s="8">
        <f>+SUMIFS(BS$2:BS$149,$CB$2:$CB$149,Table1[[#This Row],[BAĞLANTI]])</f>
        <v>0</v>
      </c>
      <c r="BT227" s="8">
        <f>+SUMIFS(BT$2:BT$149,$CB$2:$CB$149,Table1[[#This Row],[BAĞLANTI]])</f>
        <v>0</v>
      </c>
      <c r="BU227" s="8">
        <f>+SUMIFS(BU$2:BU$149,$CB$2:$CB$149,Table1[[#This Row],[BAĞLANTI]])</f>
        <v>0</v>
      </c>
      <c r="BV227" s="8">
        <f>+SUMIFS(BV$2:BV$149,$CB$2:$CB$149,Table1[[#This Row],[BAĞLANTI]])</f>
        <v>0</v>
      </c>
      <c r="BW227" s="8">
        <f>+SUMIFS(BW$2:BW$149,$CB$2:$CB$149,Table1[[#This Row],[BAĞLANTI]])</f>
        <v>0</v>
      </c>
      <c r="BX227" s="8">
        <f>+SUMIFS(BX$2:BX$149,$CB$2:$CB$149,Table1[[#This Row],[BAĞLANTI]])</f>
        <v>0</v>
      </c>
      <c r="BY227" s="8">
        <f>+SUMIFS(BY$2:BY$149,$CB$2:$CB$149,Table1[[#This Row],[BAĞLANTI]])</f>
        <v>0</v>
      </c>
      <c r="BZ227" s="8">
        <f>+SUMIFS(BZ$2:BZ$149,$CB$2:$CB$149,Table1[[#This Row],[BAĞLANTI]])</f>
        <v>0</v>
      </c>
      <c r="CA227" s="8">
        <f>+SUMIFS(CA$2:CA$149,$CB$2:$CB$149,Table1[[#This Row],[BAĞLANTI]])</f>
        <v>0</v>
      </c>
      <c r="CB227" s="8" t="s">
        <v>5430</v>
      </c>
    </row>
    <row r="228" spans="1:80">
      <c r="A228" s="3" t="s">
        <v>5444</v>
      </c>
      <c r="B228" t="s">
        <v>27</v>
      </c>
      <c r="C228" t="s">
        <v>352</v>
      </c>
      <c r="D228" t="s">
        <v>5182</v>
      </c>
      <c r="E228" t="s">
        <v>5183</v>
      </c>
      <c r="F228" s="77" t="s">
        <v>4973</v>
      </c>
      <c r="G228" t="s">
        <v>4983</v>
      </c>
      <c r="H228" s="3" t="s">
        <v>4984</v>
      </c>
      <c r="I228" s="3" t="s">
        <v>5194</v>
      </c>
      <c r="J228" s="78"/>
      <c r="K228" s="78"/>
      <c r="M228" s="78"/>
      <c r="N228" s="8">
        <f>+SUMIFS(N$2:N$149,$CB$2:$CB$149,Table1[[#This Row],[BAĞLANTI]])</f>
        <v>0</v>
      </c>
      <c r="O228" s="8">
        <f>+SUMIFS(O$2:O$149,$CB$2:$CB$149,Table1[[#This Row],[BAĞLANTI]])</f>
        <v>0</v>
      </c>
      <c r="P228" s="8">
        <f>+SUMIFS(P$2:P$149,$CB$2:$CB$149,Table1[[#This Row],[BAĞLANTI]])</f>
        <v>0</v>
      </c>
      <c r="Q228" s="8">
        <f>+SUMIFS(Q$2:Q$149,$CB$2:$CB$149,Table1[[#This Row],[BAĞLANTI]])</f>
        <v>0</v>
      </c>
      <c r="R228" s="8">
        <f>+SUMIFS(R$2:R$149,$CB$2:$CB$149,Table1[[#This Row],[BAĞLANTI]])</f>
        <v>0</v>
      </c>
      <c r="S228" s="8">
        <f>+SUMIFS(S$2:S$149,$CB$2:$CB$149,Table1[[#This Row],[BAĞLANTI]])</f>
        <v>0</v>
      </c>
      <c r="T228" s="8">
        <f>+SUMIFS(T$2:T$149,$CB$2:$CB$149,Table1[[#This Row],[BAĞLANTI]])</f>
        <v>0</v>
      </c>
      <c r="U228" s="8">
        <f>+SUMIFS(U$2:U$149,$CB$2:$CB$149,Table1[[#This Row],[BAĞLANTI]])</f>
        <v>0</v>
      </c>
      <c r="V228" s="8">
        <f>+SUMIFS(V$2:V$149,$CB$2:$CB$149,Table1[[#This Row],[BAĞLANTI]])</f>
        <v>0</v>
      </c>
      <c r="W228" s="8">
        <f>+SUMIFS(W$2:W$149,$CB$2:$CB$149,Table1[[#This Row],[BAĞLANTI]])</f>
        <v>0</v>
      </c>
      <c r="X228" s="10">
        <f>+SUMIFS(X$2:X$149,$CB$2:$CB$149,Table1[[#This Row],[BAĞLANTI]])</f>
        <v>0</v>
      </c>
      <c r="Y228" s="8">
        <f>+SUMIFS(Y$2:Y$149,$CB$2:$CB$149,Table1[[#This Row],[BAĞLANTI]])</f>
        <v>0</v>
      </c>
      <c r="Z228" s="8">
        <f>+SUMIFS(Z$2:Z$149,$CB$2:$CB$149,Table1[[#This Row],[BAĞLANTI]])</f>
        <v>0</v>
      </c>
      <c r="AA228" s="8">
        <f>+SUMIFS(AA$2:AA$149,$CB$2:$CB$149,Table1[[#This Row],[BAĞLANTI]])</f>
        <v>0</v>
      </c>
      <c r="AB228" s="8">
        <f>+SUMIFS(AB$2:AB$149,$CB$2:$CB$149,Table1[[#This Row],[BAĞLANTI]])</f>
        <v>0</v>
      </c>
      <c r="AC228" s="8">
        <f>+SUMIFS(AC$2:AC$149,$CB$2:$CB$149,Table1[[#This Row],[BAĞLANTI]])</f>
        <v>0</v>
      </c>
      <c r="AD228" s="8">
        <f>+SUMIFS(AD$2:AD$149,$CB$2:$CB$149,Table1[[#This Row],[BAĞLANTI]])</f>
        <v>0</v>
      </c>
      <c r="AE228" s="8">
        <f>+SUMIFS(AE$2:AE$149,$CB$2:$CB$149,Table1[[#This Row],[BAĞLANTI]])</f>
        <v>0</v>
      </c>
      <c r="AF228" s="8">
        <f>+SUMIFS(AF$2:AF$149,$CB$2:$CB$149,Table1[[#This Row],[BAĞLANTI]])</f>
        <v>0</v>
      </c>
      <c r="AG228" s="8">
        <f>+SUMIFS(AG$2:AG$149,$CB$2:$CB$149,Table1[[#This Row],[BAĞLANTI]])</f>
        <v>0</v>
      </c>
      <c r="AH228" s="8">
        <f>+SUMIFS(AH$2:AH$149,$CB$2:$CB$149,Table1[[#This Row],[BAĞLANTI]])</f>
        <v>0</v>
      </c>
      <c r="AI228" s="8">
        <f>+SUMIFS(AI$2:AI$149,$CB$2:$CB$149,Table1[[#This Row],[BAĞLANTI]])</f>
        <v>0</v>
      </c>
      <c r="AJ228" s="8">
        <f>+SUMIFS(AJ$2:AJ$149,$CB$2:$CB$149,Table1[[#This Row],[BAĞLANTI]])</f>
        <v>0</v>
      </c>
      <c r="AK228" s="8">
        <f>+SUMIFS(AK$2:AK$149,$CB$2:$CB$149,Table1[[#This Row],[BAĞLANTI]])</f>
        <v>0</v>
      </c>
      <c r="AL228" s="8">
        <f>+SUMIFS(AL$2:AL$149,$CB$2:$CB$149,Table1[[#This Row],[BAĞLANTI]])</f>
        <v>0</v>
      </c>
      <c r="AM228" s="8">
        <f>+SUMIFS(AM$2:AM$149,$CB$2:$CB$149,Table1[[#This Row],[BAĞLANTI]])</f>
        <v>0</v>
      </c>
      <c r="AN228" s="8">
        <f>+SUMIFS(AN$2:AN$149,$CB$2:$CB$149,Table1[[#This Row],[BAĞLANTI]])</f>
        <v>0</v>
      </c>
      <c r="AO228" s="8">
        <f>+SUMIFS(AO$2:AO$149,$CB$2:$CB$149,Table1[[#This Row],[BAĞLANTI]])</f>
        <v>0</v>
      </c>
      <c r="AP228" s="8">
        <f>+SUMIFS(AP$2:AP$149,$CB$2:$CB$149,Table1[[#This Row],[BAĞLANTI]])</f>
        <v>0</v>
      </c>
      <c r="AQ228" s="8">
        <f>+SUMIFS(AQ$2:AQ$149,$CB$2:$CB$149,Table1[[#This Row],[BAĞLANTI]])</f>
        <v>0</v>
      </c>
      <c r="AR228" s="8">
        <f>+SUMIFS(AR$2:AR$149,$CB$2:$CB$149,Table1[[#This Row],[BAĞLANTI]])</f>
        <v>0</v>
      </c>
      <c r="AS228" s="8">
        <f>+SUMIFS(AS$2:AS$149,$CB$2:$CB$149,Table1[[#This Row],[BAĞLANTI]])</f>
        <v>0</v>
      </c>
      <c r="AT228" s="8">
        <f>+SUMIFS(AT$2:AT$149,$CB$2:$CB$149,Table1[[#This Row],[BAĞLANTI]])</f>
        <v>0</v>
      </c>
      <c r="AU228" s="8">
        <f>+SUMIFS(AU$2:AU$149,$CB$2:$CB$149,Table1[[#This Row],[BAĞLANTI]])</f>
        <v>0</v>
      </c>
      <c r="AV228" s="8">
        <f>+SUMIFS(AV$2:AV$149,$CB$2:$CB$149,Table1[[#This Row],[BAĞLANTI]])</f>
        <v>0</v>
      </c>
      <c r="AW228" s="8">
        <f>+SUMIFS(AW$2:AW$149,$CB$2:$CB$149,Table1[[#This Row],[BAĞLANTI]])</f>
        <v>0</v>
      </c>
      <c r="AX228" s="8">
        <f>+SUMIFS(AX$2:AX$149,$CB$2:$CB$149,Table1[[#This Row],[BAĞLANTI]])</f>
        <v>0</v>
      </c>
      <c r="AY228" s="8">
        <f>+SUMIFS(AY$2:AY$149,$CB$2:$CB$149,Table1[[#This Row],[BAĞLANTI]])</f>
        <v>0</v>
      </c>
      <c r="AZ228" s="8">
        <f>+SUMIFS(AZ$2:AZ$149,$CB$2:$CB$149,Table1[[#This Row],[BAĞLANTI]])</f>
        <v>0</v>
      </c>
      <c r="BA228" s="8">
        <f>+SUMIFS(BA$2:BA$149,$CB$2:$CB$149,Table1[[#This Row],[BAĞLANTI]])</f>
        <v>0</v>
      </c>
      <c r="BB228" s="8">
        <f>+SUMIFS(BB$2:BB$149,$CB$2:$CB$149,Table1[[#This Row],[BAĞLANTI]])</f>
        <v>0</v>
      </c>
      <c r="BC228" s="8">
        <f>+SUMIFS(BC$2:BC$149,$CB$2:$CB$149,Table1[[#This Row],[BAĞLANTI]])</f>
        <v>0</v>
      </c>
      <c r="BD228" s="8">
        <f>+SUMIFS(BD$2:BD$149,$CB$2:$CB$149,Table1[[#This Row],[BAĞLANTI]])</f>
        <v>0</v>
      </c>
      <c r="BE228" s="8">
        <f>+SUMIFS(BE$2:BE$149,$CB$2:$CB$149,Table1[[#This Row],[BAĞLANTI]])</f>
        <v>0</v>
      </c>
      <c r="BF228" s="8">
        <f>+SUMIFS(BF$2:BF$149,$CB$2:$CB$149,Table1[[#This Row],[BAĞLANTI]])</f>
        <v>0</v>
      </c>
      <c r="BG228" s="8">
        <f>+SUMIFS(BG$2:BG$149,$CB$2:$CB$149,Table1[[#This Row],[BAĞLANTI]])</f>
        <v>0</v>
      </c>
      <c r="BH228" s="8">
        <f>+SUMIFS(BH$2:BH$149,$CB$2:$CB$149,Table1[[#This Row],[BAĞLANTI]])</f>
        <v>0</v>
      </c>
      <c r="BI228" s="8">
        <f>+SUMIFS(BI$2:BI$149,$CB$2:$CB$149,Table1[[#This Row],[BAĞLANTI]])</f>
        <v>0</v>
      </c>
      <c r="BJ228" s="8">
        <f>+SUMIFS(BJ$2:BJ$149,$CB$2:$CB$149,Table1[[#This Row],[BAĞLANTI]])</f>
        <v>0</v>
      </c>
      <c r="BK228" s="8">
        <f>+SUMIFS(BK$2:BK$149,$CB$2:$CB$149,Table1[[#This Row],[BAĞLANTI]])</f>
        <v>0</v>
      </c>
      <c r="BL228" s="8">
        <f>+SUMIFS(BL$2:BL$149,$CB$2:$CB$149,Table1[[#This Row],[BAĞLANTI]])</f>
        <v>0</v>
      </c>
      <c r="BM228" s="8">
        <f>+SUMIFS(BM$2:BM$149,$CB$2:$CB$149,Table1[[#This Row],[BAĞLANTI]])</f>
        <v>0</v>
      </c>
      <c r="BN228" s="8">
        <f>+SUMIFS(BN$2:BN$149,$CB$2:$CB$149,Table1[[#This Row],[BAĞLANTI]])</f>
        <v>0</v>
      </c>
      <c r="BO228" s="8">
        <f>+SUMIFS(BO$2:BO$149,$CB$2:$CB$149,Table1[[#This Row],[BAĞLANTI]])</f>
        <v>0</v>
      </c>
      <c r="BP228" s="8">
        <f>+SUMIFS(BP$2:BP$149,$CB$2:$CB$149,Table1[[#This Row],[BAĞLANTI]])</f>
        <v>0</v>
      </c>
      <c r="BQ228" s="8">
        <f>+SUMIFS(BQ$2:BQ$149,$CB$2:$CB$149,Table1[[#This Row],[BAĞLANTI]])</f>
        <v>0</v>
      </c>
      <c r="BR228" s="8">
        <f>+SUMIFS(BR$2:BR$149,$CB$2:$CB$149,Table1[[#This Row],[BAĞLANTI]])</f>
        <v>0</v>
      </c>
      <c r="BS228" s="8">
        <f>+SUMIFS(BS$2:BS$149,$CB$2:$CB$149,Table1[[#This Row],[BAĞLANTI]])</f>
        <v>0</v>
      </c>
      <c r="BT228" s="8">
        <f>+SUMIFS(BT$2:BT$149,$CB$2:$CB$149,Table1[[#This Row],[BAĞLANTI]])</f>
        <v>0</v>
      </c>
      <c r="BU228" s="8">
        <f>+SUMIFS(BU$2:BU$149,$CB$2:$CB$149,Table1[[#This Row],[BAĞLANTI]])</f>
        <v>0</v>
      </c>
      <c r="BV228" s="8">
        <f>+SUMIFS(BV$2:BV$149,$CB$2:$CB$149,Table1[[#This Row],[BAĞLANTI]])</f>
        <v>0</v>
      </c>
      <c r="BW228" s="8">
        <f>+SUMIFS(BW$2:BW$149,$CB$2:$CB$149,Table1[[#This Row],[BAĞLANTI]])</f>
        <v>0</v>
      </c>
      <c r="BX228" s="8">
        <f>+SUMIFS(BX$2:BX$149,$CB$2:$CB$149,Table1[[#This Row],[BAĞLANTI]])</f>
        <v>0</v>
      </c>
      <c r="BY228" s="8">
        <f>+SUMIFS(BY$2:BY$149,$CB$2:$CB$149,Table1[[#This Row],[BAĞLANTI]])</f>
        <v>0</v>
      </c>
      <c r="BZ228" s="8">
        <f>+SUMIFS(BZ$2:BZ$149,$CB$2:$CB$149,Table1[[#This Row],[BAĞLANTI]])</f>
        <v>0</v>
      </c>
      <c r="CA228" s="8">
        <f>+SUMIFS(CA$2:CA$149,$CB$2:$CB$149,Table1[[#This Row],[BAĞLANTI]])</f>
        <v>0</v>
      </c>
      <c r="CB228" s="8" t="s">
        <v>5431</v>
      </c>
    </row>
    <row r="229" spans="1:80">
      <c r="A229" s="3" t="s">
        <v>5444</v>
      </c>
      <c r="B229" t="s">
        <v>29</v>
      </c>
      <c r="C229" t="s">
        <v>360</v>
      </c>
      <c r="D229" t="s">
        <v>72</v>
      </c>
      <c r="E229" t="s">
        <v>4974</v>
      </c>
      <c r="F229" s="77" t="s">
        <v>4973</v>
      </c>
      <c r="G229" t="s">
        <v>4983</v>
      </c>
      <c r="H229" s="3" t="s">
        <v>4984</v>
      </c>
      <c r="I229" s="3" t="s">
        <v>5194</v>
      </c>
      <c r="J229" s="78"/>
      <c r="K229" s="78"/>
      <c r="M229" s="78"/>
      <c r="N229" s="8">
        <f>+SUMIFS(N$2:N$149,$CB$2:$CB$149,Table1[[#This Row],[BAĞLANTI]])</f>
        <v>0</v>
      </c>
      <c r="O229" s="8">
        <f>+SUMIFS(O$2:O$149,$CB$2:$CB$149,Table1[[#This Row],[BAĞLANTI]])</f>
        <v>0</v>
      </c>
      <c r="P229" s="8">
        <f>+SUMIFS(P$2:P$149,$CB$2:$CB$149,Table1[[#This Row],[BAĞLANTI]])</f>
        <v>0</v>
      </c>
      <c r="Q229" s="8">
        <f>+SUMIFS(Q$2:Q$149,$CB$2:$CB$149,Table1[[#This Row],[BAĞLANTI]])</f>
        <v>0</v>
      </c>
      <c r="R229" s="8">
        <f>+SUMIFS(R$2:R$149,$CB$2:$CB$149,Table1[[#This Row],[BAĞLANTI]])</f>
        <v>0</v>
      </c>
      <c r="S229" s="8">
        <f>+SUMIFS(S$2:S$149,$CB$2:$CB$149,Table1[[#This Row],[BAĞLANTI]])</f>
        <v>0</v>
      </c>
      <c r="T229" s="8">
        <f>+SUMIFS(T$2:T$149,$CB$2:$CB$149,Table1[[#This Row],[BAĞLANTI]])</f>
        <v>0</v>
      </c>
      <c r="U229" s="8">
        <f>+SUMIFS(U$2:U$149,$CB$2:$CB$149,Table1[[#This Row],[BAĞLANTI]])</f>
        <v>0</v>
      </c>
      <c r="V229" s="8">
        <f>+SUMIFS(V$2:V$149,$CB$2:$CB$149,Table1[[#This Row],[BAĞLANTI]])</f>
        <v>0</v>
      </c>
      <c r="W229" s="8">
        <f>+SUMIFS(W$2:W$149,$CB$2:$CB$149,Table1[[#This Row],[BAĞLANTI]])</f>
        <v>0</v>
      </c>
      <c r="X229" s="10">
        <f>+SUMIFS(X$2:X$149,$CB$2:$CB$149,Table1[[#This Row],[BAĞLANTI]])</f>
        <v>0</v>
      </c>
      <c r="Y229" s="8">
        <f>+SUMIFS(Y$2:Y$149,$CB$2:$CB$149,Table1[[#This Row],[BAĞLANTI]])</f>
        <v>13.389986754966896</v>
      </c>
      <c r="Z229" s="8">
        <f>+SUMIFS(Z$2:Z$149,$CB$2:$CB$149,Table1[[#This Row],[BAĞLANTI]])</f>
        <v>12.324874172185426</v>
      </c>
      <c r="AA229" s="8">
        <f>+SUMIFS(AA$2:AA$149,$CB$2:$CB$149,Table1[[#This Row],[BAĞLANTI]])</f>
        <v>6.6949933774834385</v>
      </c>
      <c r="AB229" s="8">
        <f>+SUMIFS(AB$2:AB$149,$CB$2:$CB$149,Table1[[#This Row],[BAĞLANTI]])</f>
        <v>6.6949933774834385</v>
      </c>
      <c r="AC229" s="8">
        <f>+SUMIFS(AC$2:AC$149,$CB$2:$CB$149,Table1[[#This Row],[BAĞLANTI]])</f>
        <v>6.6949933774834385</v>
      </c>
      <c r="AD229" s="8">
        <f>+SUMIFS(AD$2:AD$149,$CB$2:$CB$149,Table1[[#This Row],[BAĞLANTI]])</f>
        <v>6.6949933774834385</v>
      </c>
      <c r="AE229" s="8">
        <f>+SUMIFS(AE$2:AE$149,$CB$2:$CB$149,Table1[[#This Row],[BAĞLANTI]])</f>
        <v>6.6949933774834385</v>
      </c>
      <c r="AF229" s="8">
        <f>+SUMIFS(AF$2:AF$149,$CB$2:$CB$149,Table1[[#This Row],[BAĞLANTI]])</f>
        <v>5.0212450331125789</v>
      </c>
      <c r="AG229" s="8">
        <f>+SUMIFS(AG$2:AG$149,$CB$2:$CB$149,Table1[[#This Row],[BAĞLANTI]])</f>
        <v>6.6949933774834385</v>
      </c>
      <c r="AH229" s="8">
        <f>+SUMIFS(AH$2:AH$149,$CB$2:$CB$149,Table1[[#This Row],[BAĞLANTI]])</f>
        <v>5.0212450331125789</v>
      </c>
      <c r="AI229" s="8">
        <f>+SUMIFS(AI$2:AI$149,$CB$2:$CB$149,Table1[[#This Row],[BAĞLANTI]])</f>
        <v>6.6949933774834385</v>
      </c>
      <c r="AJ229" s="8">
        <f>+SUMIFS(AJ$2:AJ$149,$CB$2:$CB$149,Table1[[#This Row],[BAĞLANTI]])</f>
        <v>6.6949933774834385</v>
      </c>
      <c r="AK229" s="8">
        <f>+SUMIFS(AK$2:AK$149,$CB$2:$CB$149,Table1[[#This Row],[BAĞLANTI]])</f>
        <v>6.6949933774834385</v>
      </c>
      <c r="AL229" s="8">
        <f>+SUMIFS(AL$2:AL$149,$CB$2:$CB$149,Table1[[#This Row],[BAĞLANTI]])</f>
        <v>6.6949933774834385</v>
      </c>
      <c r="AM229" s="8">
        <f>+SUMIFS(AM$2:AM$149,$CB$2:$CB$149,Table1[[#This Row],[BAĞLANTI]])</f>
        <v>6.6949933774834385</v>
      </c>
      <c r="AN229" s="8">
        <f>+SUMIFS(AN$2:AN$149,$CB$2:$CB$149,Table1[[#This Row],[BAĞLANTI]])</f>
        <v>6.6949933774834385</v>
      </c>
      <c r="AO229" s="8">
        <f>+SUMIFS(AO$2:AO$149,$CB$2:$CB$149,Table1[[#This Row],[BAĞLANTI]])</f>
        <v>6.6949933774834385</v>
      </c>
      <c r="AP229" s="8">
        <f>+SUMIFS(AP$2:AP$149,$CB$2:$CB$149,Table1[[#This Row],[BAĞLANTI]])</f>
        <v>6.6949933774834385</v>
      </c>
      <c r="AQ229" s="8">
        <f>+SUMIFS(AQ$2:AQ$149,$CB$2:$CB$149,Table1[[#This Row],[BAĞLANTI]])</f>
        <v>5.0212450331125789</v>
      </c>
      <c r="AR229" s="8">
        <f>+SUMIFS(AR$2:AR$149,$CB$2:$CB$149,Table1[[#This Row],[BAĞLANTI]])</f>
        <v>5.9341986754966838</v>
      </c>
      <c r="AS229" s="8">
        <f>+SUMIFS(AS$2:AS$149,$CB$2:$CB$149,Table1[[#This Row],[BAĞLANTI]])</f>
        <v>3.6518145695364321</v>
      </c>
      <c r="AT229" s="8">
        <f>+SUMIFS(AT$2:AT$149,$CB$2:$CB$149,Table1[[#This Row],[BAĞLANTI]])</f>
        <v>11.259761589403961</v>
      </c>
      <c r="AU229" s="8">
        <f>+SUMIFS(AU$2:AU$149,$CB$2:$CB$149,Table1[[#This Row],[BAĞLANTI]])</f>
        <v>3.6518145695364321</v>
      </c>
      <c r="AV229" s="8">
        <f>+SUMIFS(AV$2:AV$149,$CB$2:$CB$149,Table1[[#This Row],[BAĞLANTI]])</f>
        <v>3.6518145695364321</v>
      </c>
      <c r="AW229" s="8">
        <f>+SUMIFS(AW$2:AW$149,$CB$2:$CB$149,Table1[[#This Row],[BAĞLANTI]])</f>
        <v>3.6518145695364321</v>
      </c>
      <c r="AX229" s="8">
        <f>+SUMIFS(AX$2:AX$149,$CB$2:$CB$149,Table1[[#This Row],[BAĞLANTI]])</f>
        <v>3.6518145695364321</v>
      </c>
      <c r="AY229" s="8">
        <f>+SUMIFS(AY$2:AY$149,$CB$2:$CB$149,Table1[[#This Row],[BAĞLANTI]])</f>
        <v>2.3584635761589334</v>
      </c>
      <c r="AZ229" s="8">
        <f>+SUMIFS(AZ$2:AZ$149,$CB$2:$CB$149,Table1[[#This Row],[BAĞLANTI]])</f>
        <v>0</v>
      </c>
      <c r="BA229" s="8">
        <f>+SUMIFS(BA$2:BA$149,$CB$2:$CB$149,Table1[[#This Row],[BAĞLANTI]])</f>
        <v>0</v>
      </c>
      <c r="BB229" s="8">
        <f>+SUMIFS(BB$2:BB$149,$CB$2:$CB$149,Table1[[#This Row],[BAĞLANTI]])</f>
        <v>0</v>
      </c>
      <c r="BC229" s="8">
        <f>+SUMIFS(BC$2:BC$149,$CB$2:$CB$149,Table1[[#This Row],[BAĞLANTI]])</f>
        <v>0</v>
      </c>
      <c r="BD229" s="8">
        <f>+SUMIFS(BD$2:BD$149,$CB$2:$CB$149,Table1[[#This Row],[BAĞLANTI]])</f>
        <v>0</v>
      </c>
      <c r="BE229" s="8">
        <f>+SUMIFS(BE$2:BE$149,$CB$2:$CB$149,Table1[[#This Row],[BAĞLANTI]])</f>
        <v>0</v>
      </c>
      <c r="BF229" s="8">
        <f>+SUMIFS(BF$2:BF$149,$CB$2:$CB$149,Table1[[#This Row],[BAĞLANTI]])</f>
        <v>0</v>
      </c>
      <c r="BG229" s="8">
        <f>+SUMIFS(BG$2:BG$149,$CB$2:$CB$149,Table1[[#This Row],[BAĞLANTI]])</f>
        <v>0</v>
      </c>
      <c r="BH229" s="8">
        <f>+SUMIFS(BH$2:BH$149,$CB$2:$CB$149,Table1[[#This Row],[BAĞLANTI]])</f>
        <v>0</v>
      </c>
      <c r="BI229" s="8">
        <f>+SUMIFS(BI$2:BI$149,$CB$2:$CB$149,Table1[[#This Row],[BAĞLANTI]])</f>
        <v>0</v>
      </c>
      <c r="BJ229" s="8">
        <f>+SUMIFS(BJ$2:BJ$149,$CB$2:$CB$149,Table1[[#This Row],[BAĞLANTI]])</f>
        <v>0</v>
      </c>
      <c r="BK229" s="8">
        <f>+SUMIFS(BK$2:BK$149,$CB$2:$CB$149,Table1[[#This Row],[BAĞLANTI]])</f>
        <v>0</v>
      </c>
      <c r="BL229" s="8">
        <f>+SUMIFS(BL$2:BL$149,$CB$2:$CB$149,Table1[[#This Row],[BAĞLANTI]])</f>
        <v>0</v>
      </c>
      <c r="BM229" s="8">
        <f>+SUMIFS(BM$2:BM$149,$CB$2:$CB$149,Table1[[#This Row],[BAĞLANTI]])</f>
        <v>0</v>
      </c>
      <c r="BN229" s="8">
        <f>+SUMIFS(BN$2:BN$149,$CB$2:$CB$149,Table1[[#This Row],[BAĞLANTI]])</f>
        <v>0</v>
      </c>
      <c r="BO229" s="8">
        <f>+SUMIFS(BO$2:BO$149,$CB$2:$CB$149,Table1[[#This Row],[BAĞLANTI]])</f>
        <v>0</v>
      </c>
      <c r="BP229" s="8">
        <f>+SUMIFS(BP$2:BP$149,$CB$2:$CB$149,Table1[[#This Row],[BAĞLANTI]])</f>
        <v>0</v>
      </c>
      <c r="BQ229" s="8">
        <f>+SUMIFS(BQ$2:BQ$149,$CB$2:$CB$149,Table1[[#This Row],[BAĞLANTI]])</f>
        <v>0</v>
      </c>
      <c r="BR229" s="8">
        <f>+SUMIFS(BR$2:BR$149,$CB$2:$CB$149,Table1[[#This Row],[BAĞLANTI]])</f>
        <v>0</v>
      </c>
      <c r="BS229" s="8">
        <f>+SUMIFS(BS$2:BS$149,$CB$2:$CB$149,Table1[[#This Row],[BAĞLANTI]])</f>
        <v>0</v>
      </c>
      <c r="BT229" s="8">
        <f>+SUMIFS(BT$2:BT$149,$CB$2:$CB$149,Table1[[#This Row],[BAĞLANTI]])</f>
        <v>0</v>
      </c>
      <c r="BU229" s="8">
        <f>+SUMIFS(BU$2:BU$149,$CB$2:$CB$149,Table1[[#This Row],[BAĞLANTI]])</f>
        <v>0</v>
      </c>
      <c r="BV229" s="8">
        <f>+SUMIFS(BV$2:BV$149,$CB$2:$CB$149,Table1[[#This Row],[BAĞLANTI]])</f>
        <v>0</v>
      </c>
      <c r="BW229" s="8">
        <f>+SUMIFS(BW$2:BW$149,$CB$2:$CB$149,Table1[[#This Row],[BAĞLANTI]])</f>
        <v>0</v>
      </c>
      <c r="BX229" s="8">
        <f>+SUMIFS(BX$2:BX$149,$CB$2:$CB$149,Table1[[#This Row],[BAĞLANTI]])</f>
        <v>0</v>
      </c>
      <c r="BY229" s="8">
        <f>+SUMIFS(BY$2:BY$149,$CB$2:$CB$149,Table1[[#This Row],[BAĞLANTI]])</f>
        <v>0</v>
      </c>
      <c r="BZ229" s="8">
        <f>+SUMIFS(BZ$2:BZ$149,$CB$2:$CB$149,Table1[[#This Row],[BAĞLANTI]])</f>
        <v>0</v>
      </c>
      <c r="CA229" s="8">
        <f>+SUMIFS(CA$2:CA$149,$CB$2:$CB$149,Table1[[#This Row],[BAĞLANTI]])</f>
        <v>0</v>
      </c>
      <c r="CB229" s="8" t="s">
        <v>5440</v>
      </c>
    </row>
    <row r="230" spans="1:80">
      <c r="A230" s="3" t="s">
        <v>5444</v>
      </c>
      <c r="B230" t="s">
        <v>29</v>
      </c>
      <c r="C230" t="s">
        <v>360</v>
      </c>
      <c r="D230" t="s">
        <v>74</v>
      </c>
      <c r="E230" t="s">
        <v>4975</v>
      </c>
      <c r="F230" s="77" t="s">
        <v>4973</v>
      </c>
      <c r="G230" t="s">
        <v>4983</v>
      </c>
      <c r="H230" s="3" t="s">
        <v>4984</v>
      </c>
      <c r="I230" s="3" t="s">
        <v>5194</v>
      </c>
      <c r="J230" s="78"/>
      <c r="K230" s="78"/>
      <c r="M230" s="78"/>
      <c r="N230" s="8">
        <f>+SUMIFS(N$2:N$149,$CB$2:$CB$149,Table1[[#This Row],[BAĞLANTI]])</f>
        <v>0</v>
      </c>
      <c r="O230" s="8">
        <f>+SUMIFS(O$2:O$149,$CB$2:$CB$149,Table1[[#This Row],[BAĞLANTI]])</f>
        <v>0</v>
      </c>
      <c r="P230" s="8">
        <f>+SUMIFS(P$2:P$149,$CB$2:$CB$149,Table1[[#This Row],[BAĞLANTI]])</f>
        <v>0</v>
      </c>
      <c r="Q230" s="8">
        <f>+SUMIFS(Q$2:Q$149,$CB$2:$CB$149,Table1[[#This Row],[BAĞLANTI]])</f>
        <v>0</v>
      </c>
      <c r="R230" s="8">
        <f>+SUMIFS(R$2:R$149,$CB$2:$CB$149,Table1[[#This Row],[BAĞLANTI]])</f>
        <v>0</v>
      </c>
      <c r="S230" s="8">
        <f>+SUMIFS(S$2:S$149,$CB$2:$CB$149,Table1[[#This Row],[BAĞLANTI]])</f>
        <v>0</v>
      </c>
      <c r="T230" s="8">
        <f>+SUMIFS(T$2:T$149,$CB$2:$CB$149,Table1[[#This Row],[BAĞLANTI]])</f>
        <v>0</v>
      </c>
      <c r="U230" s="8">
        <f>+SUMIFS(U$2:U$149,$CB$2:$CB$149,Table1[[#This Row],[BAĞLANTI]])</f>
        <v>0</v>
      </c>
      <c r="V230" s="8">
        <f>+SUMIFS(V$2:V$149,$CB$2:$CB$149,Table1[[#This Row],[BAĞLANTI]])</f>
        <v>0</v>
      </c>
      <c r="W230" s="8">
        <f>+SUMIFS(W$2:W$149,$CB$2:$CB$149,Table1[[#This Row],[BAĞLANTI]])</f>
        <v>0</v>
      </c>
      <c r="X230" s="10">
        <f>+SUMIFS(X$2:X$149,$CB$2:$CB$149,Table1[[#This Row],[BAĞLANTI]])</f>
        <v>0</v>
      </c>
      <c r="Y230" s="8">
        <f>+SUMIFS(Y$2:Y$149,$CB$2:$CB$149,Table1[[#This Row],[BAĞLANTI]])</f>
        <v>43.665885814889421</v>
      </c>
      <c r="Z230" s="8">
        <f>+SUMIFS(Z$2:Z$149,$CB$2:$CB$149,Table1[[#This Row],[BAĞLANTI]])</f>
        <v>29.298227867203121</v>
      </c>
      <c r="AA230" s="8">
        <f>+SUMIFS(AA$2:AA$149,$CB$2:$CB$149,Table1[[#This Row],[BAĞLANTI]])</f>
        <v>29.298227867203121</v>
      </c>
      <c r="AB230" s="8">
        <f>+SUMIFS(AB$2:AB$149,$CB$2:$CB$149,Table1[[#This Row],[BAĞLANTI]])</f>
        <v>31.657097082495071</v>
      </c>
      <c r="AC230" s="8">
        <f>+SUMIFS(AC$2:AC$149,$CB$2:$CB$149,Table1[[#This Row],[BAĞLANTI]])</f>
        <v>25.438260060362161</v>
      </c>
      <c r="AD230" s="8">
        <f>+SUMIFS(AD$2:AD$149,$CB$2:$CB$149,Table1[[#This Row],[BAĞLANTI]])</f>
        <v>21.792734909456748</v>
      </c>
      <c r="AE230" s="8">
        <f>+SUMIFS(AE$2:AE$149,$CB$2:$CB$149,Table1[[#This Row],[BAĞLANTI]])</f>
        <v>21.792734909456748</v>
      </c>
      <c r="AF230" s="8">
        <f>+SUMIFS(AF$2:AF$149,$CB$2:$CB$149,Table1[[#This Row],[BAĞLANTI]])</f>
        <v>10.212831488933595</v>
      </c>
      <c r="AG230" s="8">
        <f>+SUMIFS(AG$2:AG$149,$CB$2:$CB$149,Table1[[#This Row],[BAĞLANTI]])</f>
        <v>0</v>
      </c>
      <c r="AH230" s="8">
        <f>+SUMIFS(AH$2:AH$149,$CB$2:$CB$149,Table1[[#This Row],[BAĞLANTI]])</f>
        <v>0</v>
      </c>
      <c r="AI230" s="8">
        <f>+SUMIFS(AI$2:AI$149,$CB$2:$CB$149,Table1[[#This Row],[BAĞLANTI]])</f>
        <v>0</v>
      </c>
      <c r="AJ230" s="8">
        <f>+SUMIFS(AJ$2:AJ$149,$CB$2:$CB$149,Table1[[#This Row],[BAĞLANTI]])</f>
        <v>0</v>
      </c>
      <c r="AK230" s="8">
        <f>+SUMIFS(AK$2:AK$149,$CB$2:$CB$149,Table1[[#This Row],[BAĞLANTI]])</f>
        <v>0</v>
      </c>
      <c r="AL230" s="8">
        <f>+SUMIFS(AL$2:AL$149,$CB$2:$CB$149,Table1[[#This Row],[BAĞLANTI]])</f>
        <v>0</v>
      </c>
      <c r="AM230" s="8">
        <f>+SUMIFS(AM$2:AM$149,$CB$2:$CB$149,Table1[[#This Row],[BAĞLANTI]])</f>
        <v>0</v>
      </c>
      <c r="AN230" s="8">
        <f>+SUMIFS(AN$2:AN$149,$CB$2:$CB$149,Table1[[#This Row],[BAĞLANTI]])</f>
        <v>0</v>
      </c>
      <c r="AO230" s="8">
        <f>+SUMIFS(AO$2:AO$149,$CB$2:$CB$149,Table1[[#This Row],[BAĞLANTI]])</f>
        <v>0</v>
      </c>
      <c r="AP230" s="8">
        <f>+SUMIFS(AP$2:AP$149,$CB$2:$CB$149,Table1[[#This Row],[BAĞLANTI]])</f>
        <v>0</v>
      </c>
      <c r="AQ230" s="8">
        <f>+SUMIFS(AQ$2:AQ$149,$CB$2:$CB$149,Table1[[#This Row],[BAĞLANTI]])</f>
        <v>0</v>
      </c>
      <c r="AR230" s="8">
        <f>+SUMIFS(AR$2:AR$149,$CB$2:$CB$149,Table1[[#This Row],[BAĞLANTI]])</f>
        <v>0</v>
      </c>
      <c r="AS230" s="8">
        <f>+SUMIFS(AS$2:AS$149,$CB$2:$CB$149,Table1[[#This Row],[BAĞLANTI]])</f>
        <v>0</v>
      </c>
      <c r="AT230" s="8">
        <f>+SUMIFS(AT$2:AT$149,$CB$2:$CB$149,Table1[[#This Row],[BAĞLANTI]])</f>
        <v>0</v>
      </c>
      <c r="AU230" s="8">
        <f>+SUMIFS(AU$2:AU$149,$CB$2:$CB$149,Table1[[#This Row],[BAĞLANTI]])</f>
        <v>0</v>
      </c>
      <c r="AV230" s="8">
        <f>+SUMIFS(AV$2:AV$149,$CB$2:$CB$149,Table1[[#This Row],[BAĞLANTI]])</f>
        <v>0</v>
      </c>
      <c r="AW230" s="8">
        <f>+SUMIFS(AW$2:AW$149,$CB$2:$CB$149,Table1[[#This Row],[BAĞLANTI]])</f>
        <v>0</v>
      </c>
      <c r="AX230" s="8">
        <f>+SUMIFS(AX$2:AX$149,$CB$2:$CB$149,Table1[[#This Row],[BAĞLANTI]])</f>
        <v>0</v>
      </c>
      <c r="AY230" s="8">
        <f>+SUMIFS(AY$2:AY$149,$CB$2:$CB$149,Table1[[#This Row],[BAĞLANTI]])</f>
        <v>0</v>
      </c>
      <c r="AZ230" s="8">
        <f>+SUMIFS(AZ$2:AZ$149,$CB$2:$CB$149,Table1[[#This Row],[BAĞLANTI]])</f>
        <v>0</v>
      </c>
      <c r="BA230" s="8">
        <f>+SUMIFS(BA$2:BA$149,$CB$2:$CB$149,Table1[[#This Row],[BAĞLANTI]])</f>
        <v>0</v>
      </c>
      <c r="BB230" s="8">
        <f>+SUMIFS(BB$2:BB$149,$CB$2:$CB$149,Table1[[#This Row],[BAĞLANTI]])</f>
        <v>0</v>
      </c>
      <c r="BC230" s="8">
        <f>+SUMIFS(BC$2:BC$149,$CB$2:$CB$149,Table1[[#This Row],[BAĞLANTI]])</f>
        <v>0</v>
      </c>
      <c r="BD230" s="8">
        <f>+SUMIFS(BD$2:BD$149,$CB$2:$CB$149,Table1[[#This Row],[BAĞLANTI]])</f>
        <v>0</v>
      </c>
      <c r="BE230" s="8">
        <f>+SUMIFS(BE$2:BE$149,$CB$2:$CB$149,Table1[[#This Row],[BAĞLANTI]])</f>
        <v>0</v>
      </c>
      <c r="BF230" s="8">
        <f>+SUMIFS(BF$2:BF$149,$CB$2:$CB$149,Table1[[#This Row],[BAĞLANTI]])</f>
        <v>0</v>
      </c>
      <c r="BG230" s="8">
        <f>+SUMIFS(BG$2:BG$149,$CB$2:$CB$149,Table1[[#This Row],[BAĞLANTI]])</f>
        <v>0</v>
      </c>
      <c r="BH230" s="8">
        <f>+SUMIFS(BH$2:BH$149,$CB$2:$CB$149,Table1[[#This Row],[BAĞLANTI]])</f>
        <v>0</v>
      </c>
      <c r="BI230" s="8">
        <f>+SUMIFS(BI$2:BI$149,$CB$2:$CB$149,Table1[[#This Row],[BAĞLANTI]])</f>
        <v>0</v>
      </c>
      <c r="BJ230" s="8">
        <f>+SUMIFS(BJ$2:BJ$149,$CB$2:$CB$149,Table1[[#This Row],[BAĞLANTI]])</f>
        <v>0</v>
      </c>
      <c r="BK230" s="8">
        <f>+SUMIFS(BK$2:BK$149,$CB$2:$CB$149,Table1[[#This Row],[BAĞLANTI]])</f>
        <v>0</v>
      </c>
      <c r="BL230" s="8">
        <f>+SUMIFS(BL$2:BL$149,$CB$2:$CB$149,Table1[[#This Row],[BAĞLANTI]])</f>
        <v>0</v>
      </c>
      <c r="BM230" s="8">
        <f>+SUMIFS(BM$2:BM$149,$CB$2:$CB$149,Table1[[#This Row],[BAĞLANTI]])</f>
        <v>0</v>
      </c>
      <c r="BN230" s="8">
        <f>+SUMIFS(BN$2:BN$149,$CB$2:$CB$149,Table1[[#This Row],[BAĞLANTI]])</f>
        <v>0</v>
      </c>
      <c r="BO230" s="8">
        <f>+SUMIFS(BO$2:BO$149,$CB$2:$CB$149,Table1[[#This Row],[BAĞLANTI]])</f>
        <v>0</v>
      </c>
      <c r="BP230" s="8">
        <f>+SUMIFS(BP$2:BP$149,$CB$2:$CB$149,Table1[[#This Row],[BAĞLANTI]])</f>
        <v>0</v>
      </c>
      <c r="BQ230" s="8">
        <f>+SUMIFS(BQ$2:BQ$149,$CB$2:$CB$149,Table1[[#This Row],[BAĞLANTI]])</f>
        <v>0</v>
      </c>
      <c r="BR230" s="8">
        <f>+SUMIFS(BR$2:BR$149,$CB$2:$CB$149,Table1[[#This Row],[BAĞLANTI]])</f>
        <v>0</v>
      </c>
      <c r="BS230" s="8">
        <f>+SUMIFS(BS$2:BS$149,$CB$2:$CB$149,Table1[[#This Row],[BAĞLANTI]])</f>
        <v>0</v>
      </c>
      <c r="BT230" s="8">
        <f>+SUMIFS(BT$2:BT$149,$CB$2:$CB$149,Table1[[#This Row],[BAĞLANTI]])</f>
        <v>0</v>
      </c>
      <c r="BU230" s="8">
        <f>+SUMIFS(BU$2:BU$149,$CB$2:$CB$149,Table1[[#This Row],[BAĞLANTI]])</f>
        <v>0</v>
      </c>
      <c r="BV230" s="8">
        <f>+SUMIFS(BV$2:BV$149,$CB$2:$CB$149,Table1[[#This Row],[BAĞLANTI]])</f>
        <v>0</v>
      </c>
      <c r="BW230" s="8">
        <f>+SUMIFS(BW$2:BW$149,$CB$2:$CB$149,Table1[[#This Row],[BAĞLANTI]])</f>
        <v>0</v>
      </c>
      <c r="BX230" s="8">
        <f>+SUMIFS(BX$2:BX$149,$CB$2:$CB$149,Table1[[#This Row],[BAĞLANTI]])</f>
        <v>0</v>
      </c>
      <c r="BY230" s="8">
        <f>+SUMIFS(BY$2:BY$149,$CB$2:$CB$149,Table1[[#This Row],[BAĞLANTI]])</f>
        <v>0</v>
      </c>
      <c r="BZ230" s="8">
        <f>+SUMIFS(BZ$2:BZ$149,$CB$2:$CB$149,Table1[[#This Row],[BAĞLANTI]])</f>
        <v>0</v>
      </c>
      <c r="CA230" s="8">
        <f>+SUMIFS(CA$2:CA$149,$CB$2:$CB$149,Table1[[#This Row],[BAĞLANTI]])</f>
        <v>0</v>
      </c>
      <c r="CB230" s="8" t="s">
        <v>5441</v>
      </c>
    </row>
    <row r="231" spans="1:80">
      <c r="A231" s="3" t="s">
        <v>5444</v>
      </c>
      <c r="B231" t="s">
        <v>29</v>
      </c>
      <c r="C231" t="s">
        <v>360</v>
      </c>
      <c r="D231" t="s">
        <v>5182</v>
      </c>
      <c r="E231" t="s">
        <v>5183</v>
      </c>
      <c r="F231" s="77" t="s">
        <v>4973</v>
      </c>
      <c r="G231" t="s">
        <v>4983</v>
      </c>
      <c r="H231" s="3" t="s">
        <v>4984</v>
      </c>
      <c r="I231" s="3" t="s">
        <v>5194</v>
      </c>
      <c r="J231" s="78"/>
      <c r="K231" s="78"/>
      <c r="M231" s="78"/>
      <c r="N231" s="8">
        <f>+SUMIFS(N$2:N$149,$CB$2:$CB$149,Table1[[#This Row],[BAĞLANTI]])</f>
        <v>0</v>
      </c>
      <c r="O231" s="8">
        <f>+SUMIFS(O$2:O$149,$CB$2:$CB$149,Table1[[#This Row],[BAĞLANTI]])</f>
        <v>0</v>
      </c>
      <c r="P231" s="8">
        <f>+SUMIFS(P$2:P$149,$CB$2:$CB$149,Table1[[#This Row],[BAĞLANTI]])</f>
        <v>0</v>
      </c>
      <c r="Q231" s="8">
        <f>+SUMIFS(Q$2:Q$149,$CB$2:$CB$149,Table1[[#This Row],[BAĞLANTI]])</f>
        <v>0</v>
      </c>
      <c r="R231" s="8">
        <f>+SUMIFS(R$2:R$149,$CB$2:$CB$149,Table1[[#This Row],[BAĞLANTI]])</f>
        <v>0</v>
      </c>
      <c r="S231" s="8">
        <f>+SUMIFS(S$2:S$149,$CB$2:$CB$149,Table1[[#This Row],[BAĞLANTI]])</f>
        <v>0</v>
      </c>
      <c r="T231" s="8">
        <f>+SUMIFS(T$2:T$149,$CB$2:$CB$149,Table1[[#This Row],[BAĞLANTI]])</f>
        <v>0</v>
      </c>
      <c r="U231" s="8">
        <f>+SUMIFS(U$2:U$149,$CB$2:$CB$149,Table1[[#This Row],[BAĞLANTI]])</f>
        <v>0</v>
      </c>
      <c r="V231" s="8">
        <f>+SUMIFS(V$2:V$149,$CB$2:$CB$149,Table1[[#This Row],[BAĞLANTI]])</f>
        <v>0</v>
      </c>
      <c r="W231" s="8">
        <f>+SUMIFS(W$2:W$149,$CB$2:$CB$149,Table1[[#This Row],[BAĞLANTI]])</f>
        <v>0</v>
      </c>
      <c r="X231" s="10">
        <f>+SUMIFS(X$2:X$149,$CB$2:$CB$149,Table1[[#This Row],[BAĞLANTI]])</f>
        <v>0</v>
      </c>
      <c r="Y231" s="8">
        <f>+SUMIFS(Y$2:Y$149,$CB$2:$CB$149,Table1[[#This Row],[BAĞLANTI]])</f>
        <v>4.9995031847133768</v>
      </c>
      <c r="Z231" s="8">
        <f>+SUMIFS(Z$2:Z$149,$CB$2:$CB$149,Table1[[#This Row],[BAĞLANTI]])</f>
        <v>4.9995031847133768</v>
      </c>
      <c r="AA231" s="8">
        <f>+SUMIFS(AA$2:AA$149,$CB$2:$CB$149,Table1[[#This Row],[BAĞLANTI]])</f>
        <v>4.9995031847133768</v>
      </c>
      <c r="AB231" s="8">
        <f>+SUMIFS(AB$2:AB$149,$CB$2:$CB$149,Table1[[#This Row],[BAĞLANTI]])</f>
        <v>4.9995031847133768</v>
      </c>
      <c r="AC231" s="8">
        <f>+SUMIFS(AC$2:AC$149,$CB$2:$CB$149,Table1[[#This Row],[BAĞLANTI]])</f>
        <v>9.5339363057324835</v>
      </c>
      <c r="AD231" s="8">
        <f>+SUMIFS(AD$2:AD$149,$CB$2:$CB$149,Table1[[#This Row],[BAĞLANTI]])</f>
        <v>9.5339363057324835</v>
      </c>
      <c r="AE231" s="8">
        <f>+SUMIFS(AE$2:AE$149,$CB$2:$CB$149,Table1[[#This Row],[BAĞLANTI]])</f>
        <v>11.859286624203815</v>
      </c>
      <c r="AF231" s="8">
        <f>+SUMIFS(AF$2:AF$149,$CB$2:$CB$149,Table1[[#This Row],[BAĞLANTI]])</f>
        <v>11.859286624203815</v>
      </c>
      <c r="AG231" s="8">
        <f>+SUMIFS(AG$2:AG$149,$CB$2:$CB$149,Table1[[#This Row],[BAĞLANTI]])</f>
        <v>6.2784458598726101</v>
      </c>
      <c r="AH231" s="8">
        <f>+SUMIFS(AH$2:AH$149,$CB$2:$CB$149,Table1[[#This Row],[BAĞLANTI]])</f>
        <v>8.6037961783439538</v>
      </c>
      <c r="AI231" s="8">
        <f>+SUMIFS(AI$2:AI$149,$CB$2:$CB$149,Table1[[#This Row],[BAĞLANTI]])</f>
        <v>8.6037961783439538</v>
      </c>
      <c r="AJ231" s="8">
        <f>+SUMIFS(AJ$2:AJ$149,$CB$2:$CB$149,Table1[[#This Row],[BAĞLANTI]])</f>
        <v>8.3712611464968187</v>
      </c>
      <c r="AK231" s="8">
        <f>+SUMIFS(AK$2:AK$149,$CB$2:$CB$149,Table1[[#This Row],[BAĞLANTI]])</f>
        <v>13.370764331210195</v>
      </c>
      <c r="AL231" s="8">
        <f>+SUMIFS(AL$2:AL$149,$CB$2:$CB$149,Table1[[#This Row],[BAĞLANTI]])</f>
        <v>1.5114777070063687</v>
      </c>
      <c r="AM231" s="8">
        <f>+SUMIFS(AM$2:AM$149,$CB$2:$CB$149,Table1[[#This Row],[BAĞLANTI]])</f>
        <v>0</v>
      </c>
      <c r="AN231" s="8">
        <f>+SUMIFS(AN$2:AN$149,$CB$2:$CB$149,Table1[[#This Row],[BAĞLANTI]])</f>
        <v>0</v>
      </c>
      <c r="AO231" s="8">
        <f>+SUMIFS(AO$2:AO$149,$CB$2:$CB$149,Table1[[#This Row],[BAĞLANTI]])</f>
        <v>0</v>
      </c>
      <c r="AP231" s="8">
        <f>+SUMIFS(AP$2:AP$149,$CB$2:$CB$149,Table1[[#This Row],[BAĞLANTI]])</f>
        <v>0</v>
      </c>
      <c r="AQ231" s="8">
        <f>+SUMIFS(AQ$2:AQ$149,$CB$2:$CB$149,Table1[[#This Row],[BAĞLANTI]])</f>
        <v>0</v>
      </c>
      <c r="AR231" s="8">
        <f>+SUMIFS(AR$2:AR$149,$CB$2:$CB$149,Table1[[#This Row],[BAĞLANTI]])</f>
        <v>0</v>
      </c>
      <c r="AS231" s="8">
        <f>+SUMIFS(AS$2:AS$149,$CB$2:$CB$149,Table1[[#This Row],[BAĞLANTI]])</f>
        <v>0</v>
      </c>
      <c r="AT231" s="8">
        <f>+SUMIFS(AT$2:AT$149,$CB$2:$CB$149,Table1[[#This Row],[BAĞLANTI]])</f>
        <v>0</v>
      </c>
      <c r="AU231" s="8">
        <f>+SUMIFS(AU$2:AU$149,$CB$2:$CB$149,Table1[[#This Row],[BAĞLANTI]])</f>
        <v>0</v>
      </c>
      <c r="AV231" s="8">
        <f>+SUMIFS(AV$2:AV$149,$CB$2:$CB$149,Table1[[#This Row],[BAĞLANTI]])</f>
        <v>0</v>
      </c>
      <c r="AW231" s="8">
        <f>+SUMIFS(AW$2:AW$149,$CB$2:$CB$149,Table1[[#This Row],[BAĞLANTI]])</f>
        <v>0</v>
      </c>
      <c r="AX231" s="8">
        <f>+SUMIFS(AX$2:AX$149,$CB$2:$CB$149,Table1[[#This Row],[BAĞLANTI]])</f>
        <v>0</v>
      </c>
      <c r="AY231" s="8">
        <f>+SUMIFS(AY$2:AY$149,$CB$2:$CB$149,Table1[[#This Row],[BAĞLANTI]])</f>
        <v>0</v>
      </c>
      <c r="AZ231" s="8">
        <f>+SUMIFS(AZ$2:AZ$149,$CB$2:$CB$149,Table1[[#This Row],[BAĞLANTI]])</f>
        <v>0</v>
      </c>
      <c r="BA231" s="8">
        <f>+SUMIFS(BA$2:BA$149,$CB$2:$CB$149,Table1[[#This Row],[BAĞLANTI]])</f>
        <v>0</v>
      </c>
      <c r="BB231" s="8">
        <f>+SUMIFS(BB$2:BB$149,$CB$2:$CB$149,Table1[[#This Row],[BAĞLANTI]])</f>
        <v>0</v>
      </c>
      <c r="BC231" s="8">
        <f>+SUMIFS(BC$2:BC$149,$CB$2:$CB$149,Table1[[#This Row],[BAĞLANTI]])</f>
        <v>0</v>
      </c>
      <c r="BD231" s="8">
        <f>+SUMIFS(BD$2:BD$149,$CB$2:$CB$149,Table1[[#This Row],[BAĞLANTI]])</f>
        <v>0</v>
      </c>
      <c r="BE231" s="8">
        <f>+SUMIFS(BE$2:BE$149,$CB$2:$CB$149,Table1[[#This Row],[BAĞLANTI]])</f>
        <v>0</v>
      </c>
      <c r="BF231" s="8">
        <f>+SUMIFS(BF$2:BF$149,$CB$2:$CB$149,Table1[[#This Row],[BAĞLANTI]])</f>
        <v>0</v>
      </c>
      <c r="BG231" s="8">
        <f>+SUMIFS(BG$2:BG$149,$CB$2:$CB$149,Table1[[#This Row],[BAĞLANTI]])</f>
        <v>0</v>
      </c>
      <c r="BH231" s="8">
        <f>+SUMIFS(BH$2:BH$149,$CB$2:$CB$149,Table1[[#This Row],[BAĞLANTI]])</f>
        <v>0</v>
      </c>
      <c r="BI231" s="8">
        <f>+SUMIFS(BI$2:BI$149,$CB$2:$CB$149,Table1[[#This Row],[BAĞLANTI]])</f>
        <v>0</v>
      </c>
      <c r="BJ231" s="8">
        <f>+SUMIFS(BJ$2:BJ$149,$CB$2:$CB$149,Table1[[#This Row],[BAĞLANTI]])</f>
        <v>0</v>
      </c>
      <c r="BK231" s="8">
        <f>+SUMIFS(BK$2:BK$149,$CB$2:$CB$149,Table1[[#This Row],[BAĞLANTI]])</f>
        <v>0</v>
      </c>
      <c r="BL231" s="8">
        <f>+SUMIFS(BL$2:BL$149,$CB$2:$CB$149,Table1[[#This Row],[BAĞLANTI]])</f>
        <v>0</v>
      </c>
      <c r="BM231" s="8">
        <f>+SUMIFS(BM$2:BM$149,$CB$2:$CB$149,Table1[[#This Row],[BAĞLANTI]])</f>
        <v>0</v>
      </c>
      <c r="BN231" s="8">
        <f>+SUMIFS(BN$2:BN$149,$CB$2:$CB$149,Table1[[#This Row],[BAĞLANTI]])</f>
        <v>0</v>
      </c>
      <c r="BO231" s="8">
        <f>+SUMIFS(BO$2:BO$149,$CB$2:$CB$149,Table1[[#This Row],[BAĞLANTI]])</f>
        <v>0</v>
      </c>
      <c r="BP231" s="8">
        <f>+SUMIFS(BP$2:BP$149,$CB$2:$CB$149,Table1[[#This Row],[BAĞLANTI]])</f>
        <v>0</v>
      </c>
      <c r="BQ231" s="8">
        <f>+SUMIFS(BQ$2:BQ$149,$CB$2:$CB$149,Table1[[#This Row],[BAĞLANTI]])</f>
        <v>0</v>
      </c>
      <c r="BR231" s="8">
        <f>+SUMIFS(BR$2:BR$149,$CB$2:$CB$149,Table1[[#This Row],[BAĞLANTI]])</f>
        <v>0</v>
      </c>
      <c r="BS231" s="8">
        <f>+SUMIFS(BS$2:BS$149,$CB$2:$CB$149,Table1[[#This Row],[BAĞLANTI]])</f>
        <v>0</v>
      </c>
      <c r="BT231" s="8">
        <f>+SUMIFS(BT$2:BT$149,$CB$2:$CB$149,Table1[[#This Row],[BAĞLANTI]])</f>
        <v>0</v>
      </c>
      <c r="BU231" s="8">
        <f>+SUMIFS(BU$2:BU$149,$CB$2:$CB$149,Table1[[#This Row],[BAĞLANTI]])</f>
        <v>0</v>
      </c>
      <c r="BV231" s="8">
        <f>+SUMIFS(BV$2:BV$149,$CB$2:$CB$149,Table1[[#This Row],[BAĞLANTI]])</f>
        <v>0</v>
      </c>
      <c r="BW231" s="8">
        <f>+SUMIFS(BW$2:BW$149,$CB$2:$CB$149,Table1[[#This Row],[BAĞLANTI]])</f>
        <v>0</v>
      </c>
      <c r="BX231" s="8">
        <f>+SUMIFS(BX$2:BX$149,$CB$2:$CB$149,Table1[[#This Row],[BAĞLANTI]])</f>
        <v>0</v>
      </c>
      <c r="BY231" s="8">
        <f>+SUMIFS(BY$2:BY$149,$CB$2:$CB$149,Table1[[#This Row],[BAĞLANTI]])</f>
        <v>0</v>
      </c>
      <c r="BZ231" s="8">
        <f>+SUMIFS(BZ$2:BZ$149,$CB$2:$CB$149,Table1[[#This Row],[BAĞLANTI]])</f>
        <v>0</v>
      </c>
      <c r="CA231" s="8">
        <f>+SUMIFS(CA$2:CA$149,$CB$2:$CB$149,Table1[[#This Row],[BAĞLANTI]])</f>
        <v>0</v>
      </c>
      <c r="CB231" s="8" t="s">
        <v>5442</v>
      </c>
    </row>
    <row r="232" spans="1:80">
      <c r="A232" s="3" t="s">
        <v>5444</v>
      </c>
      <c r="B232" s="79" t="s">
        <v>4913</v>
      </c>
      <c r="C232" t="s">
        <v>4914</v>
      </c>
      <c r="D232" t="s">
        <v>4967</v>
      </c>
      <c r="E232" t="s">
        <v>4968</v>
      </c>
      <c r="F232" s="77" t="s">
        <v>4973</v>
      </c>
      <c r="G232" t="s">
        <v>4983</v>
      </c>
      <c r="H232" s="3" t="s">
        <v>4993</v>
      </c>
      <c r="I232" s="3"/>
      <c r="J232" s="78"/>
      <c r="K232" s="78"/>
      <c r="M232" s="78"/>
      <c r="W232" s="8">
        <v>0</v>
      </c>
      <c r="X232" s="10">
        <v>0</v>
      </c>
      <c r="Y232" s="8">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BY232" s="8" t="str">
        <f>+_xlfn.XLOOKUP(Table1[[#This Row],[L4 Code]],KIRMATAŞ!B:B,KIRMATAŞ!B:B,"")</f>
        <v/>
      </c>
      <c r="BZ232" s="8" t="str">
        <f>+_xlfn.XLOOKUP(Table1[[#This Row],[L4 Code]],'SU TEMİNİ'!C:C,'SU TEMİNİ'!C:C,"")</f>
        <v/>
      </c>
      <c r="CA232" s="8" t="str">
        <f>+_xlfn.XLOOKUP(Table1[[#This Row],[L4 Code]],TAŞ!C:C,TAŞ!C:C,"")</f>
        <v/>
      </c>
      <c r="CB232" s="8" t="str">
        <f>Table1[[#This Row],[L4 Code]]&amp;"-"&amp;Table1[[#This Row],[T1 Code]]</f>
        <v>E-08.SGR-02.KSK-001-1000</v>
      </c>
    </row>
    <row r="233" spans="1:80">
      <c r="A233" s="3" t="s">
        <v>5444</v>
      </c>
      <c r="B233" s="79" t="s">
        <v>4873</v>
      </c>
      <c r="C233" t="s">
        <v>4874</v>
      </c>
      <c r="D233" t="s">
        <v>4967</v>
      </c>
      <c r="E233" t="s">
        <v>4968</v>
      </c>
      <c r="F233" s="77" t="s">
        <v>4973</v>
      </c>
      <c r="G233" t="s">
        <v>4983</v>
      </c>
      <c r="H233" s="3" t="s">
        <v>4993</v>
      </c>
      <c r="I233" s="3"/>
      <c r="J233" s="78"/>
      <c r="K233" s="78"/>
      <c r="M233" s="78"/>
      <c r="W233" s="8">
        <v>0</v>
      </c>
      <c r="X233" s="10">
        <v>0.41191526840623383</v>
      </c>
      <c r="Y233" s="8">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BY233" s="8" t="str">
        <f>+_xlfn.XLOOKUP(Table1[[#This Row],[L4 Code]],KIRMATAŞ!B:B,KIRMATAŞ!B:B,"")</f>
        <v/>
      </c>
      <c r="BZ233" s="8" t="str">
        <f>+_xlfn.XLOOKUP(Table1[[#This Row],[L4 Code]],'SU TEMİNİ'!C:C,'SU TEMİNİ'!C:C,"")</f>
        <v/>
      </c>
      <c r="CA233" s="8" t="str">
        <f>+_xlfn.XLOOKUP(Table1[[#This Row],[L4 Code]],TAŞ!C:C,TAŞ!C:C,"")</f>
        <v/>
      </c>
      <c r="CB233" s="8" t="str">
        <f>Table1[[#This Row],[L4 Code]]&amp;"-"&amp;Table1[[#This Row],[T1 Code]]</f>
        <v>E-07.FIN-01.TEM-810-1000</v>
      </c>
    </row>
    <row r="234" spans="1:80">
      <c r="A234" s="3" t="s">
        <v>5444</v>
      </c>
      <c r="B234" s="79" t="s">
        <v>4907</v>
      </c>
      <c r="C234" t="s">
        <v>4908</v>
      </c>
      <c r="D234" t="s">
        <v>4967</v>
      </c>
      <c r="E234" t="s">
        <v>4968</v>
      </c>
      <c r="F234" s="77" t="s">
        <v>4973</v>
      </c>
      <c r="G234" t="s">
        <v>4983</v>
      </c>
      <c r="H234" s="3" t="s">
        <v>4993</v>
      </c>
      <c r="I234" s="3"/>
      <c r="J234" s="78"/>
      <c r="K234" s="78"/>
      <c r="M234" s="78"/>
      <c r="W234" s="8">
        <v>0</v>
      </c>
      <c r="X234" s="10">
        <v>9.9999999999999992E-2</v>
      </c>
      <c r="Y234" s="8">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BY234" s="8" t="str">
        <f>+_xlfn.XLOOKUP(Table1[[#This Row],[L4 Code]],KIRMATAŞ!B:B,KIRMATAŞ!B:B,"")</f>
        <v/>
      </c>
      <c r="BZ234" s="8" t="str">
        <f>+_xlfn.XLOOKUP(Table1[[#This Row],[L4 Code]],'SU TEMİNİ'!C:C,'SU TEMİNİ'!C:C,"")</f>
        <v/>
      </c>
      <c r="CA234" s="8" t="str">
        <f>+_xlfn.XLOOKUP(Table1[[#This Row],[L4 Code]],TAŞ!C:C,TAŞ!C:C,"")</f>
        <v/>
      </c>
      <c r="CB234" s="8" t="str">
        <f>Table1[[#This Row],[L4 Code]]&amp;"-"&amp;Table1[[#This Row],[T1 Code]]</f>
        <v>E-08.SGR-01.ALL-001-1000</v>
      </c>
    </row>
    <row r="235" spans="1:80">
      <c r="A235" s="3" t="s">
        <v>5444</v>
      </c>
      <c r="B235" s="79" t="s">
        <v>4193</v>
      </c>
      <c r="C235" t="s">
        <v>4194</v>
      </c>
      <c r="D235" t="s">
        <v>4967</v>
      </c>
      <c r="E235" t="s">
        <v>4968</v>
      </c>
      <c r="F235" s="77" t="s">
        <v>4973</v>
      </c>
      <c r="G235" t="s">
        <v>4983</v>
      </c>
      <c r="H235" t="s">
        <v>4993</v>
      </c>
      <c r="W235" s="8">
        <v>0</v>
      </c>
      <c r="X235" s="10">
        <v>0</v>
      </c>
      <c r="Y235" s="8">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BY235" s="8" t="str">
        <f>+_xlfn.XLOOKUP(Table1[[#This Row],[L4 Code]],KIRMATAŞ!B:B,KIRMATAŞ!B:B,"")</f>
        <v/>
      </c>
      <c r="BZ235" s="8" t="str">
        <f>+_xlfn.XLOOKUP(Table1[[#This Row],[L4 Code]],'SU TEMİNİ'!C:C,'SU TEMİNİ'!C:C,"")</f>
        <v/>
      </c>
      <c r="CA235" s="8" t="str">
        <f>+_xlfn.XLOOKUP(Table1[[#This Row],[L4 Code]],TAŞ!C:C,TAŞ!C:C,"")</f>
        <v/>
      </c>
      <c r="CB235" s="8" t="str">
        <f>Table1[[#This Row],[L4 Code]]&amp;"-"&amp;Table1[[#This Row],[T1 Code]]</f>
        <v>E-04.DNS-01.SEC-110-1000</v>
      </c>
    </row>
    <row r="236" spans="1:80">
      <c r="A236" s="3" t="s">
        <v>5444</v>
      </c>
      <c r="B236" t="s">
        <v>5290</v>
      </c>
      <c r="C236" t="s">
        <v>5293</v>
      </c>
      <c r="D236" t="s">
        <v>4967</v>
      </c>
      <c r="F236" s="77" t="s">
        <v>4973</v>
      </c>
      <c r="H236" s="3" t="s">
        <v>4984</v>
      </c>
      <c r="I236" s="3"/>
      <c r="J236" s="78"/>
      <c r="K236" s="78"/>
      <c r="M236" s="78"/>
      <c r="X236" s="10"/>
      <c r="AX236" s="8">
        <v>0.1</v>
      </c>
      <c r="AY236" s="8">
        <v>0.1</v>
      </c>
      <c r="AZ236" s="8">
        <v>0.1</v>
      </c>
      <c r="BA236" s="8">
        <v>0.1</v>
      </c>
      <c r="BB236" s="8">
        <v>0.1</v>
      </c>
      <c r="BC236" s="8">
        <v>0.1</v>
      </c>
      <c r="BD236" s="8">
        <v>0.1</v>
      </c>
      <c r="BE236" s="8">
        <v>0.1</v>
      </c>
      <c r="BF236" s="8">
        <v>0.1</v>
      </c>
      <c r="BG236" s="8">
        <v>0.1</v>
      </c>
      <c r="BY236" s="8" t="str">
        <f>+_xlfn.XLOOKUP(Table1[[#This Row],[L4 Code]],KIRMATAŞ!B:B,KIRMATAŞ!B:B,"")</f>
        <v/>
      </c>
      <c r="BZ236" s="8" t="str">
        <f>+_xlfn.XLOOKUP(Table1[[#This Row],[L4 Code]],'SU TEMİNİ'!C:C,'SU TEMİNİ'!C:C,"")</f>
        <v/>
      </c>
      <c r="CA236" s="8" t="str">
        <f>+_xlfn.XLOOKUP(Table1[[#This Row],[L4 Code]],TAŞ!C:C,TAŞ!C:C,"")</f>
        <v/>
      </c>
      <c r="CB236" s="8" t="str">
        <f>Table1[[#This Row],[L4 Code]]&amp;"-"&amp;Table1[[#This Row],[T1 Code]]</f>
        <v>D-02.UST-01.UST-990-1000</v>
      </c>
    </row>
    <row r="237" spans="1:80">
      <c r="A237" s="88" t="s">
        <v>5444</v>
      </c>
      <c r="B237" s="87" t="s">
        <v>5221</v>
      </c>
      <c r="C237" s="87" t="s">
        <v>5292</v>
      </c>
      <c r="D237" s="87" t="s">
        <v>4967</v>
      </c>
      <c r="E237" s="87" t="s">
        <v>4968</v>
      </c>
      <c r="F237" s="89" t="s">
        <v>4973</v>
      </c>
      <c r="G237" s="87" t="s">
        <v>4983</v>
      </c>
      <c r="H237" s="87" t="s">
        <v>4984</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95">
        <v>36349.785212207811</v>
      </c>
      <c r="Y237" s="7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v>0</v>
      </c>
      <c r="BY237" s="8"/>
      <c r="BZ237" s="8"/>
      <c r="CA237" s="8" t="str">
        <f>+_xlfn.XLOOKUP(Table1[[#This Row],[L4 Code]],TAŞ!C:C,TAŞ!C:C,"")</f>
        <v/>
      </c>
      <c r="CB237" s="8" t="str">
        <f>Table1[[#This Row],[L4 Code]]&amp;"-"&amp;Table1[[#This Row],[T1 Code]]</f>
        <v>D-11.ALT-10.MLZ-100-1000</v>
      </c>
    </row>
    <row r="238" spans="1:80">
      <c r="A238" s="88" t="s">
        <v>5444</v>
      </c>
      <c r="B238" s="87" t="s">
        <v>5285</v>
      </c>
      <c r="C238" s="87" t="s">
        <v>5294</v>
      </c>
      <c r="D238" s="87" t="s">
        <v>4967</v>
      </c>
      <c r="E238" s="87" t="s">
        <v>4968</v>
      </c>
      <c r="F238" s="89" t="s">
        <v>4973</v>
      </c>
      <c r="G238" s="87" t="s">
        <v>4983</v>
      </c>
      <c r="H238" s="87" t="s">
        <v>4984</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95">
        <v>0</v>
      </c>
      <c r="Y238" s="7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v>0</v>
      </c>
      <c r="BY238" s="8"/>
      <c r="BZ238" s="8"/>
      <c r="CA238" s="8"/>
      <c r="CB238" s="8" t="str">
        <f>Table1[[#This Row],[L4 Code]]&amp;"-"&amp;Table1[[#This Row],[T1 Code]]</f>
        <v>D-11.ALT-10.MLZ-101-1000</v>
      </c>
    </row>
    <row r="239" spans="1:80">
      <c r="A239" s="88" t="s">
        <v>5444</v>
      </c>
      <c r="B239" s="87" t="s">
        <v>5286</v>
      </c>
      <c r="C239" s="87" t="s">
        <v>5295</v>
      </c>
      <c r="D239" s="87" t="s">
        <v>4967</v>
      </c>
      <c r="E239" s="87" t="s">
        <v>4968</v>
      </c>
      <c r="F239" s="89" t="s">
        <v>4973</v>
      </c>
      <c r="G239" s="87" t="s">
        <v>4983</v>
      </c>
      <c r="H239" s="87" t="s">
        <v>4984</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95">
        <v>15574.673465669646</v>
      </c>
      <c r="Y239" s="7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v>0</v>
      </c>
      <c r="BY239" s="8"/>
      <c r="BZ239" s="8" t="str">
        <f>+_xlfn.XLOOKUP(Table1[[#This Row],[L4 Code]],'SU TEMİNİ'!C:C,'SU TEMİNİ'!C:C,"")</f>
        <v/>
      </c>
      <c r="CA239" s="8" t="str">
        <f>+_xlfn.XLOOKUP(Table1[[#This Row],[L4 Code]],TAŞ!C:C,TAŞ!C:C,"")</f>
        <v/>
      </c>
      <c r="CB239" s="8" t="str">
        <f>Table1[[#This Row],[L4 Code]]&amp;"-"&amp;Table1[[#This Row],[T1 Code]]</f>
        <v>D-11.ALT-10.MLZ-102-1000</v>
      </c>
    </row>
    <row r="240" spans="1:80">
      <c r="A240" s="88" t="s">
        <v>5444</v>
      </c>
      <c r="B240" s="87" t="s">
        <v>5287</v>
      </c>
      <c r="C240" s="87" t="s">
        <v>5296</v>
      </c>
      <c r="D240" s="87" t="s">
        <v>4967</v>
      </c>
      <c r="E240" s="87" t="s">
        <v>4968</v>
      </c>
      <c r="F240" s="89" t="s">
        <v>4973</v>
      </c>
      <c r="G240" s="87" t="s">
        <v>4983</v>
      </c>
      <c r="H240" s="87" t="s">
        <v>4984</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95">
        <v>12760.185508016772</v>
      </c>
      <c r="Y240" s="7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v>0</v>
      </c>
      <c r="BY240" s="8" t="str">
        <f>+_xlfn.XLOOKUP(Table1[[#This Row],[L4 Code]],KIRMATAŞ!B:B,KIRMATAŞ!B:B,"")</f>
        <v/>
      </c>
      <c r="BZ240" s="8" t="str">
        <f>+_xlfn.XLOOKUP(Table1[[#This Row],[L4 Code]],'SU TEMİNİ'!C:C,'SU TEMİNİ'!C:C,"")</f>
        <v/>
      </c>
      <c r="CA240" s="8" t="str">
        <f>+_xlfn.XLOOKUP(Table1[[#This Row],[L4 Code]],TAŞ!C:C,TAŞ!C:C,"")</f>
        <v/>
      </c>
      <c r="CB240" s="8" t="str">
        <f>Table1[[#This Row],[L4 Code]]&amp;"-"&amp;Table1[[#This Row],[T1 Code]]</f>
        <v>D-11.ALT-10.MLZ-103-1000</v>
      </c>
    </row>
    <row r="241" spans="1:80">
      <c r="A241" s="88" t="s">
        <v>5444</v>
      </c>
      <c r="B241" s="87" t="s">
        <v>5288</v>
      </c>
      <c r="C241" s="87" t="s">
        <v>5297</v>
      </c>
      <c r="D241" s="87" t="s">
        <v>4967</v>
      </c>
      <c r="E241" s="87" t="s">
        <v>4968</v>
      </c>
      <c r="F241" s="89" t="s">
        <v>4973</v>
      </c>
      <c r="G241" s="87" t="s">
        <v>4983</v>
      </c>
      <c r="H241" s="87" t="s">
        <v>4984</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95">
        <v>12760.185508016772</v>
      </c>
      <c r="Y241" s="7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v>0</v>
      </c>
      <c r="BY241" s="8" t="str">
        <f>+_xlfn.XLOOKUP(Table1[[#This Row],[L4 Code]],KIRMATAŞ!B:B,KIRMATAŞ!B:B,"")</f>
        <v/>
      </c>
      <c r="BZ241" s="8" t="str">
        <f>+_xlfn.XLOOKUP(Table1[[#This Row],[L4 Code]],'SU TEMİNİ'!C:C,'SU TEMİNİ'!C:C,"")</f>
        <v/>
      </c>
      <c r="CA241" s="8" t="str">
        <f>+_xlfn.XLOOKUP(Table1[[#This Row],[L4 Code]],TAŞ!C:C,TAŞ!C:C,"")</f>
        <v/>
      </c>
      <c r="CB241" s="8" t="str">
        <f>Table1[[#This Row],[L4 Code]]&amp;"-"&amp;Table1[[#This Row],[T1 Code]]</f>
        <v>D-11.ALT-12.SRV-100-1000</v>
      </c>
    </row>
    <row r="242" spans="1:80">
      <c r="A242" s="88" t="s">
        <v>5444</v>
      </c>
      <c r="B242" s="87" t="s">
        <v>5289</v>
      </c>
      <c r="C242" s="87" t="s">
        <v>5298</v>
      </c>
      <c r="D242" s="87" t="s">
        <v>4967</v>
      </c>
      <c r="E242" s="87" t="s">
        <v>4968</v>
      </c>
      <c r="F242" s="89" t="s">
        <v>4973</v>
      </c>
      <c r="G242" s="87" t="s">
        <v>4983</v>
      </c>
      <c r="H242" s="87" t="s">
        <v>4984</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95">
        <v>417.86379359345676</v>
      </c>
      <c r="Y242" s="7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v>0</v>
      </c>
      <c r="BY242" s="8" t="str">
        <f>+_xlfn.XLOOKUP(Table1[[#This Row],[L4 Code]],KIRMATAŞ!B:B,KIRMATAŞ!B:B,"")</f>
        <v/>
      </c>
      <c r="BZ242" s="8" t="str">
        <f>+_xlfn.XLOOKUP(Table1[[#This Row],[L4 Code]],'SU TEMİNİ'!C:C,'SU TEMİNİ'!C:C,"")</f>
        <v/>
      </c>
      <c r="CA242" s="8" t="str">
        <f>+_xlfn.XLOOKUP(Table1[[#This Row],[L4 Code]],TAŞ!C:C,TAŞ!C:C,"")</f>
        <v/>
      </c>
      <c r="CB242" s="8" t="str">
        <f>Table1[[#This Row],[L4 Code]]&amp;"-"&amp;Table1[[#This Row],[T1 Code]]</f>
        <v>D-11.ALT-12.SRV-101-1000</v>
      </c>
    </row>
    <row r="243" spans="1:80">
      <c r="A243" s="88" t="s">
        <v>5444</v>
      </c>
      <c r="B243" s="87" t="s">
        <v>5445</v>
      </c>
      <c r="C243" s="87"/>
      <c r="D243" s="87" t="s">
        <v>4967</v>
      </c>
      <c r="E243" s="87" t="s">
        <v>4968</v>
      </c>
      <c r="F243" s="89" t="s">
        <v>4973</v>
      </c>
      <c r="G243" s="87" t="s">
        <v>4983</v>
      </c>
      <c r="H243" s="87" t="s">
        <v>4984</v>
      </c>
      <c r="I243" s="87"/>
      <c r="J243" s="90"/>
      <c r="K243" s="90"/>
      <c r="L243" s="91"/>
      <c r="M243" s="90"/>
      <c r="N243" s="75">
        <v>0</v>
      </c>
      <c r="O243" s="75">
        <v>0</v>
      </c>
      <c r="P243" s="75">
        <v>55203.998275786682</v>
      </c>
      <c r="Q243" s="75">
        <v>131430.76844552648</v>
      </c>
      <c r="R243" s="75">
        <v>30283.522015254035</v>
      </c>
      <c r="S243" s="75">
        <v>40333.017149159052</v>
      </c>
      <c r="T243" s="75">
        <v>44919.966210833911</v>
      </c>
      <c r="U243" s="75">
        <v>54609.215444165049</v>
      </c>
      <c r="V243" s="75">
        <v>241864.14084224959</v>
      </c>
      <c r="W243" s="75">
        <v>218503.53472731021</v>
      </c>
      <c r="X243" s="95">
        <v>416789.65637278638</v>
      </c>
      <c r="Y243" s="75">
        <v>2306407.9222148955</v>
      </c>
      <c r="Z243" s="75">
        <v>2387040.1095338729</v>
      </c>
      <c r="AA243" s="75">
        <v>2102162.1405916116</v>
      </c>
      <c r="AB243" s="75">
        <v>2188667.9518955597</v>
      </c>
      <c r="AC243" s="75">
        <v>2472405.8975856937</v>
      </c>
      <c r="AD243" s="75">
        <v>2725299.7246697615</v>
      </c>
      <c r="AE243" s="75">
        <v>4195310.0371119557</v>
      </c>
      <c r="AF243" s="75">
        <v>4707581.0072906148</v>
      </c>
      <c r="AG243" s="75">
        <v>4999881.1166743031</v>
      </c>
      <c r="AH243" s="75">
        <v>5286816.7423062222</v>
      </c>
      <c r="AI243" s="75">
        <v>5279989.4680043831</v>
      </c>
      <c r="AJ243" s="75">
        <v>5299367.9301472176</v>
      </c>
      <c r="AK243" s="75">
        <v>5199087.4402483283</v>
      </c>
      <c r="AL243" s="75">
        <v>5015070.1486400831</v>
      </c>
      <c r="AM243" s="75">
        <v>3125451.5652274201</v>
      </c>
      <c r="AN243" s="75">
        <v>2557959.9727783934</v>
      </c>
      <c r="AO243" s="75">
        <v>2314545.8005096237</v>
      </c>
      <c r="AP243" s="75">
        <v>2013089.7190938459</v>
      </c>
      <c r="AQ243" s="75">
        <v>3473709.6407816024</v>
      </c>
      <c r="AR243" s="75">
        <v>3878192.5373343662</v>
      </c>
      <c r="AS243" s="75">
        <v>4460594.3566253958</v>
      </c>
      <c r="AT243" s="75">
        <v>4474357.0746775735</v>
      </c>
      <c r="AU243" s="75">
        <v>4508264.3303048704</v>
      </c>
      <c r="AV243" s="75">
        <v>4430325.3929752288</v>
      </c>
      <c r="AW243" s="75">
        <v>4286670.789580767</v>
      </c>
      <c r="AX243" s="75">
        <v>3782315.8353782585</v>
      </c>
      <c r="AY243" s="75">
        <v>2050339.030981299</v>
      </c>
      <c r="AZ243" s="75">
        <v>1138713.3088516986</v>
      </c>
      <c r="BA243" s="75">
        <v>0</v>
      </c>
      <c r="BB243" s="75">
        <v>0</v>
      </c>
      <c r="BC243" s="75">
        <v>0</v>
      </c>
      <c r="BD243" s="75">
        <v>0</v>
      </c>
      <c r="BE243" s="75">
        <v>0</v>
      </c>
      <c r="BF243" s="75">
        <v>0</v>
      </c>
      <c r="BG243" s="75">
        <v>0</v>
      </c>
      <c r="BH243" s="75">
        <v>0</v>
      </c>
      <c r="BI243" s="75">
        <v>0</v>
      </c>
      <c r="BJ243" s="75">
        <v>0</v>
      </c>
      <c r="BK243" s="75">
        <v>0</v>
      </c>
      <c r="BL243" s="75">
        <v>0</v>
      </c>
      <c r="BM243" s="75">
        <v>0</v>
      </c>
      <c r="BN243" s="75">
        <v>0</v>
      </c>
      <c r="BO243" s="75">
        <v>0</v>
      </c>
      <c r="BP243" s="75">
        <v>0</v>
      </c>
      <c r="BQ243" s="75">
        <v>0</v>
      </c>
      <c r="BR243" s="75">
        <v>0</v>
      </c>
      <c r="BS243" s="75">
        <v>0</v>
      </c>
      <c r="BT243" s="75">
        <v>0</v>
      </c>
      <c r="BU243" s="75">
        <v>0</v>
      </c>
      <c r="BV243" s="75">
        <v>0</v>
      </c>
      <c r="BW243" s="75">
        <v>0</v>
      </c>
      <c r="BX243" s="75">
        <v>0</v>
      </c>
      <c r="BY243" s="8"/>
      <c r="BZ243" s="8"/>
      <c r="CA243" s="8"/>
      <c r="CB243" s="8"/>
    </row>
    <row r="244" spans="1:80">
      <c r="A244" s="3" t="s">
        <v>5444</v>
      </c>
      <c r="B244" t="s">
        <v>3639</v>
      </c>
      <c r="C244" t="s">
        <v>3640</v>
      </c>
      <c r="D244" t="s">
        <v>4967</v>
      </c>
      <c r="F244" s="77" t="s">
        <v>4973</v>
      </c>
      <c r="H244" s="3" t="s">
        <v>4984</v>
      </c>
      <c r="I244" s="3"/>
      <c r="J244" s="78"/>
      <c r="K244" s="78"/>
      <c r="M244" s="78"/>
      <c r="V244" s="8">
        <v>1</v>
      </c>
      <c r="W244" s="8">
        <v>1</v>
      </c>
      <c r="X244" s="10">
        <v>1</v>
      </c>
      <c r="Y244" s="8">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BX244" s="8">
        <v>1</v>
      </c>
      <c r="BY244" s="8" t="str">
        <f>+_xlfn.XLOOKUP(Table1[[#This Row],[L4 Code]],KIRMATAŞ!B:B,KIRMATAŞ!B:B,"")</f>
        <v/>
      </c>
      <c r="BZ244" s="8" t="str">
        <f>+_xlfn.XLOOKUP(Table1[[#This Row],[L4 Code]],'SU TEMİNİ'!C:C,'SU TEMİNİ'!C:C,"")</f>
        <v/>
      </c>
      <c r="CA244" s="8" t="str">
        <f>+_xlfn.XLOOKUP(Table1[[#This Row],[L4 Code]],TAŞ!C:C,TAŞ!C:C,"")</f>
        <v/>
      </c>
      <c r="CB244" s="8" t="str">
        <f>Table1[[#This Row],[L4 Code]]&amp;"-"&amp;Table1[[#This Row],[T1 Code]]</f>
        <v>E-01.PRS-01.MAA-001-1000</v>
      </c>
    </row>
    <row r="245" spans="1:80">
      <c r="A245" s="3" t="s">
        <v>5444</v>
      </c>
      <c r="B245" t="s">
        <v>3642</v>
      </c>
      <c r="C245" t="s">
        <v>3643</v>
      </c>
      <c r="D245" t="s">
        <v>4967</v>
      </c>
      <c r="F245" s="77" t="s">
        <v>4973</v>
      </c>
      <c r="H245" s="3" t="s">
        <v>4984</v>
      </c>
      <c r="I245" s="3"/>
      <c r="J245" s="78"/>
      <c r="K245" s="78"/>
      <c r="M245" s="78"/>
      <c r="V245" s="8">
        <v>1</v>
      </c>
      <c r="W245" s="8">
        <v>1</v>
      </c>
      <c r="X245" s="10">
        <v>1</v>
      </c>
      <c r="Y245" s="8">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BX245" s="8">
        <v>1</v>
      </c>
      <c r="BY245" s="8" t="str">
        <f>+_xlfn.XLOOKUP(Table1[[#This Row],[L4 Code]],KIRMATAŞ!B:B,KIRMATAŞ!B:B,"")</f>
        <v/>
      </c>
      <c r="BZ245" s="8" t="str">
        <f>+_xlfn.XLOOKUP(Table1[[#This Row],[L4 Code]],'SU TEMİNİ'!C:C,'SU TEMİNİ'!C:C,"")</f>
        <v/>
      </c>
      <c r="CA245" s="8" t="str">
        <f>+_xlfn.XLOOKUP(Table1[[#This Row],[L4 Code]],TAŞ!C:C,TAŞ!C:C,"")</f>
        <v/>
      </c>
      <c r="CB245" s="8" t="str">
        <f>Table1[[#This Row],[L4 Code]]&amp;"-"&amp;Table1[[#This Row],[T1 Code]]</f>
        <v>E-01.PRS-01.MAA-002-1000</v>
      </c>
    </row>
    <row r="246" spans="1:80">
      <c r="A246" s="3" t="s">
        <v>5444</v>
      </c>
      <c r="B246" t="s">
        <v>3644</v>
      </c>
      <c r="C246" t="s">
        <v>3645</v>
      </c>
      <c r="D246" t="s">
        <v>4967</v>
      </c>
      <c r="F246" s="77" t="s">
        <v>4973</v>
      </c>
      <c r="H246" s="3" t="s">
        <v>4984</v>
      </c>
      <c r="I246" s="3"/>
      <c r="J246" s="78"/>
      <c r="K246" s="78"/>
      <c r="M246" s="78"/>
      <c r="V246" s="8">
        <v>1</v>
      </c>
      <c r="W246" s="8">
        <v>1</v>
      </c>
      <c r="X246" s="10">
        <v>1</v>
      </c>
      <c r="Y246" s="8">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BX246" s="8">
        <v>1</v>
      </c>
      <c r="BY246" s="8" t="str">
        <f>+_xlfn.XLOOKUP(Table1[[#This Row],[L4 Code]],KIRMATAŞ!B:B,KIRMATAŞ!B:B,"")</f>
        <v/>
      </c>
      <c r="BZ246" s="8" t="str">
        <f>+_xlfn.XLOOKUP(Table1[[#This Row],[L4 Code]],'SU TEMİNİ'!C:C,'SU TEMİNİ'!C:C,"")</f>
        <v/>
      </c>
      <c r="CA246" s="8" t="str">
        <f>+_xlfn.XLOOKUP(Table1[[#This Row],[L4 Code]],TAŞ!C:C,TAŞ!C:C,"")</f>
        <v/>
      </c>
      <c r="CB246" s="8" t="str">
        <f>Table1[[#This Row],[L4 Code]]&amp;"-"&amp;Table1[[#This Row],[T1 Code]]</f>
        <v>E-01.PRS-01.MAA-003-1000</v>
      </c>
    </row>
    <row r="247" spans="1:80">
      <c r="A247" s="3" t="s">
        <v>5444</v>
      </c>
      <c r="B247" t="s">
        <v>3646</v>
      </c>
      <c r="C247" t="s">
        <v>3647</v>
      </c>
      <c r="D247" t="s">
        <v>4967</v>
      </c>
      <c r="F247" s="77" t="s">
        <v>4973</v>
      </c>
      <c r="H247" s="3" t="s">
        <v>4984</v>
      </c>
      <c r="I247" s="3"/>
      <c r="J247" s="78"/>
      <c r="K247" s="78"/>
      <c r="M247" s="78"/>
      <c r="V247" s="8">
        <v>1</v>
      </c>
      <c r="W247" s="8">
        <v>1</v>
      </c>
      <c r="X247" s="10">
        <v>1</v>
      </c>
      <c r="Y247" s="8">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BX247" s="8">
        <v>1</v>
      </c>
      <c r="BY247" s="8" t="str">
        <f>+_xlfn.XLOOKUP(Table1[[#This Row],[L4 Code]],KIRMATAŞ!B:B,KIRMATAŞ!B:B,"")</f>
        <v/>
      </c>
      <c r="BZ247" s="8" t="str">
        <f>+_xlfn.XLOOKUP(Table1[[#This Row],[L4 Code]],'SU TEMİNİ'!C:C,'SU TEMİNİ'!C:C,"")</f>
        <v/>
      </c>
      <c r="CA247" s="8" t="str">
        <f>+_xlfn.XLOOKUP(Table1[[#This Row],[L4 Code]],TAŞ!C:C,TAŞ!C:C,"")</f>
        <v/>
      </c>
      <c r="CB247" s="8" t="str">
        <f>Table1[[#This Row],[L4 Code]]&amp;"-"&amp;Table1[[#This Row],[T1 Code]]</f>
        <v>E-01.PRS-01.MAA-004-1000</v>
      </c>
    </row>
    <row r="248" spans="1:80">
      <c r="A248" s="3" t="s">
        <v>5444</v>
      </c>
      <c r="B248" t="s">
        <v>3648</v>
      </c>
      <c r="C248" t="s">
        <v>3649</v>
      </c>
      <c r="D248" t="s">
        <v>4967</v>
      </c>
      <c r="F248" s="77" t="s">
        <v>4973</v>
      </c>
      <c r="H248" s="3" t="s">
        <v>4984</v>
      </c>
      <c r="I248" s="3"/>
      <c r="J248" s="78"/>
      <c r="K248" s="78"/>
      <c r="M248" s="78"/>
      <c r="V248" s="8">
        <v>1</v>
      </c>
      <c r="W248" s="8">
        <v>1</v>
      </c>
      <c r="X248" s="10">
        <v>1</v>
      </c>
      <c r="Y248" s="8">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BX248" s="8">
        <v>1</v>
      </c>
      <c r="BY248" s="8" t="str">
        <f>+_xlfn.XLOOKUP(Table1[[#This Row],[L4 Code]],KIRMATAŞ!B:B,KIRMATAŞ!B:B,"")</f>
        <v/>
      </c>
      <c r="BZ248" s="8" t="str">
        <f>+_xlfn.XLOOKUP(Table1[[#This Row],[L4 Code]],'SU TEMİNİ'!C:C,'SU TEMİNİ'!C:C,"")</f>
        <v/>
      </c>
      <c r="CA248" s="8" t="str">
        <f>+_xlfn.XLOOKUP(Table1[[#This Row],[L4 Code]],TAŞ!C:C,TAŞ!C:C,"")</f>
        <v/>
      </c>
      <c r="CB248" s="8" t="str">
        <f>Table1[[#This Row],[L4 Code]]&amp;"-"&amp;Table1[[#This Row],[T1 Code]]</f>
        <v>E-01.PRS-01.MAA-005-1000</v>
      </c>
    </row>
    <row r="249" spans="1:80">
      <c r="A249" s="3" t="s">
        <v>5444</v>
      </c>
      <c r="B249" t="s">
        <v>3650</v>
      </c>
      <c r="C249" t="s">
        <v>3651</v>
      </c>
      <c r="D249" t="s">
        <v>4967</v>
      </c>
      <c r="F249" s="77" t="s">
        <v>4973</v>
      </c>
      <c r="H249" s="3" t="s">
        <v>4984</v>
      </c>
      <c r="I249" s="3"/>
      <c r="J249" s="78"/>
      <c r="K249" s="78"/>
      <c r="M249" s="78"/>
      <c r="V249" s="8">
        <v>1</v>
      </c>
      <c r="W249" s="8">
        <v>1</v>
      </c>
      <c r="X249" s="10">
        <v>1</v>
      </c>
      <c r="Y249" s="8">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BX249" s="8">
        <v>1</v>
      </c>
      <c r="BY249" s="8" t="str">
        <f>+_xlfn.XLOOKUP(Table1[[#This Row],[L4 Code]],KIRMATAŞ!B:B,KIRMATAŞ!B:B,"")</f>
        <v/>
      </c>
      <c r="BZ249" s="8" t="str">
        <f>+_xlfn.XLOOKUP(Table1[[#This Row],[L4 Code]],'SU TEMİNİ'!C:C,'SU TEMİNİ'!C:C,"")</f>
        <v/>
      </c>
      <c r="CA249" s="8" t="str">
        <f>+_xlfn.XLOOKUP(Table1[[#This Row],[L4 Code]],TAŞ!C:C,TAŞ!C:C,"")</f>
        <v/>
      </c>
      <c r="CB249" s="8" t="str">
        <f>Table1[[#This Row],[L4 Code]]&amp;"-"&amp;Table1[[#This Row],[T1 Code]]</f>
        <v>E-01.PRS-01.MAA-006-1000</v>
      </c>
    </row>
    <row r="250" spans="1:80">
      <c r="A250" s="3" t="s">
        <v>5444</v>
      </c>
      <c r="B250" t="s">
        <v>3652</v>
      </c>
      <c r="C250" t="s">
        <v>3653</v>
      </c>
      <c r="D250" t="s">
        <v>4967</v>
      </c>
      <c r="F250" s="77" t="s">
        <v>4973</v>
      </c>
      <c r="H250" s="3" t="s">
        <v>4984</v>
      </c>
      <c r="I250" s="3"/>
      <c r="J250" s="78"/>
      <c r="K250" s="78"/>
      <c r="M250" s="78"/>
      <c r="V250" s="8">
        <v>1</v>
      </c>
      <c r="W250" s="8">
        <v>1</v>
      </c>
      <c r="X250" s="10">
        <v>1</v>
      </c>
      <c r="Y250" s="8">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BX250" s="8">
        <v>1</v>
      </c>
      <c r="BY250" s="8" t="str">
        <f>+_xlfn.XLOOKUP(Table1[[#This Row],[L4 Code]],KIRMATAŞ!B:B,KIRMATAŞ!B:B,"")</f>
        <v/>
      </c>
      <c r="BZ250" s="8" t="str">
        <f>+_xlfn.XLOOKUP(Table1[[#This Row],[L4 Code]],'SU TEMİNİ'!C:C,'SU TEMİNİ'!C:C,"")</f>
        <v/>
      </c>
      <c r="CA250" s="8" t="str">
        <f>+_xlfn.XLOOKUP(Table1[[#This Row],[L4 Code]],TAŞ!C:C,TAŞ!C:C,"")</f>
        <v/>
      </c>
      <c r="CB250" s="8" t="str">
        <f>Table1[[#This Row],[L4 Code]]&amp;"-"&amp;Table1[[#This Row],[T1 Code]]</f>
        <v>E-01.PRS-01.MAA-007-1000</v>
      </c>
    </row>
    <row r="251" spans="1:80">
      <c r="A251" s="3" t="s">
        <v>5444</v>
      </c>
      <c r="B251" t="s">
        <v>3654</v>
      </c>
      <c r="C251" t="s">
        <v>3655</v>
      </c>
      <c r="D251" t="s">
        <v>4967</v>
      </c>
      <c r="F251" s="77" t="s">
        <v>4973</v>
      </c>
      <c r="H251" s="3" t="s">
        <v>4984</v>
      </c>
      <c r="I251" s="3"/>
      <c r="J251" s="78"/>
      <c r="K251" s="78"/>
      <c r="M251" s="78"/>
      <c r="V251" s="8">
        <v>1</v>
      </c>
      <c r="W251" s="8">
        <v>1</v>
      </c>
      <c r="X251" s="10">
        <v>1</v>
      </c>
      <c r="Y251" s="8">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BX251" s="8">
        <v>1</v>
      </c>
      <c r="BY251" s="8" t="str">
        <f>+_xlfn.XLOOKUP(Table1[[#This Row],[L4 Code]],KIRMATAŞ!B:B,KIRMATAŞ!B:B,"")</f>
        <v/>
      </c>
      <c r="BZ251" s="8" t="str">
        <f>+_xlfn.XLOOKUP(Table1[[#This Row],[L4 Code]],'SU TEMİNİ'!C:C,'SU TEMİNİ'!C:C,"")</f>
        <v/>
      </c>
      <c r="CA251" s="8" t="str">
        <f>+_xlfn.XLOOKUP(Table1[[#This Row],[L4 Code]],TAŞ!C:C,TAŞ!C:C,"")</f>
        <v/>
      </c>
      <c r="CB251" s="8" t="str">
        <f>Table1[[#This Row],[L4 Code]]&amp;"-"&amp;Table1[[#This Row],[T1 Code]]</f>
        <v>E-01.PRS-01.MAA-008-1000</v>
      </c>
    </row>
    <row r="252" spans="1:80">
      <c r="A252" s="3" t="s">
        <v>5444</v>
      </c>
      <c r="B252" t="s">
        <v>3656</v>
      </c>
      <c r="C252" t="s">
        <v>3657</v>
      </c>
      <c r="D252" t="s">
        <v>4967</v>
      </c>
      <c r="F252" s="77" t="s">
        <v>4973</v>
      </c>
      <c r="H252" s="3" t="s">
        <v>4984</v>
      </c>
      <c r="I252" s="3"/>
      <c r="J252" s="78"/>
      <c r="K252" s="78"/>
      <c r="M252" s="78"/>
      <c r="V252" s="8">
        <v>1</v>
      </c>
      <c r="W252" s="8">
        <v>1</v>
      </c>
      <c r="X252" s="10">
        <v>1</v>
      </c>
      <c r="Y252" s="8">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BX252" s="8">
        <v>1</v>
      </c>
      <c r="BY252" s="8" t="str">
        <f>+_xlfn.XLOOKUP(Table1[[#This Row],[L4 Code]],KIRMATAŞ!B:B,KIRMATAŞ!B:B,"")</f>
        <v/>
      </c>
      <c r="BZ252" s="8" t="str">
        <f>+_xlfn.XLOOKUP(Table1[[#This Row],[L4 Code]],'SU TEMİNİ'!C:C,'SU TEMİNİ'!C:C,"")</f>
        <v/>
      </c>
      <c r="CA252" s="8" t="str">
        <f>+_xlfn.XLOOKUP(Table1[[#This Row],[L4 Code]],TAŞ!C:C,TAŞ!C:C,"")</f>
        <v/>
      </c>
      <c r="CB252" s="8" t="str">
        <f>Table1[[#This Row],[L4 Code]]&amp;"-"&amp;Table1[[#This Row],[T1 Code]]</f>
        <v>E-01.PRS-01.MAA-009-1000</v>
      </c>
    </row>
    <row r="253" spans="1:80">
      <c r="A253" s="3" t="s">
        <v>5444</v>
      </c>
      <c r="B253" t="s">
        <v>3658</v>
      </c>
      <c r="C253" t="s">
        <v>3659</v>
      </c>
      <c r="D253" t="s">
        <v>4967</v>
      </c>
      <c r="F253" s="77" t="s">
        <v>4973</v>
      </c>
      <c r="H253" s="3" t="s">
        <v>4984</v>
      </c>
      <c r="I253" s="3"/>
      <c r="J253" s="78"/>
      <c r="K253" s="78"/>
      <c r="M253" s="78"/>
      <c r="V253" s="8">
        <v>1</v>
      </c>
      <c r="W253" s="8">
        <v>1</v>
      </c>
      <c r="X253" s="10">
        <v>1</v>
      </c>
      <c r="Y253" s="8">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BX253" s="8">
        <v>1</v>
      </c>
      <c r="BY253" s="8" t="str">
        <f>+_xlfn.XLOOKUP(Table1[[#This Row],[L4 Code]],KIRMATAŞ!B:B,KIRMATAŞ!B:B,"")</f>
        <v/>
      </c>
      <c r="BZ253" s="8" t="str">
        <f>+_xlfn.XLOOKUP(Table1[[#This Row],[L4 Code]],'SU TEMİNİ'!C:C,'SU TEMİNİ'!C:C,"")</f>
        <v/>
      </c>
      <c r="CA253" s="8" t="str">
        <f>+_xlfn.XLOOKUP(Table1[[#This Row],[L4 Code]],TAŞ!C:C,TAŞ!C:C,"")</f>
        <v/>
      </c>
      <c r="CB253" s="8" t="str">
        <f>Table1[[#This Row],[L4 Code]]&amp;"-"&amp;Table1[[#This Row],[T1 Code]]</f>
        <v>E-01.PRS-01.MAA-010-1000</v>
      </c>
    </row>
    <row r="254" spans="1:80">
      <c r="A254" s="3" t="s">
        <v>5444</v>
      </c>
      <c r="B254" t="s">
        <v>3660</v>
      </c>
      <c r="C254" t="s">
        <v>3661</v>
      </c>
      <c r="D254" t="s">
        <v>4967</v>
      </c>
      <c r="F254" s="77" t="s">
        <v>4973</v>
      </c>
      <c r="H254" s="3" t="s">
        <v>4984</v>
      </c>
      <c r="I254" s="3"/>
      <c r="J254" s="78"/>
      <c r="K254" s="78"/>
      <c r="M254" s="78"/>
      <c r="V254" s="8">
        <v>1</v>
      </c>
      <c r="W254" s="8">
        <v>1</v>
      </c>
      <c r="X254" s="10">
        <v>1</v>
      </c>
      <c r="Y254" s="8">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BX254" s="8">
        <v>1</v>
      </c>
      <c r="BY254" s="8" t="str">
        <f>+_xlfn.XLOOKUP(Table1[[#This Row],[L4 Code]],KIRMATAŞ!B:B,KIRMATAŞ!B:B,"")</f>
        <v/>
      </c>
      <c r="BZ254" s="8" t="str">
        <f>+_xlfn.XLOOKUP(Table1[[#This Row],[L4 Code]],'SU TEMİNİ'!C:C,'SU TEMİNİ'!C:C,"")</f>
        <v/>
      </c>
      <c r="CA254" s="8" t="str">
        <f>+_xlfn.XLOOKUP(Table1[[#This Row],[L4 Code]],TAŞ!C:C,TAŞ!C:C,"")</f>
        <v/>
      </c>
      <c r="CB254" s="8" t="str">
        <f>Table1[[#This Row],[L4 Code]]&amp;"-"&amp;Table1[[#This Row],[T1 Code]]</f>
        <v>E-01.PRS-01.MAA-011-1000</v>
      </c>
    </row>
    <row r="255" spans="1:80">
      <c r="A255" s="3" t="s">
        <v>5444</v>
      </c>
      <c r="B255" t="s">
        <v>3662</v>
      </c>
      <c r="C255" t="s">
        <v>3663</v>
      </c>
      <c r="D255" t="s">
        <v>4967</v>
      </c>
      <c r="F255" s="77" t="s">
        <v>4973</v>
      </c>
      <c r="H255" s="3" t="s">
        <v>4984</v>
      </c>
      <c r="I255" s="3"/>
      <c r="J255" s="78"/>
      <c r="K255" s="78"/>
      <c r="M255" s="78"/>
      <c r="V255" s="8">
        <v>1</v>
      </c>
      <c r="W255" s="8">
        <v>1</v>
      </c>
      <c r="X255" s="10">
        <v>1</v>
      </c>
      <c r="Y255" s="8">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BX255" s="8">
        <v>1</v>
      </c>
      <c r="BY255" s="8" t="str">
        <f>+_xlfn.XLOOKUP(Table1[[#This Row],[L4 Code]],KIRMATAŞ!B:B,KIRMATAŞ!B:B,"")</f>
        <v/>
      </c>
      <c r="BZ255" s="8" t="str">
        <f>+_xlfn.XLOOKUP(Table1[[#This Row],[L4 Code]],'SU TEMİNİ'!C:C,'SU TEMİNİ'!C:C,"")</f>
        <v/>
      </c>
      <c r="CA255" s="8" t="str">
        <f>+_xlfn.XLOOKUP(Table1[[#This Row],[L4 Code]],TAŞ!C:C,TAŞ!C:C,"")</f>
        <v/>
      </c>
      <c r="CB255" s="8" t="str">
        <f>Table1[[#This Row],[L4 Code]]&amp;"-"&amp;Table1[[#This Row],[T1 Code]]</f>
        <v>E-01.PRS-01.MAA-012-1000</v>
      </c>
    </row>
    <row r="256" spans="1:80">
      <c r="A256" s="3" t="s">
        <v>5444</v>
      </c>
      <c r="B256" t="s">
        <v>3664</v>
      </c>
      <c r="C256" t="s">
        <v>3665</v>
      </c>
      <c r="D256" t="s">
        <v>4967</v>
      </c>
      <c r="F256" s="77" t="s">
        <v>4973</v>
      </c>
      <c r="H256" s="3" t="s">
        <v>4984</v>
      </c>
      <c r="I256" s="3"/>
      <c r="J256" s="78"/>
      <c r="K256" s="78"/>
      <c r="M256" s="78"/>
      <c r="V256" s="8">
        <v>1</v>
      </c>
      <c r="W256" s="8">
        <v>1</v>
      </c>
      <c r="X256" s="10">
        <v>1</v>
      </c>
      <c r="Y256" s="8">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BX256" s="8">
        <v>1</v>
      </c>
      <c r="BY256" s="8" t="str">
        <f>+_xlfn.XLOOKUP(Table1[[#This Row],[L4 Code]],KIRMATAŞ!B:B,KIRMATAŞ!B:B,"")</f>
        <v/>
      </c>
      <c r="BZ256" s="8" t="str">
        <f>+_xlfn.XLOOKUP(Table1[[#This Row],[L4 Code]],'SU TEMİNİ'!C:C,'SU TEMİNİ'!C:C,"")</f>
        <v/>
      </c>
      <c r="CA256" s="8" t="str">
        <f>+_xlfn.XLOOKUP(Table1[[#This Row],[L4 Code]],TAŞ!C:C,TAŞ!C:C,"")</f>
        <v/>
      </c>
      <c r="CB256" s="8" t="str">
        <f>Table1[[#This Row],[L4 Code]]&amp;"-"&amp;Table1[[#This Row],[T1 Code]]</f>
        <v>E-01.PRS-01.MAA-013-1000</v>
      </c>
    </row>
    <row r="257" spans="1:80">
      <c r="A257" s="3" t="s">
        <v>5444</v>
      </c>
      <c r="B257" t="s">
        <v>3668</v>
      </c>
      <c r="C257" t="s">
        <v>3669</v>
      </c>
      <c r="D257" t="s">
        <v>4967</v>
      </c>
      <c r="F257" s="77" t="s">
        <v>4973</v>
      </c>
      <c r="H257" s="3" t="s">
        <v>4984</v>
      </c>
      <c r="I257" s="3"/>
      <c r="J257" s="78"/>
      <c r="K257" s="78"/>
      <c r="M257" s="78"/>
      <c r="V257" s="8">
        <v>1</v>
      </c>
      <c r="W257" s="8">
        <v>1</v>
      </c>
      <c r="X257" s="10">
        <v>1</v>
      </c>
      <c r="Y257" s="8">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BX257" s="8">
        <v>1</v>
      </c>
      <c r="BY257" s="8" t="str">
        <f>+_xlfn.XLOOKUP(Table1[[#This Row],[L4 Code]],KIRMATAŞ!B:B,KIRMATAŞ!B:B,"")</f>
        <v/>
      </c>
      <c r="BZ257" s="8" t="str">
        <f>+_xlfn.XLOOKUP(Table1[[#This Row],[L4 Code]],'SU TEMİNİ'!C:C,'SU TEMİNİ'!C:C,"")</f>
        <v/>
      </c>
      <c r="CA257" s="8" t="str">
        <f>+_xlfn.XLOOKUP(Table1[[#This Row],[L4 Code]],TAŞ!C:C,TAŞ!C:C,"")</f>
        <v/>
      </c>
      <c r="CB257" s="8" t="str">
        <f>Table1[[#This Row],[L4 Code]]&amp;"-"&amp;Table1[[#This Row],[T1 Code]]</f>
        <v>E-01.PRS-01.MAA-015-1000</v>
      </c>
    </row>
    <row r="258" spans="1:80">
      <c r="A258" s="3" t="s">
        <v>5444</v>
      </c>
      <c r="B258" t="s">
        <v>3670</v>
      </c>
      <c r="C258" t="s">
        <v>3671</v>
      </c>
      <c r="D258" t="s">
        <v>4967</v>
      </c>
      <c r="F258" s="77" t="s">
        <v>4973</v>
      </c>
      <c r="H258" s="3" t="s">
        <v>4984</v>
      </c>
      <c r="I258" s="3"/>
      <c r="J258" s="78"/>
      <c r="K258" s="78"/>
      <c r="M258" s="78"/>
      <c r="V258" s="8">
        <v>1</v>
      </c>
      <c r="W258" s="8">
        <v>1</v>
      </c>
      <c r="X258" s="10">
        <v>1</v>
      </c>
      <c r="Y258" s="8">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BX258" s="8">
        <v>1</v>
      </c>
      <c r="BY258" s="8" t="str">
        <f>+_xlfn.XLOOKUP(Table1[[#This Row],[L4 Code]],KIRMATAŞ!B:B,KIRMATAŞ!B:B,"")</f>
        <v/>
      </c>
      <c r="BZ258" s="8" t="str">
        <f>+_xlfn.XLOOKUP(Table1[[#This Row],[L4 Code]],'SU TEMİNİ'!C:C,'SU TEMİNİ'!C:C,"")</f>
        <v/>
      </c>
      <c r="CA258" s="8" t="str">
        <f>+_xlfn.XLOOKUP(Table1[[#This Row],[L4 Code]],TAŞ!C:C,TAŞ!C:C,"")</f>
        <v/>
      </c>
      <c r="CB258" s="8" t="str">
        <f>Table1[[#This Row],[L4 Code]]&amp;"-"&amp;Table1[[#This Row],[T1 Code]]</f>
        <v>E-01.PRS-01.MAA-016-1000</v>
      </c>
    </row>
    <row r="259" spans="1:80">
      <c r="A259" s="3" t="s">
        <v>5444</v>
      </c>
      <c r="B259" t="s">
        <v>3672</v>
      </c>
      <c r="C259" t="s">
        <v>3673</v>
      </c>
      <c r="D259" t="s">
        <v>4967</v>
      </c>
      <c r="F259" s="77" t="s">
        <v>4973</v>
      </c>
      <c r="H259" s="3" t="s">
        <v>4984</v>
      </c>
      <c r="I259" s="3"/>
      <c r="J259" s="78"/>
      <c r="K259" s="78"/>
      <c r="M259" s="78"/>
      <c r="V259" s="8">
        <v>1</v>
      </c>
      <c r="W259" s="8">
        <v>1</v>
      </c>
      <c r="X259" s="10">
        <v>1</v>
      </c>
      <c r="Y259" s="8">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BX259" s="8">
        <v>1</v>
      </c>
      <c r="BY259" s="8" t="str">
        <f>+_xlfn.XLOOKUP(Table1[[#This Row],[L4 Code]],KIRMATAŞ!B:B,KIRMATAŞ!B:B,"")</f>
        <v/>
      </c>
      <c r="BZ259" s="8" t="str">
        <f>+_xlfn.XLOOKUP(Table1[[#This Row],[L4 Code]],'SU TEMİNİ'!C:C,'SU TEMİNİ'!C:C,"")</f>
        <v/>
      </c>
      <c r="CA259" s="8" t="str">
        <f>+_xlfn.XLOOKUP(Table1[[#This Row],[L4 Code]],TAŞ!C:C,TAŞ!C:C,"")</f>
        <v/>
      </c>
      <c r="CB259" s="8" t="str">
        <f>Table1[[#This Row],[L4 Code]]&amp;"-"&amp;Table1[[#This Row],[T1 Code]]</f>
        <v>E-01.PRS-01.MAA-017-1000</v>
      </c>
    </row>
    <row r="260" spans="1:80">
      <c r="A260" s="3" t="s">
        <v>5444</v>
      </c>
      <c r="B260" t="s">
        <v>3674</v>
      </c>
      <c r="D260" t="s">
        <v>4967</v>
      </c>
      <c r="F260" s="77" t="s">
        <v>4973</v>
      </c>
      <c r="H260" s="3" t="s">
        <v>4984</v>
      </c>
      <c r="I260" s="3"/>
      <c r="J260" s="78"/>
      <c r="K260" s="78"/>
      <c r="M260" s="78"/>
      <c r="V260" s="8">
        <v>1</v>
      </c>
      <c r="W260" s="8">
        <v>1</v>
      </c>
      <c r="X260" s="10">
        <v>1</v>
      </c>
      <c r="Y260" s="8">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BX260" s="8">
        <v>1</v>
      </c>
      <c r="BY260" s="8" t="str">
        <f>+_xlfn.XLOOKUP(Table1[[#This Row],[L4 Code]],KIRMATAŞ!B:B,KIRMATAŞ!B:B,"")</f>
        <v/>
      </c>
      <c r="BZ260" s="8" t="str">
        <f>+_xlfn.XLOOKUP(Table1[[#This Row],[L4 Code]],'SU TEMİNİ'!C:C,'SU TEMİNİ'!C:C,"")</f>
        <v/>
      </c>
      <c r="CA260" s="8" t="str">
        <f>+_xlfn.XLOOKUP(Table1[[#This Row],[L4 Code]],TAŞ!C:C,TAŞ!C:C,"")</f>
        <v/>
      </c>
      <c r="CB260" s="8" t="str">
        <f>Table1[[#This Row],[L4 Code]]&amp;"-"&amp;Table1[[#This Row],[T1 Code]]</f>
        <v>E-01.PRS-01.MAA-021-1000</v>
      </c>
    </row>
    <row r="261" spans="1:80">
      <c r="A261" s="3" t="s">
        <v>5444</v>
      </c>
      <c r="B261" t="s">
        <v>3689</v>
      </c>
      <c r="D261" t="s">
        <v>4967</v>
      </c>
      <c r="F261" s="77" t="s">
        <v>4973</v>
      </c>
      <c r="H261" s="3" t="s">
        <v>4984</v>
      </c>
      <c r="I261" s="3"/>
      <c r="J261" s="78"/>
      <c r="K261" s="78"/>
      <c r="M261" s="78"/>
      <c r="V261" s="8">
        <v>1</v>
      </c>
      <c r="W261" s="8">
        <v>1</v>
      </c>
      <c r="X261" s="10">
        <v>1</v>
      </c>
      <c r="Y261" s="8">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BX261" s="8">
        <v>1</v>
      </c>
      <c r="BY261" s="8" t="str">
        <f>+_xlfn.XLOOKUP(Table1[[#This Row],[L4 Code]],KIRMATAŞ!B:B,KIRMATAŞ!B:B,"")</f>
        <v/>
      </c>
      <c r="BZ261" s="8" t="str">
        <f>+_xlfn.XLOOKUP(Table1[[#This Row],[L4 Code]],'SU TEMİNİ'!C:C,'SU TEMİNİ'!C:C,"")</f>
        <v/>
      </c>
      <c r="CA261" s="8" t="str">
        <f>+_xlfn.XLOOKUP(Table1[[#This Row],[L4 Code]],TAŞ!C:C,TAŞ!C:C,"")</f>
        <v/>
      </c>
      <c r="CB261" s="8" t="str">
        <f>Table1[[#This Row],[L4 Code]]&amp;"-"&amp;Table1[[#This Row],[T1 Code]]</f>
        <v>E-02.MAK-01.AMR-010-1000</v>
      </c>
    </row>
    <row r="262" spans="1:80">
      <c r="A262" s="3" t="s">
        <v>5444</v>
      </c>
      <c r="B262" t="s">
        <v>3692</v>
      </c>
      <c r="D262" t="s">
        <v>4967</v>
      </c>
      <c r="F262" s="77" t="s">
        <v>4973</v>
      </c>
      <c r="H262" s="3" t="s">
        <v>4984</v>
      </c>
      <c r="I262" s="3"/>
      <c r="J262" s="78"/>
      <c r="K262" s="78"/>
      <c r="M262" s="78"/>
      <c r="V262" s="8">
        <v>1</v>
      </c>
      <c r="W262" s="8">
        <v>1</v>
      </c>
      <c r="X262" s="10">
        <v>1</v>
      </c>
      <c r="Y262" s="8">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BX262" s="8">
        <v>1</v>
      </c>
      <c r="BY262" s="8" t="str">
        <f>+_xlfn.XLOOKUP(Table1[[#This Row],[L4 Code]],KIRMATAŞ!B:B,KIRMATAŞ!B:B,"")</f>
        <v/>
      </c>
      <c r="BZ262" s="8" t="str">
        <f>+_xlfn.XLOOKUP(Table1[[#This Row],[L4 Code]],'SU TEMİNİ'!C:C,'SU TEMİNİ'!C:C,"")</f>
        <v/>
      </c>
      <c r="CA262" s="8" t="str">
        <f>+_xlfn.XLOOKUP(Table1[[#This Row],[L4 Code]],TAŞ!C:C,TAŞ!C:C,"")</f>
        <v/>
      </c>
      <c r="CB262" s="8" t="str">
        <f>Table1[[#This Row],[L4 Code]]&amp;"-"&amp;Table1[[#This Row],[T1 Code]]</f>
        <v>E-02.MAK-01.AMR-020-1000</v>
      </c>
    </row>
    <row r="263" spans="1:80">
      <c r="A263" s="3" t="s">
        <v>5444</v>
      </c>
      <c r="B263" t="s">
        <v>3694</v>
      </c>
      <c r="D263" t="s">
        <v>4967</v>
      </c>
      <c r="F263" s="77" t="s">
        <v>4973</v>
      </c>
      <c r="H263" s="3" t="s">
        <v>4984</v>
      </c>
      <c r="I263" s="3"/>
      <c r="J263" s="78"/>
      <c r="K263" s="78"/>
      <c r="M263" s="78"/>
      <c r="V263" s="8">
        <v>1</v>
      </c>
      <c r="W263" s="8">
        <v>1</v>
      </c>
      <c r="X263" s="10">
        <v>1</v>
      </c>
      <c r="Y263" s="8">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BX263" s="8">
        <v>1</v>
      </c>
      <c r="BY263" s="8" t="str">
        <f>+_xlfn.XLOOKUP(Table1[[#This Row],[L4 Code]],KIRMATAŞ!B:B,KIRMATAŞ!B:B,"")</f>
        <v/>
      </c>
      <c r="BZ263" s="8" t="str">
        <f>+_xlfn.XLOOKUP(Table1[[#This Row],[L4 Code]],'SU TEMİNİ'!C:C,'SU TEMİNİ'!C:C,"")</f>
        <v/>
      </c>
      <c r="CA263" s="8" t="str">
        <f>+_xlfn.XLOOKUP(Table1[[#This Row],[L4 Code]],TAŞ!C:C,TAŞ!C:C,"")</f>
        <v/>
      </c>
      <c r="CB263" s="8" t="str">
        <f>Table1[[#This Row],[L4 Code]]&amp;"-"&amp;Table1[[#This Row],[T1 Code]]</f>
        <v>E-02.MAK-01.AMR-030-1000</v>
      </c>
    </row>
    <row r="264" spans="1:80">
      <c r="A264" s="3" t="s">
        <v>5444</v>
      </c>
      <c r="B264" t="s">
        <v>3697</v>
      </c>
      <c r="D264" t="s">
        <v>4967</v>
      </c>
      <c r="F264" s="77" t="s">
        <v>4973</v>
      </c>
      <c r="H264" s="3" t="s">
        <v>4984</v>
      </c>
      <c r="I264" s="3"/>
      <c r="J264" s="78"/>
      <c r="K264" s="78"/>
      <c r="M264" s="78"/>
      <c r="V264" s="8">
        <v>1</v>
      </c>
      <c r="W264" s="8">
        <v>1</v>
      </c>
      <c r="X264" s="10">
        <v>1</v>
      </c>
      <c r="Y264" s="8">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BX264" s="8">
        <v>1</v>
      </c>
      <c r="BY264" s="8" t="str">
        <f>+_xlfn.XLOOKUP(Table1[[#This Row],[L4 Code]],KIRMATAŞ!B:B,KIRMATAŞ!B:B,"")</f>
        <v/>
      </c>
      <c r="BZ264" s="8" t="str">
        <f>+_xlfn.XLOOKUP(Table1[[#This Row],[L4 Code]],'SU TEMİNİ'!C:C,'SU TEMİNİ'!C:C,"")</f>
        <v/>
      </c>
      <c r="CA264" s="8" t="str">
        <f>+_xlfn.XLOOKUP(Table1[[#This Row],[L4 Code]],TAŞ!C:C,TAŞ!C:C,"")</f>
        <v/>
      </c>
      <c r="CB264" s="8" t="str">
        <f>Table1[[#This Row],[L4 Code]]&amp;"-"&amp;Table1[[#This Row],[T1 Code]]</f>
        <v>E-02.MAK-01.AMR-041-1000</v>
      </c>
    </row>
    <row r="265" spans="1:80">
      <c r="A265" s="3" t="s">
        <v>5444</v>
      </c>
      <c r="B265" t="s">
        <v>3699</v>
      </c>
      <c r="D265" t="s">
        <v>4967</v>
      </c>
      <c r="F265" s="77" t="s">
        <v>4973</v>
      </c>
      <c r="H265" s="3" t="s">
        <v>4984</v>
      </c>
      <c r="I265" s="3"/>
      <c r="J265" s="78"/>
      <c r="K265" s="78"/>
      <c r="M265" s="78"/>
      <c r="V265" s="8">
        <v>1</v>
      </c>
      <c r="W265" s="8">
        <v>1</v>
      </c>
      <c r="X265" s="10">
        <v>1</v>
      </c>
      <c r="Y265" s="8">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BX265" s="8">
        <v>1</v>
      </c>
      <c r="BY265" s="8" t="str">
        <f>+_xlfn.XLOOKUP(Table1[[#This Row],[L4 Code]],KIRMATAŞ!B:B,KIRMATAŞ!B:B,"")</f>
        <v/>
      </c>
      <c r="BZ265" s="8" t="str">
        <f>+_xlfn.XLOOKUP(Table1[[#This Row],[L4 Code]],'SU TEMİNİ'!C:C,'SU TEMİNİ'!C:C,"")</f>
        <v/>
      </c>
      <c r="CA265" s="8" t="str">
        <f>+_xlfn.XLOOKUP(Table1[[#This Row],[L4 Code]],TAŞ!C:C,TAŞ!C:C,"")</f>
        <v/>
      </c>
      <c r="CB265" s="8" t="str">
        <f>Table1[[#This Row],[L4 Code]]&amp;"-"&amp;Table1[[#This Row],[T1 Code]]</f>
        <v>E-02.MAK-01.AMR-042-1000</v>
      </c>
    </row>
    <row r="266" spans="1:80">
      <c r="A266" s="3" t="s">
        <v>5444</v>
      </c>
      <c r="B266" t="s">
        <v>3701</v>
      </c>
      <c r="D266" t="s">
        <v>4967</v>
      </c>
      <c r="F266" s="77" t="s">
        <v>4973</v>
      </c>
      <c r="H266" s="3" t="s">
        <v>4984</v>
      </c>
      <c r="I266" s="3"/>
      <c r="J266" s="78"/>
      <c r="K266" s="78"/>
      <c r="M266" s="78"/>
      <c r="V266" s="8">
        <v>1</v>
      </c>
      <c r="W266" s="8">
        <v>1</v>
      </c>
      <c r="X266" s="10">
        <v>1</v>
      </c>
      <c r="Y266" s="8">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BX266" s="8">
        <v>1</v>
      </c>
      <c r="BY266" s="8" t="str">
        <f>+_xlfn.XLOOKUP(Table1[[#This Row],[L4 Code]],KIRMATAŞ!B:B,KIRMATAŞ!B:B,"")</f>
        <v/>
      </c>
      <c r="BZ266" s="8" t="str">
        <f>+_xlfn.XLOOKUP(Table1[[#This Row],[L4 Code]],'SU TEMİNİ'!C:C,'SU TEMİNİ'!C:C,"")</f>
        <v/>
      </c>
      <c r="CA266" s="8" t="str">
        <f>+_xlfn.XLOOKUP(Table1[[#This Row],[L4 Code]],TAŞ!C:C,TAŞ!C:C,"")</f>
        <v/>
      </c>
      <c r="CB266" s="8" t="str">
        <f>Table1[[#This Row],[L4 Code]]&amp;"-"&amp;Table1[[#This Row],[T1 Code]]</f>
        <v>E-02.MAK-01.AMR-043-1000</v>
      </c>
    </row>
    <row r="267" spans="1:80">
      <c r="A267" s="3" t="s">
        <v>5444</v>
      </c>
      <c r="B267" t="s">
        <v>3703</v>
      </c>
      <c r="D267" t="s">
        <v>4967</v>
      </c>
      <c r="F267" s="77" t="s">
        <v>4973</v>
      </c>
      <c r="H267" s="3" t="s">
        <v>4984</v>
      </c>
      <c r="I267" s="3"/>
      <c r="J267" s="78"/>
      <c r="K267" s="78"/>
      <c r="M267" s="78"/>
      <c r="V267" s="8">
        <v>1</v>
      </c>
      <c r="W267" s="8">
        <v>1</v>
      </c>
      <c r="X267" s="10">
        <v>1</v>
      </c>
      <c r="Y267" s="8">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BX267" s="8">
        <v>1</v>
      </c>
      <c r="BY267" s="8" t="str">
        <f>+_xlfn.XLOOKUP(Table1[[#This Row],[L4 Code]],KIRMATAŞ!B:B,KIRMATAŞ!B:B,"")</f>
        <v/>
      </c>
      <c r="BZ267" s="8" t="str">
        <f>+_xlfn.XLOOKUP(Table1[[#This Row],[L4 Code]],'SU TEMİNİ'!C:C,'SU TEMİNİ'!C:C,"")</f>
        <v/>
      </c>
      <c r="CA267" s="8" t="str">
        <f>+_xlfn.XLOOKUP(Table1[[#This Row],[L4 Code]],TAŞ!C:C,TAŞ!C:C,"")</f>
        <v/>
      </c>
      <c r="CB267" s="8" t="str">
        <f>Table1[[#This Row],[L4 Code]]&amp;"-"&amp;Table1[[#This Row],[T1 Code]]</f>
        <v>E-02.MAK-01.AMR-044-1000</v>
      </c>
    </row>
    <row r="268" spans="1:80">
      <c r="A268" s="3" t="s">
        <v>5444</v>
      </c>
      <c r="B268" t="s">
        <v>3705</v>
      </c>
      <c r="D268" t="s">
        <v>4967</v>
      </c>
      <c r="F268" s="77" t="s">
        <v>4973</v>
      </c>
      <c r="H268" s="3" t="s">
        <v>4984</v>
      </c>
      <c r="I268" s="3"/>
      <c r="J268" s="78"/>
      <c r="K268" s="78"/>
      <c r="M268" s="78"/>
      <c r="V268" s="8">
        <v>1</v>
      </c>
      <c r="W268" s="8">
        <v>1</v>
      </c>
      <c r="X268" s="10">
        <v>1</v>
      </c>
      <c r="Y268" s="8">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BX268" s="8">
        <v>1</v>
      </c>
      <c r="BY268" s="8" t="str">
        <f>+_xlfn.XLOOKUP(Table1[[#This Row],[L4 Code]],KIRMATAŞ!B:B,KIRMATAŞ!B:B,"")</f>
        <v/>
      </c>
      <c r="BZ268" s="8" t="str">
        <f>+_xlfn.XLOOKUP(Table1[[#This Row],[L4 Code]],'SU TEMİNİ'!C:C,'SU TEMİNİ'!C:C,"")</f>
        <v/>
      </c>
      <c r="CA268" s="8" t="str">
        <f>+_xlfn.XLOOKUP(Table1[[#This Row],[L4 Code]],TAŞ!C:C,TAŞ!C:C,"")</f>
        <v/>
      </c>
      <c r="CB268" s="8" t="str">
        <f>Table1[[#This Row],[L4 Code]]&amp;"-"&amp;Table1[[#This Row],[T1 Code]]</f>
        <v>E-02.MAK-01.AMR-050-1000</v>
      </c>
    </row>
    <row r="269" spans="1:80">
      <c r="A269" s="3" t="s">
        <v>5444</v>
      </c>
      <c r="B269" t="s">
        <v>3707</v>
      </c>
      <c r="D269" t="s">
        <v>4967</v>
      </c>
      <c r="F269" s="77" t="s">
        <v>4973</v>
      </c>
      <c r="H269" s="3" t="s">
        <v>4984</v>
      </c>
      <c r="I269" s="3"/>
      <c r="J269" s="78"/>
      <c r="K269" s="78"/>
      <c r="M269" s="78"/>
      <c r="V269" s="8">
        <v>1</v>
      </c>
      <c r="W269" s="8">
        <v>1</v>
      </c>
      <c r="X269" s="10">
        <v>1</v>
      </c>
      <c r="Y269" s="8">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BX269" s="8">
        <v>1</v>
      </c>
      <c r="BY269" s="8" t="str">
        <f>+_xlfn.XLOOKUP(Table1[[#This Row],[L4 Code]],KIRMATAŞ!B:B,KIRMATAŞ!B:B,"")</f>
        <v/>
      </c>
      <c r="BZ269" s="8" t="str">
        <f>+_xlfn.XLOOKUP(Table1[[#This Row],[L4 Code]],'SU TEMİNİ'!C:C,'SU TEMİNİ'!C:C,"")</f>
        <v/>
      </c>
      <c r="CA269" s="8" t="str">
        <f>+_xlfn.XLOOKUP(Table1[[#This Row],[L4 Code]],TAŞ!C:C,TAŞ!C:C,"")</f>
        <v/>
      </c>
      <c r="CB269" s="8" t="str">
        <f>Table1[[#This Row],[L4 Code]]&amp;"-"&amp;Table1[[#This Row],[T1 Code]]</f>
        <v>E-02.MAK-01.AMR-061-1000</v>
      </c>
    </row>
    <row r="270" spans="1:80">
      <c r="A270" s="3" t="s">
        <v>5444</v>
      </c>
      <c r="B270" t="s">
        <v>3709</v>
      </c>
      <c r="D270" t="s">
        <v>4967</v>
      </c>
      <c r="F270" s="77" t="s">
        <v>4973</v>
      </c>
      <c r="H270" s="3" t="s">
        <v>4984</v>
      </c>
      <c r="I270" s="3"/>
      <c r="J270" s="78"/>
      <c r="K270" s="78"/>
      <c r="M270" s="78"/>
      <c r="V270" s="8">
        <v>1</v>
      </c>
      <c r="W270" s="8">
        <v>1</v>
      </c>
      <c r="X270" s="10">
        <v>1</v>
      </c>
      <c r="Y270" s="8">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BX270" s="8">
        <v>1</v>
      </c>
      <c r="BY270" s="8" t="str">
        <f>+_xlfn.XLOOKUP(Table1[[#This Row],[L4 Code]],KIRMATAŞ!B:B,KIRMATAŞ!B:B,"")</f>
        <v/>
      </c>
      <c r="BZ270" s="8" t="str">
        <f>+_xlfn.XLOOKUP(Table1[[#This Row],[L4 Code]],'SU TEMİNİ'!C:C,'SU TEMİNİ'!C:C,"")</f>
        <v/>
      </c>
      <c r="CA270" s="8" t="str">
        <f>+_xlfn.XLOOKUP(Table1[[#This Row],[L4 Code]],TAŞ!C:C,TAŞ!C:C,"")</f>
        <v/>
      </c>
      <c r="CB270" s="8" t="str">
        <f>Table1[[#This Row],[L4 Code]]&amp;"-"&amp;Table1[[#This Row],[T1 Code]]</f>
        <v>E-02.MAK-01.AMR-062-1000</v>
      </c>
    </row>
    <row r="271" spans="1:80">
      <c r="A271" s="3" t="s">
        <v>5444</v>
      </c>
      <c r="B271" t="s">
        <v>3711</v>
      </c>
      <c r="D271" t="s">
        <v>4967</v>
      </c>
      <c r="F271" s="77" t="s">
        <v>4973</v>
      </c>
      <c r="H271" s="3" t="s">
        <v>4984</v>
      </c>
      <c r="I271" s="3"/>
      <c r="J271" s="78"/>
      <c r="K271" s="78"/>
      <c r="M271" s="78"/>
      <c r="V271" s="8">
        <v>1</v>
      </c>
      <c r="W271" s="8">
        <v>1</v>
      </c>
      <c r="X271" s="10">
        <v>1</v>
      </c>
      <c r="Y271" s="8">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BX271" s="8">
        <v>1</v>
      </c>
      <c r="BY271" s="8" t="str">
        <f>+_xlfn.XLOOKUP(Table1[[#This Row],[L4 Code]],KIRMATAŞ!B:B,KIRMATAŞ!B:B,"")</f>
        <v/>
      </c>
      <c r="BZ271" s="8" t="str">
        <f>+_xlfn.XLOOKUP(Table1[[#This Row],[L4 Code]],'SU TEMİNİ'!C:C,'SU TEMİNİ'!C:C,"")</f>
        <v/>
      </c>
      <c r="CA271" s="8" t="str">
        <f>+_xlfn.XLOOKUP(Table1[[#This Row],[L4 Code]],TAŞ!C:C,TAŞ!C:C,"")</f>
        <v/>
      </c>
      <c r="CB271" s="8" t="str">
        <f>Table1[[#This Row],[L4 Code]]&amp;"-"&amp;Table1[[#This Row],[T1 Code]]</f>
        <v>E-02.MAK-01.AMR-063-1000</v>
      </c>
    </row>
    <row r="272" spans="1:80">
      <c r="A272" s="3" t="s">
        <v>5444</v>
      </c>
      <c r="B272" t="s">
        <v>3713</v>
      </c>
      <c r="D272" t="s">
        <v>4967</v>
      </c>
      <c r="F272" s="77" t="s">
        <v>4973</v>
      </c>
      <c r="H272" s="3" t="s">
        <v>4984</v>
      </c>
      <c r="I272" s="3"/>
      <c r="J272" s="78"/>
      <c r="K272" s="78"/>
      <c r="M272" s="78"/>
      <c r="V272" s="8">
        <v>1</v>
      </c>
      <c r="W272" s="8">
        <v>1</v>
      </c>
      <c r="X272" s="10">
        <v>1</v>
      </c>
      <c r="Y272" s="8">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BX272" s="8">
        <v>1</v>
      </c>
      <c r="BY272" s="8" t="str">
        <f>+_xlfn.XLOOKUP(Table1[[#This Row],[L4 Code]],KIRMATAŞ!B:B,KIRMATAŞ!B:B,"")</f>
        <v/>
      </c>
      <c r="BZ272" s="8" t="str">
        <f>+_xlfn.XLOOKUP(Table1[[#This Row],[L4 Code]],'SU TEMİNİ'!C:C,'SU TEMİNİ'!C:C,"")</f>
        <v/>
      </c>
      <c r="CA272" s="8" t="str">
        <f>+_xlfn.XLOOKUP(Table1[[#This Row],[L4 Code]],TAŞ!C:C,TAŞ!C:C,"")</f>
        <v/>
      </c>
      <c r="CB272" s="8" t="str">
        <f>Table1[[#This Row],[L4 Code]]&amp;"-"&amp;Table1[[#This Row],[T1 Code]]</f>
        <v>E-02.MAK-01.AMR-064-1000</v>
      </c>
    </row>
    <row r="273" spans="1:80">
      <c r="A273" s="3" t="s">
        <v>5444</v>
      </c>
      <c r="B273" t="s">
        <v>3715</v>
      </c>
      <c r="D273" t="s">
        <v>4967</v>
      </c>
      <c r="F273" s="77" t="s">
        <v>4973</v>
      </c>
      <c r="H273" s="3" t="s">
        <v>4984</v>
      </c>
      <c r="I273" s="3"/>
      <c r="J273" s="78"/>
      <c r="K273" s="78"/>
      <c r="M273" s="78"/>
      <c r="V273" s="8">
        <v>1</v>
      </c>
      <c r="W273" s="8">
        <v>1</v>
      </c>
      <c r="X273" s="10">
        <v>1</v>
      </c>
      <c r="Y273" s="8">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BX273" s="8">
        <v>1</v>
      </c>
      <c r="BY273" s="8" t="str">
        <f>+_xlfn.XLOOKUP(Table1[[#This Row],[L4 Code]],KIRMATAŞ!B:B,KIRMATAŞ!B:B,"")</f>
        <v/>
      </c>
      <c r="BZ273" s="8" t="str">
        <f>+_xlfn.XLOOKUP(Table1[[#This Row],[L4 Code]],'SU TEMİNİ'!C:C,'SU TEMİNİ'!C:C,"")</f>
        <v/>
      </c>
      <c r="CA273" s="8" t="str">
        <f>+_xlfn.XLOOKUP(Table1[[#This Row],[L4 Code]],TAŞ!C:C,TAŞ!C:C,"")</f>
        <v/>
      </c>
      <c r="CB273" s="8" t="str">
        <f>Table1[[#This Row],[L4 Code]]&amp;"-"&amp;Table1[[#This Row],[T1 Code]]</f>
        <v>E-02.MAK-01.AMR-065-1000</v>
      </c>
    </row>
    <row r="274" spans="1:80">
      <c r="A274" s="3" t="s">
        <v>5444</v>
      </c>
      <c r="B274" t="s">
        <v>3717</v>
      </c>
      <c r="D274" t="s">
        <v>4967</v>
      </c>
      <c r="F274" s="77" t="s">
        <v>4973</v>
      </c>
      <c r="H274" s="3" t="s">
        <v>4984</v>
      </c>
      <c r="I274" s="3"/>
      <c r="J274" s="78"/>
      <c r="K274" s="78"/>
      <c r="M274" s="78"/>
      <c r="V274" s="8">
        <v>1</v>
      </c>
      <c r="W274" s="8">
        <v>1</v>
      </c>
      <c r="X274" s="10">
        <v>1</v>
      </c>
      <c r="Y274" s="8">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BX274" s="8">
        <v>1</v>
      </c>
      <c r="BY274" s="8" t="str">
        <f>+_xlfn.XLOOKUP(Table1[[#This Row],[L4 Code]],KIRMATAŞ!B:B,KIRMATAŞ!B:B,"")</f>
        <v/>
      </c>
      <c r="BZ274" s="8" t="str">
        <f>+_xlfn.XLOOKUP(Table1[[#This Row],[L4 Code]],'SU TEMİNİ'!C:C,'SU TEMİNİ'!C:C,"")</f>
        <v/>
      </c>
      <c r="CA274" s="8" t="str">
        <f>+_xlfn.XLOOKUP(Table1[[#This Row],[L4 Code]],TAŞ!C:C,TAŞ!C:C,"")</f>
        <v/>
      </c>
      <c r="CB274" s="8" t="str">
        <f>Table1[[#This Row],[L4 Code]]&amp;"-"&amp;Table1[[#This Row],[T1 Code]]</f>
        <v>E-02.MAK-01.AMR-066-1000</v>
      </c>
    </row>
    <row r="275" spans="1:80">
      <c r="A275" s="3" t="s">
        <v>5444</v>
      </c>
      <c r="B275" t="s">
        <v>3719</v>
      </c>
      <c r="D275" t="s">
        <v>4967</v>
      </c>
      <c r="F275" s="77" t="s">
        <v>4973</v>
      </c>
      <c r="H275" s="3" t="s">
        <v>4984</v>
      </c>
      <c r="I275" s="3"/>
      <c r="J275" s="78"/>
      <c r="K275" s="78"/>
      <c r="M275" s="78"/>
      <c r="V275" s="8">
        <v>1</v>
      </c>
      <c r="W275" s="8">
        <v>1</v>
      </c>
      <c r="X275" s="10">
        <v>1</v>
      </c>
      <c r="Y275" s="8">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BX275" s="8">
        <v>1</v>
      </c>
      <c r="BY275" s="8" t="str">
        <f>+_xlfn.XLOOKUP(Table1[[#This Row],[L4 Code]],KIRMATAŞ!B:B,KIRMATAŞ!B:B,"")</f>
        <v/>
      </c>
      <c r="BZ275" s="8" t="str">
        <f>+_xlfn.XLOOKUP(Table1[[#This Row],[L4 Code]],'SU TEMİNİ'!C:C,'SU TEMİNİ'!C:C,"")</f>
        <v/>
      </c>
      <c r="CA275" s="8" t="str">
        <f>+_xlfn.XLOOKUP(Table1[[#This Row],[L4 Code]],TAŞ!C:C,TAŞ!C:C,"")</f>
        <v/>
      </c>
      <c r="CB275" s="8" t="str">
        <f>Table1[[#This Row],[L4 Code]]&amp;"-"&amp;Table1[[#This Row],[T1 Code]]</f>
        <v>E-02.MAK-01.AMR-067-1000</v>
      </c>
    </row>
    <row r="276" spans="1:80">
      <c r="A276" s="3" t="s">
        <v>5444</v>
      </c>
      <c r="B276" t="s">
        <v>3721</v>
      </c>
      <c r="D276" t="s">
        <v>4967</v>
      </c>
      <c r="F276" s="77" t="s">
        <v>4973</v>
      </c>
      <c r="H276" s="3" t="s">
        <v>4984</v>
      </c>
      <c r="I276" s="3"/>
      <c r="J276" s="78"/>
      <c r="K276" s="78"/>
      <c r="M276" s="78"/>
      <c r="V276" s="8">
        <v>1</v>
      </c>
      <c r="W276" s="8">
        <v>1</v>
      </c>
      <c r="X276" s="10">
        <v>1</v>
      </c>
      <c r="Y276" s="8">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BX276" s="8">
        <v>1</v>
      </c>
      <c r="BY276" s="8" t="str">
        <f>+_xlfn.XLOOKUP(Table1[[#This Row],[L4 Code]],KIRMATAŞ!B:B,KIRMATAŞ!B:B,"")</f>
        <v/>
      </c>
      <c r="BZ276" s="8" t="str">
        <f>+_xlfn.XLOOKUP(Table1[[#This Row],[L4 Code]],'SU TEMİNİ'!C:C,'SU TEMİNİ'!C:C,"")</f>
        <v/>
      </c>
      <c r="CA276" s="8" t="str">
        <f>+_xlfn.XLOOKUP(Table1[[#This Row],[L4 Code]],TAŞ!C:C,TAŞ!C:C,"")</f>
        <v/>
      </c>
      <c r="CB276" s="8" t="str">
        <f>Table1[[#This Row],[L4 Code]]&amp;"-"&amp;Table1[[#This Row],[T1 Code]]</f>
        <v>E-02.MAK-01.AMR-080-1000</v>
      </c>
    </row>
    <row r="277" spans="1:80">
      <c r="A277" s="3" t="s">
        <v>5444</v>
      </c>
      <c r="B277" t="s">
        <v>3723</v>
      </c>
      <c r="D277" t="s">
        <v>4967</v>
      </c>
      <c r="F277" s="77" t="s">
        <v>4973</v>
      </c>
      <c r="H277" s="3" t="s">
        <v>4984</v>
      </c>
      <c r="I277" s="3"/>
      <c r="J277" s="78"/>
      <c r="K277" s="78"/>
      <c r="M277" s="78"/>
      <c r="V277" s="8">
        <v>1</v>
      </c>
      <c r="W277" s="8">
        <v>1</v>
      </c>
      <c r="X277" s="10">
        <v>1</v>
      </c>
      <c r="Y277" s="8">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BX277" s="8">
        <v>1</v>
      </c>
      <c r="BY277" s="8" t="str">
        <f>+_xlfn.XLOOKUP(Table1[[#This Row],[L4 Code]],KIRMATAŞ!B:B,KIRMATAŞ!B:B,"")</f>
        <v/>
      </c>
      <c r="BZ277" s="8" t="str">
        <f>+_xlfn.XLOOKUP(Table1[[#This Row],[L4 Code]],'SU TEMİNİ'!C:C,'SU TEMİNİ'!C:C,"")</f>
        <v/>
      </c>
      <c r="CA277" s="8" t="str">
        <f>+_xlfn.XLOOKUP(Table1[[#This Row],[L4 Code]],TAŞ!C:C,TAŞ!C:C,"")</f>
        <v/>
      </c>
      <c r="CB277" s="8" t="str">
        <f>Table1[[#This Row],[L4 Code]]&amp;"-"&amp;Table1[[#This Row],[T1 Code]]</f>
        <v>E-02.MAK-01.AMR-081-1000</v>
      </c>
    </row>
    <row r="278" spans="1:80">
      <c r="A278" s="3" t="s">
        <v>5444</v>
      </c>
      <c r="B278" t="s">
        <v>3725</v>
      </c>
      <c r="D278" t="s">
        <v>4967</v>
      </c>
      <c r="F278" s="77" t="s">
        <v>4973</v>
      </c>
      <c r="H278" s="3" t="s">
        <v>4984</v>
      </c>
      <c r="I278" s="3"/>
      <c r="J278" s="78"/>
      <c r="K278" s="78"/>
      <c r="M278" s="78"/>
      <c r="V278" s="8">
        <v>1</v>
      </c>
      <c r="W278" s="8">
        <v>1</v>
      </c>
      <c r="X278" s="10">
        <v>1</v>
      </c>
      <c r="Y278" s="8">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BX278" s="8">
        <v>1</v>
      </c>
      <c r="BY278" s="8" t="str">
        <f>+_xlfn.XLOOKUP(Table1[[#This Row],[L4 Code]],KIRMATAŞ!B:B,KIRMATAŞ!B:B,"")</f>
        <v/>
      </c>
      <c r="BZ278" s="8" t="str">
        <f>+_xlfn.XLOOKUP(Table1[[#This Row],[L4 Code]],'SU TEMİNİ'!C:C,'SU TEMİNİ'!C:C,"")</f>
        <v/>
      </c>
      <c r="CA278" s="8" t="str">
        <f>+_xlfn.XLOOKUP(Table1[[#This Row],[L4 Code]],TAŞ!C:C,TAŞ!C:C,"")</f>
        <v/>
      </c>
      <c r="CB278" s="8" t="str">
        <f>Table1[[#This Row],[L4 Code]]&amp;"-"&amp;Table1[[#This Row],[T1 Code]]</f>
        <v>E-02.MAK-01.AMR-090-1000</v>
      </c>
    </row>
    <row r="279" spans="1:80">
      <c r="A279" s="3" t="s">
        <v>5444</v>
      </c>
      <c r="B279" t="s">
        <v>3727</v>
      </c>
      <c r="D279" t="s">
        <v>4967</v>
      </c>
      <c r="F279" s="77" t="s">
        <v>4973</v>
      </c>
      <c r="H279" s="3" t="s">
        <v>4984</v>
      </c>
      <c r="I279" s="3"/>
      <c r="J279" s="78"/>
      <c r="K279" s="78"/>
      <c r="M279" s="78"/>
      <c r="V279" s="8">
        <v>1</v>
      </c>
      <c r="W279" s="8">
        <v>1</v>
      </c>
      <c r="X279" s="10">
        <v>1</v>
      </c>
      <c r="Y279" s="8">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BX279" s="8">
        <v>1</v>
      </c>
      <c r="BY279" s="8" t="str">
        <f>+_xlfn.XLOOKUP(Table1[[#This Row],[L4 Code]],KIRMATAŞ!B:B,KIRMATAŞ!B:B,"")</f>
        <v/>
      </c>
      <c r="BZ279" s="8" t="str">
        <f>+_xlfn.XLOOKUP(Table1[[#This Row],[L4 Code]],'SU TEMİNİ'!C:C,'SU TEMİNİ'!C:C,"")</f>
        <v/>
      </c>
      <c r="CA279" s="8" t="str">
        <f>+_xlfn.XLOOKUP(Table1[[#This Row],[L4 Code]],TAŞ!C:C,TAŞ!C:C,"")</f>
        <v/>
      </c>
      <c r="CB279" s="8" t="str">
        <f>Table1[[#This Row],[L4 Code]]&amp;"-"&amp;Table1[[#This Row],[T1 Code]]</f>
        <v>E-02.MAK-01.AMR-095-1000</v>
      </c>
    </row>
    <row r="280" spans="1:80">
      <c r="A280" s="3" t="s">
        <v>5444</v>
      </c>
      <c r="B280" t="s">
        <v>3730</v>
      </c>
      <c r="D280" t="s">
        <v>4967</v>
      </c>
      <c r="F280" s="77" t="s">
        <v>4973</v>
      </c>
      <c r="H280" s="3" t="s">
        <v>4984</v>
      </c>
      <c r="I280" s="3"/>
      <c r="J280" s="78"/>
      <c r="K280" s="78"/>
      <c r="M280" s="78"/>
      <c r="V280" s="8">
        <v>1</v>
      </c>
      <c r="W280" s="8">
        <v>1</v>
      </c>
      <c r="X280" s="10">
        <v>1</v>
      </c>
      <c r="Y280" s="8">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BX280" s="8">
        <v>1</v>
      </c>
      <c r="BY280" s="8" t="str">
        <f>+_xlfn.XLOOKUP(Table1[[#This Row],[L4 Code]],KIRMATAŞ!B:B,KIRMATAŞ!B:B,"")</f>
        <v/>
      </c>
      <c r="BZ280" s="8" t="str">
        <f>+_xlfn.XLOOKUP(Table1[[#This Row],[L4 Code]],'SU TEMİNİ'!C:C,'SU TEMİNİ'!C:C,"")</f>
        <v/>
      </c>
      <c r="CA280" s="8" t="str">
        <f>+_xlfn.XLOOKUP(Table1[[#This Row],[L4 Code]],TAŞ!C:C,TAŞ!C:C,"")</f>
        <v/>
      </c>
      <c r="CB280" s="8" t="str">
        <f>Table1[[#This Row],[L4 Code]]&amp;"-"&amp;Table1[[#This Row],[T1 Code]]</f>
        <v>E-02.MAK-01.AMR-100-1000</v>
      </c>
    </row>
    <row r="281" spans="1:80">
      <c r="A281" s="3" t="s">
        <v>5444</v>
      </c>
      <c r="B281" t="s">
        <v>3732</v>
      </c>
      <c r="D281" t="s">
        <v>4967</v>
      </c>
      <c r="F281" s="77" t="s">
        <v>4973</v>
      </c>
      <c r="H281" s="3" t="s">
        <v>4984</v>
      </c>
      <c r="I281" s="3"/>
      <c r="J281" s="78"/>
      <c r="K281" s="78"/>
      <c r="M281" s="78"/>
      <c r="V281" s="8">
        <v>1</v>
      </c>
      <c r="W281" s="8">
        <v>1</v>
      </c>
      <c r="X281" s="10">
        <v>1</v>
      </c>
      <c r="Y281" s="8">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BX281" s="8">
        <v>1</v>
      </c>
      <c r="BY281" s="8" t="str">
        <f>+_xlfn.XLOOKUP(Table1[[#This Row],[L4 Code]],KIRMATAŞ!B:B,KIRMATAŞ!B:B,"")</f>
        <v/>
      </c>
      <c r="BZ281" s="8" t="str">
        <f>+_xlfn.XLOOKUP(Table1[[#This Row],[L4 Code]],'SU TEMİNİ'!C:C,'SU TEMİNİ'!C:C,"")</f>
        <v/>
      </c>
      <c r="CA281" s="8" t="str">
        <f>+_xlfn.XLOOKUP(Table1[[#This Row],[L4 Code]],TAŞ!C:C,TAŞ!C:C,"")</f>
        <v/>
      </c>
      <c r="CB281" s="8" t="str">
        <f>Table1[[#This Row],[L4 Code]]&amp;"-"&amp;Table1[[#This Row],[T1 Code]]</f>
        <v>E-02.MAK-01.AMR-105-1000</v>
      </c>
    </row>
    <row r="282" spans="1:80">
      <c r="A282" s="3" t="s">
        <v>5444</v>
      </c>
      <c r="B282" t="s">
        <v>3734</v>
      </c>
      <c r="D282" t="s">
        <v>4967</v>
      </c>
      <c r="F282" s="77" t="s">
        <v>4973</v>
      </c>
      <c r="H282" s="3" t="s">
        <v>4984</v>
      </c>
      <c r="I282" s="3"/>
      <c r="J282" s="78"/>
      <c r="K282" s="78"/>
      <c r="M282" s="78"/>
      <c r="V282" s="8">
        <v>1</v>
      </c>
      <c r="W282" s="8">
        <v>1</v>
      </c>
      <c r="X282" s="10">
        <v>1</v>
      </c>
      <c r="Y282" s="8">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BX282" s="8">
        <v>1</v>
      </c>
      <c r="BY282" s="8" t="str">
        <f>+_xlfn.XLOOKUP(Table1[[#This Row],[L4 Code]],KIRMATAŞ!B:B,KIRMATAŞ!B:B,"")</f>
        <v/>
      </c>
      <c r="BZ282" s="8" t="str">
        <f>+_xlfn.XLOOKUP(Table1[[#This Row],[L4 Code]],'SU TEMİNİ'!C:C,'SU TEMİNİ'!C:C,"")</f>
        <v/>
      </c>
      <c r="CA282" s="8" t="str">
        <f>+_xlfn.XLOOKUP(Table1[[#This Row],[L4 Code]],TAŞ!C:C,TAŞ!C:C,"")</f>
        <v/>
      </c>
      <c r="CB282" s="8" t="str">
        <f>Table1[[#This Row],[L4 Code]]&amp;"-"&amp;Table1[[#This Row],[T1 Code]]</f>
        <v>E-02.MAK-01.AMR-106-1000</v>
      </c>
    </row>
    <row r="283" spans="1:80">
      <c r="A283" s="3" t="s">
        <v>5444</v>
      </c>
      <c r="B283" t="s">
        <v>3736</v>
      </c>
      <c r="D283" t="s">
        <v>4967</v>
      </c>
      <c r="F283" s="77" t="s">
        <v>4973</v>
      </c>
      <c r="H283" s="3" t="s">
        <v>4984</v>
      </c>
      <c r="I283" s="3"/>
      <c r="J283" s="78"/>
      <c r="K283" s="78"/>
      <c r="M283" s="78"/>
      <c r="V283" s="8">
        <v>1</v>
      </c>
      <c r="W283" s="8">
        <v>1</v>
      </c>
      <c r="X283" s="10">
        <v>1</v>
      </c>
      <c r="Y283" s="8">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BX283" s="8">
        <v>1</v>
      </c>
      <c r="BY283" s="8" t="str">
        <f>+_xlfn.XLOOKUP(Table1[[#This Row],[L4 Code]],KIRMATAŞ!B:B,KIRMATAŞ!B:B,"")</f>
        <v/>
      </c>
      <c r="BZ283" s="8" t="str">
        <f>+_xlfn.XLOOKUP(Table1[[#This Row],[L4 Code]],'SU TEMİNİ'!C:C,'SU TEMİNİ'!C:C,"")</f>
        <v/>
      </c>
      <c r="CA283" s="8" t="str">
        <f>+_xlfn.XLOOKUP(Table1[[#This Row],[L4 Code]],TAŞ!C:C,TAŞ!C:C,"")</f>
        <v/>
      </c>
      <c r="CB283" s="8" t="str">
        <f>Table1[[#This Row],[L4 Code]]&amp;"-"&amp;Table1[[#This Row],[T1 Code]]</f>
        <v>E-02.MAK-01.AMR-110-1000</v>
      </c>
    </row>
    <row r="284" spans="1:80">
      <c r="A284" s="3" t="s">
        <v>5444</v>
      </c>
      <c r="B284" t="s">
        <v>3738</v>
      </c>
      <c r="D284" t="s">
        <v>4967</v>
      </c>
      <c r="F284" s="77" t="s">
        <v>4973</v>
      </c>
      <c r="H284" s="3" t="s">
        <v>4984</v>
      </c>
      <c r="I284" s="3"/>
      <c r="J284" s="78"/>
      <c r="K284" s="78"/>
      <c r="M284" s="78"/>
      <c r="V284" s="8">
        <v>1</v>
      </c>
      <c r="W284" s="8">
        <v>1</v>
      </c>
      <c r="X284" s="10">
        <v>1</v>
      </c>
      <c r="Y284" s="8">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BX284" s="8">
        <v>1</v>
      </c>
      <c r="BY284" s="8" t="str">
        <f>+_xlfn.XLOOKUP(Table1[[#This Row],[L4 Code]],KIRMATAŞ!B:B,KIRMATAŞ!B:B,"")</f>
        <v/>
      </c>
      <c r="BZ284" s="8" t="str">
        <f>+_xlfn.XLOOKUP(Table1[[#This Row],[L4 Code]],'SU TEMİNİ'!C:C,'SU TEMİNİ'!C:C,"")</f>
        <v/>
      </c>
      <c r="CA284" s="8" t="str">
        <f>+_xlfn.XLOOKUP(Table1[[#This Row],[L4 Code]],TAŞ!C:C,TAŞ!C:C,"")</f>
        <v/>
      </c>
      <c r="CB284" s="8" t="str">
        <f>Table1[[#This Row],[L4 Code]]&amp;"-"&amp;Table1[[#This Row],[T1 Code]]</f>
        <v>E-02.MAK-01.AMR-111-1000</v>
      </c>
    </row>
    <row r="285" spans="1:80">
      <c r="A285" s="3" t="s">
        <v>5444</v>
      </c>
      <c r="B285" t="s">
        <v>3740</v>
      </c>
      <c r="D285" t="s">
        <v>4967</v>
      </c>
      <c r="F285" s="77" t="s">
        <v>4973</v>
      </c>
      <c r="H285" s="3" t="s">
        <v>4984</v>
      </c>
      <c r="I285" s="3"/>
      <c r="J285" s="78"/>
      <c r="K285" s="78"/>
      <c r="M285" s="78"/>
      <c r="V285" s="8">
        <v>1</v>
      </c>
      <c r="W285" s="8">
        <v>1</v>
      </c>
      <c r="X285" s="10">
        <v>1</v>
      </c>
      <c r="Y285" s="8">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BX285" s="8">
        <v>1</v>
      </c>
      <c r="BY285" s="8" t="str">
        <f>+_xlfn.XLOOKUP(Table1[[#This Row],[L4 Code]],KIRMATAŞ!B:B,KIRMATAŞ!B:B,"")</f>
        <v/>
      </c>
      <c r="BZ285" s="8" t="str">
        <f>+_xlfn.XLOOKUP(Table1[[#This Row],[L4 Code]],'SU TEMİNİ'!C:C,'SU TEMİNİ'!C:C,"")</f>
        <v/>
      </c>
      <c r="CA285" s="8" t="str">
        <f>+_xlfn.XLOOKUP(Table1[[#This Row],[L4 Code]],TAŞ!C:C,TAŞ!C:C,"")</f>
        <v/>
      </c>
      <c r="CB285" s="8" t="str">
        <f>Table1[[#This Row],[L4 Code]]&amp;"-"&amp;Table1[[#This Row],[T1 Code]]</f>
        <v>E-02.MAK-01.AMR-121-1000</v>
      </c>
    </row>
    <row r="286" spans="1:80">
      <c r="A286" s="3" t="s">
        <v>5444</v>
      </c>
      <c r="B286" t="s">
        <v>3742</v>
      </c>
      <c r="D286" t="s">
        <v>4967</v>
      </c>
      <c r="F286" s="77" t="s">
        <v>4973</v>
      </c>
      <c r="H286" s="3" t="s">
        <v>4984</v>
      </c>
      <c r="I286" s="3"/>
      <c r="J286" s="78"/>
      <c r="K286" s="78"/>
      <c r="M286" s="78"/>
      <c r="V286" s="8">
        <v>1</v>
      </c>
      <c r="W286" s="8">
        <v>1</v>
      </c>
      <c r="X286" s="10">
        <v>1</v>
      </c>
      <c r="Y286" s="8">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BX286" s="8">
        <v>1</v>
      </c>
      <c r="BY286" s="8" t="str">
        <f>+_xlfn.XLOOKUP(Table1[[#This Row],[L4 Code]],KIRMATAŞ!B:B,KIRMATAŞ!B:B,"")</f>
        <v/>
      </c>
      <c r="BZ286" s="8" t="str">
        <f>+_xlfn.XLOOKUP(Table1[[#This Row],[L4 Code]],'SU TEMİNİ'!C:C,'SU TEMİNİ'!C:C,"")</f>
        <v/>
      </c>
      <c r="CA286" s="8" t="str">
        <f>+_xlfn.XLOOKUP(Table1[[#This Row],[L4 Code]],TAŞ!C:C,TAŞ!C:C,"")</f>
        <v/>
      </c>
      <c r="CB286" s="8" t="str">
        <f>Table1[[#This Row],[L4 Code]]&amp;"-"&amp;Table1[[#This Row],[T1 Code]]</f>
        <v>E-02.MAK-01.AMR-122-1000</v>
      </c>
    </row>
    <row r="287" spans="1:80">
      <c r="A287" s="3" t="s">
        <v>5444</v>
      </c>
      <c r="B287" t="s">
        <v>3744</v>
      </c>
      <c r="D287" t="s">
        <v>4967</v>
      </c>
      <c r="F287" s="77" t="s">
        <v>4973</v>
      </c>
      <c r="H287" s="3" t="s">
        <v>4984</v>
      </c>
      <c r="I287" s="3"/>
      <c r="J287" s="78"/>
      <c r="K287" s="78"/>
      <c r="M287" s="78"/>
      <c r="V287" s="8">
        <v>1</v>
      </c>
      <c r="W287" s="8">
        <v>1</v>
      </c>
      <c r="X287" s="10">
        <v>1</v>
      </c>
      <c r="Y287" s="8">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BX287" s="8">
        <v>1</v>
      </c>
      <c r="BY287" s="8" t="str">
        <f>+_xlfn.XLOOKUP(Table1[[#This Row],[L4 Code]],KIRMATAŞ!B:B,KIRMATAŞ!B:B,"")</f>
        <v/>
      </c>
      <c r="BZ287" s="8" t="str">
        <f>+_xlfn.XLOOKUP(Table1[[#This Row],[L4 Code]],'SU TEMİNİ'!C:C,'SU TEMİNİ'!C:C,"")</f>
        <v/>
      </c>
      <c r="CA287" s="8" t="str">
        <f>+_xlfn.XLOOKUP(Table1[[#This Row],[L4 Code]],TAŞ!C:C,TAŞ!C:C,"")</f>
        <v/>
      </c>
      <c r="CB287" s="8" t="str">
        <f>Table1[[#This Row],[L4 Code]]&amp;"-"&amp;Table1[[#This Row],[T1 Code]]</f>
        <v>E-02.MAK-01.AMR-123-1000</v>
      </c>
    </row>
    <row r="288" spans="1:80">
      <c r="A288" s="3" t="s">
        <v>5444</v>
      </c>
      <c r="B288" t="s">
        <v>5196</v>
      </c>
      <c r="D288" t="s">
        <v>4967</v>
      </c>
      <c r="F288" s="77" t="s">
        <v>4973</v>
      </c>
      <c r="H288" s="3" t="s">
        <v>4984</v>
      </c>
      <c r="I288" s="3"/>
      <c r="J288" s="78"/>
      <c r="K288" s="78"/>
      <c r="M288" s="78"/>
      <c r="V288" s="8">
        <v>1</v>
      </c>
      <c r="W288" s="8">
        <v>1</v>
      </c>
      <c r="X288" s="10">
        <v>1</v>
      </c>
      <c r="Y288" s="8">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BX288" s="8">
        <v>1</v>
      </c>
      <c r="BY288" s="8" t="str">
        <f>+_xlfn.XLOOKUP(Table1[[#This Row],[L4 Code]],KIRMATAŞ!B:B,KIRMATAŞ!B:B,"")</f>
        <v/>
      </c>
      <c r="BZ288" s="8" t="str">
        <f>+_xlfn.XLOOKUP(Table1[[#This Row],[L4 Code]],'SU TEMİNİ'!C:C,'SU TEMİNİ'!C:C,"")</f>
        <v/>
      </c>
      <c r="CA288" s="8" t="str">
        <f>+_xlfn.XLOOKUP(Table1[[#This Row],[L4 Code]],TAŞ!C:C,TAŞ!C:C,"")</f>
        <v/>
      </c>
      <c r="CB288" s="8" t="str">
        <f>Table1[[#This Row],[L4 Code]]&amp;"-"&amp;Table1[[#This Row],[T1 Code]]</f>
        <v>E-02.MAK-01.AMR-125-1000</v>
      </c>
    </row>
    <row r="289" spans="1:80">
      <c r="A289" s="3" t="s">
        <v>5444</v>
      </c>
      <c r="B289" t="s">
        <v>3747</v>
      </c>
      <c r="D289" t="s">
        <v>4967</v>
      </c>
      <c r="F289" s="77" t="s">
        <v>4973</v>
      </c>
      <c r="H289" s="3" t="s">
        <v>4984</v>
      </c>
      <c r="I289" s="3"/>
      <c r="J289" s="78"/>
      <c r="K289" s="78"/>
      <c r="M289" s="78"/>
      <c r="V289" s="8">
        <v>1</v>
      </c>
      <c r="W289" s="8">
        <v>1</v>
      </c>
      <c r="X289" s="10">
        <v>1</v>
      </c>
      <c r="Y289" s="8">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BX289" s="8">
        <v>1</v>
      </c>
      <c r="BY289" s="8" t="str">
        <f>+_xlfn.XLOOKUP(Table1[[#This Row],[L4 Code]],KIRMATAŞ!B:B,KIRMATAŞ!B:B,"")</f>
        <v/>
      </c>
      <c r="BZ289" s="8" t="str">
        <f>+_xlfn.XLOOKUP(Table1[[#This Row],[L4 Code]],'SU TEMİNİ'!C:C,'SU TEMİNİ'!C:C,"")</f>
        <v/>
      </c>
      <c r="CA289" s="8" t="str">
        <f>+_xlfn.XLOOKUP(Table1[[#This Row],[L4 Code]],TAŞ!C:C,TAŞ!C:C,"")</f>
        <v/>
      </c>
      <c r="CB289" s="8" t="str">
        <f>Table1[[#This Row],[L4 Code]]&amp;"-"&amp;Table1[[#This Row],[T1 Code]]</f>
        <v>E-02.MAK-01.AMR-140-1000</v>
      </c>
    </row>
    <row r="290" spans="1:80">
      <c r="A290" s="3" t="s">
        <v>5444</v>
      </c>
      <c r="B290" t="s">
        <v>3749</v>
      </c>
      <c r="D290" t="s">
        <v>4967</v>
      </c>
      <c r="F290" s="77" t="s">
        <v>4973</v>
      </c>
      <c r="H290" s="3" t="s">
        <v>4984</v>
      </c>
      <c r="I290" s="3"/>
      <c r="J290" s="78"/>
      <c r="K290" s="78"/>
      <c r="M290" s="78"/>
      <c r="V290" s="8">
        <v>1</v>
      </c>
      <c r="W290" s="8">
        <v>1</v>
      </c>
      <c r="X290" s="10">
        <v>1</v>
      </c>
      <c r="Y290" s="8">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BX290" s="8">
        <v>1</v>
      </c>
      <c r="BY290" s="8" t="str">
        <f>+_xlfn.XLOOKUP(Table1[[#This Row],[L4 Code]],KIRMATAŞ!B:B,KIRMATAŞ!B:B,"")</f>
        <v/>
      </c>
      <c r="BZ290" s="8" t="str">
        <f>+_xlfn.XLOOKUP(Table1[[#This Row],[L4 Code]],'SU TEMİNİ'!C:C,'SU TEMİNİ'!C:C,"")</f>
        <v/>
      </c>
      <c r="CA290" s="8" t="str">
        <f>+_xlfn.XLOOKUP(Table1[[#This Row],[L4 Code]],TAŞ!C:C,TAŞ!C:C,"")</f>
        <v/>
      </c>
      <c r="CB290" s="8" t="str">
        <f>Table1[[#This Row],[L4 Code]]&amp;"-"&amp;Table1[[#This Row],[T1 Code]]</f>
        <v>E-02.MAK-01.AMR-150-1000</v>
      </c>
    </row>
    <row r="291" spans="1:80">
      <c r="A291" s="3" t="s">
        <v>5444</v>
      </c>
      <c r="B291" t="s">
        <v>3751</v>
      </c>
      <c r="D291" t="s">
        <v>4967</v>
      </c>
      <c r="F291" s="77" t="s">
        <v>4973</v>
      </c>
      <c r="H291" s="3" t="s">
        <v>4984</v>
      </c>
      <c r="I291" s="3"/>
      <c r="J291" s="78"/>
      <c r="K291" s="78"/>
      <c r="M291" s="78"/>
      <c r="V291" s="8">
        <v>1</v>
      </c>
      <c r="W291" s="8">
        <v>1</v>
      </c>
      <c r="X291" s="10">
        <v>1</v>
      </c>
      <c r="Y291" s="8">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BX291" s="8">
        <v>1</v>
      </c>
      <c r="BY291" s="8" t="str">
        <f>+_xlfn.XLOOKUP(Table1[[#This Row],[L4 Code]],KIRMATAŞ!B:B,KIRMATAŞ!B:B,"")</f>
        <v/>
      </c>
      <c r="BZ291" s="8" t="str">
        <f>+_xlfn.XLOOKUP(Table1[[#This Row],[L4 Code]],'SU TEMİNİ'!C:C,'SU TEMİNİ'!C:C,"")</f>
        <v/>
      </c>
      <c r="CA291" s="8" t="str">
        <f>+_xlfn.XLOOKUP(Table1[[#This Row],[L4 Code]],TAŞ!C:C,TAŞ!C:C,"")</f>
        <v/>
      </c>
      <c r="CB291" s="8" t="str">
        <f>Table1[[#This Row],[L4 Code]]&amp;"-"&amp;Table1[[#This Row],[T1 Code]]</f>
        <v>E-02.MAK-01.AMR-160-1000</v>
      </c>
    </row>
    <row r="292" spans="1:80">
      <c r="A292" s="3" t="s">
        <v>5444</v>
      </c>
      <c r="B292" t="s">
        <v>3753</v>
      </c>
      <c r="D292" t="s">
        <v>4967</v>
      </c>
      <c r="F292" s="77" t="s">
        <v>4973</v>
      </c>
      <c r="H292" s="3" t="s">
        <v>4984</v>
      </c>
      <c r="I292" s="3"/>
      <c r="J292" s="78"/>
      <c r="K292" s="78"/>
      <c r="M292" s="78"/>
      <c r="V292" s="8">
        <v>1</v>
      </c>
      <c r="W292" s="8">
        <v>1</v>
      </c>
      <c r="X292" s="10">
        <v>1</v>
      </c>
      <c r="Y292" s="8">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BX292" s="8">
        <v>1</v>
      </c>
      <c r="BY292" s="8" t="str">
        <f>+_xlfn.XLOOKUP(Table1[[#This Row],[L4 Code]],KIRMATAŞ!B:B,KIRMATAŞ!B:B,"")</f>
        <v/>
      </c>
      <c r="BZ292" s="8" t="str">
        <f>+_xlfn.XLOOKUP(Table1[[#This Row],[L4 Code]],'SU TEMİNİ'!C:C,'SU TEMİNİ'!C:C,"")</f>
        <v/>
      </c>
      <c r="CA292" s="8" t="str">
        <f>+_xlfn.XLOOKUP(Table1[[#This Row],[L4 Code]],TAŞ!C:C,TAŞ!C:C,"")</f>
        <v/>
      </c>
      <c r="CB292" s="8" t="str">
        <f>Table1[[#This Row],[L4 Code]]&amp;"-"&amp;Table1[[#This Row],[T1 Code]]</f>
        <v>E-02.MAK-01.AMR-170-1000</v>
      </c>
    </row>
    <row r="293" spans="1:80">
      <c r="A293" s="3" t="s">
        <v>5444</v>
      </c>
      <c r="B293" t="s">
        <v>3755</v>
      </c>
      <c r="D293" t="s">
        <v>4967</v>
      </c>
      <c r="F293" s="77" t="s">
        <v>4973</v>
      </c>
      <c r="H293" s="3" t="s">
        <v>4984</v>
      </c>
      <c r="I293" s="3"/>
      <c r="J293" s="78"/>
      <c r="K293" s="78"/>
      <c r="M293" s="78"/>
      <c r="V293" s="8">
        <v>1</v>
      </c>
      <c r="W293" s="8">
        <v>1</v>
      </c>
      <c r="X293" s="10">
        <v>1</v>
      </c>
      <c r="Y293" s="8">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BX293" s="8">
        <v>1</v>
      </c>
      <c r="BY293" s="8" t="str">
        <f>+_xlfn.XLOOKUP(Table1[[#This Row],[L4 Code]],KIRMATAŞ!B:B,KIRMATAŞ!B:B,"")</f>
        <v/>
      </c>
      <c r="BZ293" s="8" t="str">
        <f>+_xlfn.XLOOKUP(Table1[[#This Row],[L4 Code]],'SU TEMİNİ'!C:C,'SU TEMİNİ'!C:C,"")</f>
        <v/>
      </c>
      <c r="CA293" s="8" t="str">
        <f>+_xlfn.XLOOKUP(Table1[[#This Row],[L4 Code]],TAŞ!C:C,TAŞ!C:C,"")</f>
        <v/>
      </c>
      <c r="CB293" s="8" t="str">
        <f>Table1[[#This Row],[L4 Code]]&amp;"-"&amp;Table1[[#This Row],[T1 Code]]</f>
        <v>E-02.MAK-01.AMR-180-1000</v>
      </c>
    </row>
    <row r="294" spans="1:80">
      <c r="A294" s="3" t="s">
        <v>5444</v>
      </c>
      <c r="B294" t="s">
        <v>3757</v>
      </c>
      <c r="D294" t="s">
        <v>4967</v>
      </c>
      <c r="F294" s="77" t="s">
        <v>4973</v>
      </c>
      <c r="H294" s="3" t="s">
        <v>4984</v>
      </c>
      <c r="I294" s="3"/>
      <c r="J294" s="78"/>
      <c r="K294" s="78"/>
      <c r="M294" s="78"/>
      <c r="V294" s="8">
        <v>1</v>
      </c>
      <c r="W294" s="8">
        <v>1</v>
      </c>
      <c r="X294" s="10">
        <v>1</v>
      </c>
      <c r="Y294" s="8">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BX294" s="8">
        <v>1</v>
      </c>
      <c r="BY294" s="8" t="str">
        <f>+_xlfn.XLOOKUP(Table1[[#This Row],[L4 Code]],KIRMATAŞ!B:B,KIRMATAŞ!B:B,"")</f>
        <v/>
      </c>
      <c r="BZ294" s="8" t="str">
        <f>+_xlfn.XLOOKUP(Table1[[#This Row],[L4 Code]],'SU TEMİNİ'!C:C,'SU TEMİNİ'!C:C,"")</f>
        <v/>
      </c>
      <c r="CA294" s="8" t="str">
        <f>+_xlfn.XLOOKUP(Table1[[#This Row],[L4 Code]],TAŞ!C:C,TAŞ!C:C,"")</f>
        <v/>
      </c>
      <c r="CB294" s="8" t="str">
        <f>Table1[[#This Row],[L4 Code]]&amp;"-"&amp;Table1[[#This Row],[T1 Code]]</f>
        <v>E-02.MAK-01.AMR-190-1000</v>
      </c>
    </row>
    <row r="295" spans="1:80">
      <c r="A295" s="3" t="s">
        <v>5444</v>
      </c>
      <c r="B295" t="s">
        <v>3759</v>
      </c>
      <c r="D295" t="s">
        <v>4967</v>
      </c>
      <c r="F295" s="77" t="s">
        <v>4973</v>
      </c>
      <c r="H295" s="3" t="s">
        <v>4984</v>
      </c>
      <c r="I295" s="3"/>
      <c r="J295" s="78"/>
      <c r="K295" s="78"/>
      <c r="M295" s="78"/>
      <c r="V295" s="8">
        <v>1</v>
      </c>
      <c r="W295" s="8">
        <v>1</v>
      </c>
      <c r="X295" s="10">
        <v>1</v>
      </c>
      <c r="Y295" s="8">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BX295" s="8">
        <v>1</v>
      </c>
      <c r="BY295" s="8" t="str">
        <f>+_xlfn.XLOOKUP(Table1[[#This Row],[L4 Code]],KIRMATAŞ!B:B,KIRMATAŞ!B:B,"")</f>
        <v/>
      </c>
      <c r="BZ295" s="8" t="str">
        <f>+_xlfn.XLOOKUP(Table1[[#This Row],[L4 Code]],'SU TEMİNİ'!C:C,'SU TEMİNİ'!C:C,"")</f>
        <v/>
      </c>
      <c r="CA295" s="8" t="str">
        <f>+_xlfn.XLOOKUP(Table1[[#This Row],[L4 Code]],TAŞ!C:C,TAŞ!C:C,"")</f>
        <v/>
      </c>
      <c r="CB295" s="8" t="str">
        <f>Table1[[#This Row],[L4 Code]]&amp;"-"&amp;Table1[[#This Row],[T1 Code]]</f>
        <v>E-02.MAK-01.AMR-200-1000</v>
      </c>
    </row>
    <row r="296" spans="1:80">
      <c r="A296" s="3" t="s">
        <v>5444</v>
      </c>
      <c r="B296" t="s">
        <v>3761</v>
      </c>
      <c r="D296" t="s">
        <v>4967</v>
      </c>
      <c r="F296" s="77" t="s">
        <v>4973</v>
      </c>
      <c r="H296" s="3" t="s">
        <v>4984</v>
      </c>
      <c r="I296" s="3"/>
      <c r="J296" s="78"/>
      <c r="K296" s="78"/>
      <c r="M296" s="78"/>
      <c r="V296" s="8">
        <v>1</v>
      </c>
      <c r="W296" s="8">
        <v>1</v>
      </c>
      <c r="X296" s="10">
        <v>1</v>
      </c>
      <c r="Y296" s="8">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BX296" s="8">
        <v>1</v>
      </c>
      <c r="BY296" s="8" t="str">
        <f>+_xlfn.XLOOKUP(Table1[[#This Row],[L4 Code]],KIRMATAŞ!B:B,KIRMATAŞ!B:B,"")</f>
        <v/>
      </c>
      <c r="BZ296" s="8" t="str">
        <f>+_xlfn.XLOOKUP(Table1[[#This Row],[L4 Code]],'SU TEMİNİ'!C:C,'SU TEMİNİ'!C:C,"")</f>
        <v/>
      </c>
      <c r="CA296" s="8" t="str">
        <f>+_xlfn.XLOOKUP(Table1[[#This Row],[L4 Code]],TAŞ!C:C,TAŞ!C:C,"")</f>
        <v/>
      </c>
      <c r="CB296" s="8" t="str">
        <f>Table1[[#This Row],[L4 Code]]&amp;"-"&amp;Table1[[#This Row],[T1 Code]]</f>
        <v>E-02.MAK-01.AMR-210-1000</v>
      </c>
    </row>
    <row r="297" spans="1:80">
      <c r="A297" s="3" t="s">
        <v>5444</v>
      </c>
      <c r="B297" t="s">
        <v>3765</v>
      </c>
      <c r="D297" t="s">
        <v>4967</v>
      </c>
      <c r="F297" s="77" t="s">
        <v>4973</v>
      </c>
      <c r="H297" s="3" t="s">
        <v>4984</v>
      </c>
      <c r="I297" s="3"/>
      <c r="J297" s="78"/>
      <c r="K297" s="78"/>
      <c r="M297" s="78"/>
      <c r="V297" s="8">
        <v>1</v>
      </c>
      <c r="W297" s="8">
        <v>1</v>
      </c>
      <c r="X297" s="10">
        <v>1</v>
      </c>
      <c r="Y297" s="8">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BX297" s="8">
        <v>1</v>
      </c>
      <c r="BY297" s="8" t="str">
        <f>+_xlfn.XLOOKUP(Table1[[#This Row],[L4 Code]],KIRMATAŞ!B:B,KIRMATAŞ!B:B,"")</f>
        <v/>
      </c>
      <c r="BZ297" s="8" t="str">
        <f>+_xlfn.XLOOKUP(Table1[[#This Row],[L4 Code]],'SU TEMİNİ'!C:C,'SU TEMİNİ'!C:C,"")</f>
        <v/>
      </c>
      <c r="CA297" s="8" t="str">
        <f>+_xlfn.XLOOKUP(Table1[[#This Row],[L4 Code]],TAŞ!C:C,TAŞ!C:C,"")</f>
        <v/>
      </c>
      <c r="CB297" s="8" t="str">
        <f>Table1[[#This Row],[L4 Code]]&amp;"-"&amp;Table1[[#This Row],[T1 Code]]</f>
        <v>E-02.MAK-01.AMR-220-1000</v>
      </c>
    </row>
    <row r="298" spans="1:80">
      <c r="A298" s="3" t="s">
        <v>5444</v>
      </c>
      <c r="B298" t="s">
        <v>3767</v>
      </c>
      <c r="D298" t="s">
        <v>4967</v>
      </c>
      <c r="F298" s="77" t="s">
        <v>4973</v>
      </c>
      <c r="H298" s="3" t="s">
        <v>4984</v>
      </c>
      <c r="I298" s="3"/>
      <c r="J298" s="78"/>
      <c r="K298" s="78"/>
      <c r="M298" s="78"/>
      <c r="V298" s="8">
        <v>1</v>
      </c>
      <c r="W298" s="8">
        <v>1</v>
      </c>
      <c r="X298" s="10">
        <v>1</v>
      </c>
      <c r="Y298" s="8">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BX298" s="8">
        <v>1</v>
      </c>
      <c r="BY298" s="8" t="str">
        <f>+_xlfn.XLOOKUP(Table1[[#This Row],[L4 Code]],KIRMATAŞ!B:B,KIRMATAŞ!B:B,"")</f>
        <v/>
      </c>
      <c r="BZ298" s="8" t="str">
        <f>+_xlfn.XLOOKUP(Table1[[#This Row],[L4 Code]],'SU TEMİNİ'!C:C,'SU TEMİNİ'!C:C,"")</f>
        <v/>
      </c>
      <c r="CA298" s="8" t="str">
        <f>+_xlfn.XLOOKUP(Table1[[#This Row],[L4 Code]],TAŞ!C:C,TAŞ!C:C,"")</f>
        <v/>
      </c>
      <c r="CB298" s="8" t="str">
        <f>Table1[[#This Row],[L4 Code]]&amp;"-"&amp;Table1[[#This Row],[T1 Code]]</f>
        <v>E-02.MAK-01.AMR-510-1000</v>
      </c>
    </row>
    <row r="299" spans="1:80">
      <c r="A299" s="3" t="s">
        <v>5444</v>
      </c>
      <c r="B299" t="s">
        <v>3769</v>
      </c>
      <c r="D299" t="s">
        <v>4967</v>
      </c>
      <c r="F299" s="77" t="s">
        <v>4973</v>
      </c>
      <c r="H299" s="3" t="s">
        <v>4984</v>
      </c>
      <c r="I299" s="3"/>
      <c r="J299" s="78"/>
      <c r="K299" s="78"/>
      <c r="M299" s="78"/>
      <c r="V299" s="8">
        <v>1</v>
      </c>
      <c r="W299" s="8">
        <v>1</v>
      </c>
      <c r="X299" s="10">
        <v>1</v>
      </c>
      <c r="Y299" s="8">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BX299" s="8">
        <v>1</v>
      </c>
      <c r="BY299" s="8" t="str">
        <f>+_xlfn.XLOOKUP(Table1[[#This Row],[L4 Code]],KIRMATAŞ!B:B,KIRMATAŞ!B:B,"")</f>
        <v/>
      </c>
      <c r="BZ299" s="8" t="str">
        <f>+_xlfn.XLOOKUP(Table1[[#This Row],[L4 Code]],'SU TEMİNİ'!C:C,'SU TEMİNİ'!C:C,"")</f>
        <v/>
      </c>
      <c r="CA299" s="8" t="str">
        <f>+_xlfn.XLOOKUP(Table1[[#This Row],[L4 Code]],TAŞ!C:C,TAŞ!C:C,"")</f>
        <v/>
      </c>
      <c r="CB299" s="8" t="str">
        <f>Table1[[#This Row],[L4 Code]]&amp;"-"&amp;Table1[[#This Row],[T1 Code]]</f>
        <v>E-02.MAK-01.AMR-511-1000</v>
      </c>
    </row>
    <row r="300" spans="1:80">
      <c r="A300" s="3" t="s">
        <v>5444</v>
      </c>
      <c r="B300" t="s">
        <v>3771</v>
      </c>
      <c r="D300" t="s">
        <v>4967</v>
      </c>
      <c r="F300" s="77" t="s">
        <v>4973</v>
      </c>
      <c r="H300" s="3" t="s">
        <v>4984</v>
      </c>
      <c r="I300" s="3"/>
      <c r="J300" s="78"/>
      <c r="K300" s="78"/>
      <c r="M300" s="78"/>
      <c r="V300" s="8">
        <v>1</v>
      </c>
      <c r="W300" s="8">
        <v>1</v>
      </c>
      <c r="X300" s="10">
        <v>1</v>
      </c>
      <c r="Y300" s="8">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BX300" s="8">
        <v>1</v>
      </c>
      <c r="BY300" s="8" t="str">
        <f>+_xlfn.XLOOKUP(Table1[[#This Row],[L4 Code]],KIRMATAŞ!B:B,KIRMATAŞ!B:B,"")</f>
        <v/>
      </c>
      <c r="BZ300" s="8" t="str">
        <f>+_xlfn.XLOOKUP(Table1[[#This Row],[L4 Code]],'SU TEMİNİ'!C:C,'SU TEMİNİ'!C:C,"")</f>
        <v/>
      </c>
      <c r="CA300" s="8" t="str">
        <f>+_xlfn.XLOOKUP(Table1[[#This Row],[L4 Code]],TAŞ!C:C,TAŞ!C:C,"")</f>
        <v/>
      </c>
      <c r="CB300" s="8" t="str">
        <f>Table1[[#This Row],[L4 Code]]&amp;"-"&amp;Table1[[#This Row],[T1 Code]]</f>
        <v>E-02.MAK-01.AMR-512-1000</v>
      </c>
    </row>
    <row r="301" spans="1:80">
      <c r="A301" s="3" t="s">
        <v>5444</v>
      </c>
      <c r="B301" t="s">
        <v>3774</v>
      </c>
      <c r="D301" t="s">
        <v>4967</v>
      </c>
      <c r="F301" s="77" t="s">
        <v>4973</v>
      </c>
      <c r="H301" s="3" t="s">
        <v>4984</v>
      </c>
      <c r="I301" s="3"/>
      <c r="J301" s="78"/>
      <c r="K301" s="78"/>
      <c r="M301" s="78"/>
      <c r="V301" s="8">
        <v>1</v>
      </c>
      <c r="W301" s="8">
        <v>1</v>
      </c>
      <c r="X301" s="10">
        <v>1</v>
      </c>
      <c r="Y301" s="8">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BX301" s="8">
        <v>1</v>
      </c>
      <c r="BY301" s="8" t="str">
        <f>+_xlfn.XLOOKUP(Table1[[#This Row],[L4 Code]],KIRMATAŞ!B:B,KIRMATAŞ!B:B,"")</f>
        <v/>
      </c>
      <c r="BZ301" s="8" t="str">
        <f>+_xlfn.XLOOKUP(Table1[[#This Row],[L4 Code]],'SU TEMİNİ'!C:C,'SU TEMİNİ'!C:C,"")</f>
        <v/>
      </c>
      <c r="CA301" s="8" t="str">
        <f>+_xlfn.XLOOKUP(Table1[[#This Row],[L4 Code]],TAŞ!C:C,TAŞ!C:C,"")</f>
        <v/>
      </c>
      <c r="CB301" s="8" t="str">
        <f>Table1[[#This Row],[L4 Code]]&amp;"-"&amp;Table1[[#This Row],[T1 Code]]</f>
        <v>E-02.MAK-01.AMR-520-1000</v>
      </c>
    </row>
    <row r="302" spans="1:80">
      <c r="A302" s="3" t="s">
        <v>5444</v>
      </c>
      <c r="B302" t="s">
        <v>3776</v>
      </c>
      <c r="D302" t="s">
        <v>4967</v>
      </c>
      <c r="F302" s="77" t="s">
        <v>4973</v>
      </c>
      <c r="H302" s="3" t="s">
        <v>4984</v>
      </c>
      <c r="I302" s="3"/>
      <c r="J302" s="78"/>
      <c r="K302" s="78"/>
      <c r="M302" s="78"/>
      <c r="V302" s="8">
        <v>1</v>
      </c>
      <c r="W302" s="8">
        <v>1</v>
      </c>
      <c r="X302" s="10">
        <v>1</v>
      </c>
      <c r="Y302" s="8">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BX302" s="8">
        <v>1</v>
      </c>
      <c r="BY302" s="8" t="str">
        <f>+_xlfn.XLOOKUP(Table1[[#This Row],[L4 Code]],KIRMATAŞ!B:B,KIRMATAŞ!B:B,"")</f>
        <v/>
      </c>
      <c r="BZ302" s="8" t="str">
        <f>+_xlfn.XLOOKUP(Table1[[#This Row],[L4 Code]],'SU TEMİNİ'!C:C,'SU TEMİNİ'!C:C,"")</f>
        <v/>
      </c>
      <c r="CA302" s="8" t="str">
        <f>+_xlfn.XLOOKUP(Table1[[#This Row],[L4 Code]],TAŞ!C:C,TAŞ!C:C,"")</f>
        <v/>
      </c>
      <c r="CB302" s="8" t="str">
        <f>Table1[[#This Row],[L4 Code]]&amp;"-"&amp;Table1[[#This Row],[T1 Code]]</f>
        <v>E-02.MAK-01.AMR-530-1000</v>
      </c>
    </row>
    <row r="303" spans="1:80">
      <c r="A303" s="3" t="s">
        <v>5444</v>
      </c>
      <c r="B303" t="s">
        <v>3778</v>
      </c>
      <c r="D303" t="s">
        <v>4967</v>
      </c>
      <c r="F303" s="77" t="s">
        <v>4973</v>
      </c>
      <c r="H303" s="3" t="s">
        <v>4984</v>
      </c>
      <c r="I303" s="3"/>
      <c r="J303" s="78"/>
      <c r="K303" s="78"/>
      <c r="M303" s="78"/>
      <c r="V303" s="8">
        <v>1</v>
      </c>
      <c r="W303" s="8">
        <v>1</v>
      </c>
      <c r="X303" s="10">
        <v>1</v>
      </c>
      <c r="Y303" s="8">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BX303" s="8">
        <v>1</v>
      </c>
      <c r="BY303" s="8" t="str">
        <f>+_xlfn.XLOOKUP(Table1[[#This Row],[L4 Code]],KIRMATAŞ!B:B,KIRMATAŞ!B:B,"")</f>
        <v/>
      </c>
      <c r="BZ303" s="8" t="str">
        <f>+_xlfn.XLOOKUP(Table1[[#This Row],[L4 Code]],'SU TEMİNİ'!C:C,'SU TEMİNİ'!C:C,"")</f>
        <v/>
      </c>
      <c r="CA303" s="8" t="str">
        <f>+_xlfn.XLOOKUP(Table1[[#This Row],[L4 Code]],TAŞ!C:C,TAŞ!C:C,"")</f>
        <v/>
      </c>
      <c r="CB303" s="8" t="str">
        <f>Table1[[#This Row],[L4 Code]]&amp;"-"&amp;Table1[[#This Row],[T1 Code]]</f>
        <v>E-02.MAK-01.AMR-531-1000</v>
      </c>
    </row>
    <row r="304" spans="1:80">
      <c r="A304" s="3" t="s">
        <v>5444</v>
      </c>
      <c r="B304" t="s">
        <v>3781</v>
      </c>
      <c r="D304" t="s">
        <v>4967</v>
      </c>
      <c r="F304" s="77" t="s">
        <v>4973</v>
      </c>
      <c r="H304" s="3" t="s">
        <v>4984</v>
      </c>
      <c r="I304" s="3"/>
      <c r="J304" s="78"/>
      <c r="K304" s="78"/>
      <c r="M304" s="78"/>
      <c r="V304" s="8">
        <v>1</v>
      </c>
      <c r="W304" s="8">
        <v>1</v>
      </c>
      <c r="X304" s="10">
        <v>1</v>
      </c>
      <c r="Y304" s="8">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BX304" s="8">
        <v>1</v>
      </c>
      <c r="BY304" s="8" t="str">
        <f>+_xlfn.XLOOKUP(Table1[[#This Row],[L4 Code]],KIRMATAŞ!B:B,KIRMATAŞ!B:B,"")</f>
        <v/>
      </c>
      <c r="BZ304" s="8" t="str">
        <f>+_xlfn.XLOOKUP(Table1[[#This Row],[L4 Code]],'SU TEMİNİ'!C:C,'SU TEMİNİ'!C:C,"")</f>
        <v/>
      </c>
      <c r="CA304" s="8" t="str">
        <f>+_xlfn.XLOOKUP(Table1[[#This Row],[L4 Code]],TAŞ!C:C,TAŞ!C:C,"")</f>
        <v/>
      </c>
      <c r="CB304" s="8" t="str">
        <f>Table1[[#This Row],[L4 Code]]&amp;"-"&amp;Table1[[#This Row],[T1 Code]]</f>
        <v>E-02.MAK-01.AMR-532-1000</v>
      </c>
    </row>
    <row r="305" spans="1:80">
      <c r="A305" s="3" t="s">
        <v>5444</v>
      </c>
      <c r="B305" t="s">
        <v>3784</v>
      </c>
      <c r="D305" t="s">
        <v>4967</v>
      </c>
      <c r="F305" s="77" t="s">
        <v>4973</v>
      </c>
      <c r="H305" s="3" t="s">
        <v>4984</v>
      </c>
      <c r="I305" s="3"/>
      <c r="J305" s="78"/>
      <c r="K305" s="78"/>
      <c r="M305" s="78"/>
      <c r="V305" s="8">
        <v>1</v>
      </c>
      <c r="W305" s="8">
        <v>1</v>
      </c>
      <c r="X305" s="10">
        <v>1</v>
      </c>
      <c r="Y305" s="8">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BX305" s="8">
        <v>1</v>
      </c>
      <c r="BY305" s="8" t="str">
        <f>+_xlfn.XLOOKUP(Table1[[#This Row],[L4 Code]],KIRMATAŞ!B:B,KIRMATAŞ!B:B,"")</f>
        <v/>
      </c>
      <c r="BZ305" s="8" t="str">
        <f>+_xlfn.XLOOKUP(Table1[[#This Row],[L4 Code]],'SU TEMİNİ'!C:C,'SU TEMİNİ'!C:C,"")</f>
        <v/>
      </c>
      <c r="CA305" s="8" t="str">
        <f>+_xlfn.XLOOKUP(Table1[[#This Row],[L4 Code]],TAŞ!C:C,TAŞ!C:C,"")</f>
        <v/>
      </c>
      <c r="CB305" s="8" t="str">
        <f>Table1[[#This Row],[L4 Code]]&amp;"-"&amp;Table1[[#This Row],[T1 Code]]</f>
        <v>E-02.MAK-01.AMR-540-1000</v>
      </c>
    </row>
    <row r="306" spans="1:80">
      <c r="A306" s="3" t="s">
        <v>5444</v>
      </c>
      <c r="B306" t="s">
        <v>3786</v>
      </c>
      <c r="D306" t="s">
        <v>4967</v>
      </c>
      <c r="F306" s="77" t="s">
        <v>4973</v>
      </c>
      <c r="H306" s="3" t="s">
        <v>4984</v>
      </c>
      <c r="I306" s="3"/>
      <c r="J306" s="78"/>
      <c r="K306" s="78"/>
      <c r="M306" s="78"/>
      <c r="V306" s="8">
        <v>1</v>
      </c>
      <c r="W306" s="8">
        <v>1</v>
      </c>
      <c r="X306" s="10">
        <v>1</v>
      </c>
      <c r="Y306" s="8">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BX306" s="8">
        <v>1</v>
      </c>
      <c r="BY306" s="8" t="str">
        <f>+_xlfn.XLOOKUP(Table1[[#This Row],[L4 Code]],KIRMATAŞ!B:B,KIRMATAŞ!B:B,"")</f>
        <v/>
      </c>
      <c r="BZ306" s="8" t="str">
        <f>+_xlfn.XLOOKUP(Table1[[#This Row],[L4 Code]],'SU TEMİNİ'!C:C,'SU TEMİNİ'!C:C,"")</f>
        <v/>
      </c>
      <c r="CA306" s="8" t="str">
        <f>+_xlfn.XLOOKUP(Table1[[#This Row],[L4 Code]],TAŞ!C:C,TAŞ!C:C,"")</f>
        <v/>
      </c>
      <c r="CB306" s="8" t="str">
        <f>Table1[[#This Row],[L4 Code]]&amp;"-"&amp;Table1[[#This Row],[T1 Code]]</f>
        <v>E-02.MAK-01.AMR-551-1000</v>
      </c>
    </row>
    <row r="307" spans="1:80">
      <c r="A307" s="3" t="s">
        <v>5444</v>
      </c>
      <c r="B307" t="s">
        <v>3790</v>
      </c>
      <c r="D307" t="s">
        <v>4967</v>
      </c>
      <c r="F307" s="77" t="s">
        <v>4973</v>
      </c>
      <c r="H307" s="3" t="s">
        <v>4984</v>
      </c>
      <c r="I307" s="3"/>
      <c r="J307" s="78"/>
      <c r="K307" s="78"/>
      <c r="M307" s="78"/>
      <c r="V307" s="8">
        <v>1</v>
      </c>
      <c r="W307" s="8">
        <v>1</v>
      </c>
      <c r="X307" s="10">
        <v>1</v>
      </c>
      <c r="Y307" s="8">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BX307" s="8">
        <v>1</v>
      </c>
      <c r="BY307" s="8" t="str">
        <f>+_xlfn.XLOOKUP(Table1[[#This Row],[L4 Code]],KIRMATAŞ!B:B,KIRMATAŞ!B:B,"")</f>
        <v/>
      </c>
      <c r="BZ307" s="8" t="str">
        <f>+_xlfn.XLOOKUP(Table1[[#This Row],[L4 Code]],'SU TEMİNİ'!C:C,'SU TEMİNİ'!C:C,"")</f>
        <v/>
      </c>
      <c r="CA307" s="8" t="str">
        <f>+_xlfn.XLOOKUP(Table1[[#This Row],[L4 Code]],TAŞ!C:C,TAŞ!C:C,"")</f>
        <v/>
      </c>
      <c r="CB307" s="8" t="str">
        <f>Table1[[#This Row],[L4 Code]]&amp;"-"&amp;Table1[[#This Row],[T1 Code]]</f>
        <v>E-02.MAK-01.AMR-552-1000</v>
      </c>
    </row>
    <row r="308" spans="1:80">
      <c r="A308" s="3" t="s">
        <v>5444</v>
      </c>
      <c r="B308" t="s">
        <v>4011</v>
      </c>
      <c r="D308" t="s">
        <v>4967</v>
      </c>
      <c r="F308" s="77" t="s">
        <v>4973</v>
      </c>
      <c r="H308" s="3" t="s">
        <v>4984</v>
      </c>
      <c r="I308" s="3"/>
      <c r="J308" s="78"/>
      <c r="K308" s="78"/>
      <c r="M308" s="78"/>
      <c r="V308" s="8">
        <v>1</v>
      </c>
      <c r="W308" s="8">
        <v>1</v>
      </c>
      <c r="X308" s="10">
        <v>1</v>
      </c>
      <c r="Y308" s="8">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BX308" s="8">
        <v>1</v>
      </c>
      <c r="BY308" s="8" t="str">
        <f>+_xlfn.XLOOKUP(Table1[[#This Row],[L4 Code]],KIRMATAŞ!B:B,KIRMATAŞ!B:B,"")</f>
        <v/>
      </c>
      <c r="BZ308" s="8" t="str">
        <f>+_xlfn.XLOOKUP(Table1[[#This Row],[L4 Code]],'SU TEMİNİ'!C:C,'SU TEMİNİ'!C:C,"")</f>
        <v/>
      </c>
      <c r="CA308" s="8" t="str">
        <f>+_xlfn.XLOOKUP(Table1[[#This Row],[L4 Code]],TAŞ!C:C,TAŞ!C:C,"")</f>
        <v/>
      </c>
      <c r="CB308" s="8" t="str">
        <f>Table1[[#This Row],[L4 Code]]&amp;"-"&amp;Table1[[#This Row],[T1 Code]]</f>
        <v>E-02.MAK-03.YKT-030-1000</v>
      </c>
    </row>
    <row r="309" spans="1:80">
      <c r="A309" s="3" t="s">
        <v>5444</v>
      </c>
      <c r="B309" t="s">
        <v>4013</v>
      </c>
      <c r="D309" t="s">
        <v>4967</v>
      </c>
      <c r="F309" s="77" t="s">
        <v>4973</v>
      </c>
      <c r="H309" s="3" t="s">
        <v>4984</v>
      </c>
      <c r="I309" s="3"/>
      <c r="J309" s="78"/>
      <c r="K309" s="78"/>
      <c r="M309" s="78"/>
      <c r="V309" s="8">
        <v>1</v>
      </c>
      <c r="W309" s="8">
        <v>1</v>
      </c>
      <c r="X309" s="10">
        <v>1</v>
      </c>
      <c r="Y309" s="8">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BX309" s="8">
        <v>1</v>
      </c>
      <c r="BY309" s="8" t="str">
        <f>+_xlfn.XLOOKUP(Table1[[#This Row],[L4 Code]],KIRMATAŞ!B:B,KIRMATAŞ!B:B,"")</f>
        <v/>
      </c>
      <c r="BZ309" s="8" t="str">
        <f>+_xlfn.XLOOKUP(Table1[[#This Row],[L4 Code]],'SU TEMİNİ'!C:C,'SU TEMİNİ'!C:C,"")</f>
        <v/>
      </c>
      <c r="CA309" s="8" t="str">
        <f>+_xlfn.XLOOKUP(Table1[[#This Row],[L4 Code]],TAŞ!C:C,TAŞ!C:C,"")</f>
        <v/>
      </c>
      <c r="CB309" s="8" t="str">
        <f>Table1[[#This Row],[L4 Code]]&amp;"-"&amp;Table1[[#This Row],[T1 Code]]</f>
        <v>E-02.MAK-03.YKT-050-1000</v>
      </c>
    </row>
    <row r="310" spans="1:80">
      <c r="A310" s="3" t="s">
        <v>5444</v>
      </c>
      <c r="B310" t="s">
        <v>4015</v>
      </c>
      <c r="D310" t="s">
        <v>4967</v>
      </c>
      <c r="F310" s="77" t="s">
        <v>4973</v>
      </c>
      <c r="H310" s="3" t="s">
        <v>4984</v>
      </c>
      <c r="I310" s="3"/>
      <c r="J310" s="78"/>
      <c r="K310" s="78"/>
      <c r="M310" s="78"/>
      <c r="V310" s="8">
        <v>1</v>
      </c>
      <c r="W310" s="8">
        <v>1</v>
      </c>
      <c r="X310" s="10">
        <v>1</v>
      </c>
      <c r="Y310" s="8">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BX310" s="8">
        <v>1</v>
      </c>
      <c r="BY310" s="8" t="str">
        <f>+_xlfn.XLOOKUP(Table1[[#This Row],[L4 Code]],KIRMATAŞ!B:B,KIRMATAŞ!B:B,"")</f>
        <v/>
      </c>
      <c r="BZ310" s="8" t="str">
        <f>+_xlfn.XLOOKUP(Table1[[#This Row],[L4 Code]],'SU TEMİNİ'!C:C,'SU TEMİNİ'!C:C,"")</f>
        <v/>
      </c>
      <c r="CA310" s="8" t="str">
        <f>+_xlfn.XLOOKUP(Table1[[#This Row],[L4 Code]],TAŞ!C:C,TAŞ!C:C,"")</f>
        <v/>
      </c>
      <c r="CB310" s="8" t="str">
        <f>Table1[[#This Row],[L4 Code]]&amp;"-"&amp;Table1[[#This Row],[T1 Code]]</f>
        <v>E-02.MAK-03.YKT-061-1000</v>
      </c>
    </row>
    <row r="311" spans="1:80">
      <c r="A311" s="3" t="s">
        <v>5444</v>
      </c>
      <c r="B311" t="s">
        <v>4017</v>
      </c>
      <c r="D311" t="s">
        <v>4967</v>
      </c>
      <c r="F311" s="77" t="s">
        <v>4973</v>
      </c>
      <c r="H311" s="3" t="s">
        <v>4984</v>
      </c>
      <c r="I311" s="3"/>
      <c r="J311" s="78"/>
      <c r="K311" s="78"/>
      <c r="M311" s="78"/>
      <c r="V311" s="8">
        <v>1</v>
      </c>
      <c r="W311" s="8">
        <v>1</v>
      </c>
      <c r="X311" s="10">
        <v>1</v>
      </c>
      <c r="Y311" s="8">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BX311" s="8">
        <v>1</v>
      </c>
      <c r="BY311" s="8" t="str">
        <f>+_xlfn.XLOOKUP(Table1[[#This Row],[L4 Code]],KIRMATAŞ!B:B,KIRMATAŞ!B:B,"")</f>
        <v/>
      </c>
      <c r="BZ311" s="8" t="str">
        <f>+_xlfn.XLOOKUP(Table1[[#This Row],[L4 Code]],'SU TEMİNİ'!C:C,'SU TEMİNİ'!C:C,"")</f>
        <v/>
      </c>
      <c r="CA311" s="8" t="str">
        <f>+_xlfn.XLOOKUP(Table1[[#This Row],[L4 Code]],TAŞ!C:C,TAŞ!C:C,"")</f>
        <v/>
      </c>
      <c r="CB311" s="8" t="str">
        <f>Table1[[#This Row],[L4 Code]]&amp;"-"&amp;Table1[[#This Row],[T1 Code]]</f>
        <v>E-02.MAK-03.YKT-062-1000</v>
      </c>
    </row>
    <row r="312" spans="1:80">
      <c r="A312" s="3" t="s">
        <v>5444</v>
      </c>
      <c r="B312" t="s">
        <v>4019</v>
      </c>
      <c r="D312" t="s">
        <v>4967</v>
      </c>
      <c r="F312" s="77" t="s">
        <v>4973</v>
      </c>
      <c r="H312" s="3" t="s">
        <v>4984</v>
      </c>
      <c r="I312" s="3"/>
      <c r="J312" s="78"/>
      <c r="K312" s="78"/>
      <c r="M312" s="78"/>
      <c r="V312" s="8">
        <v>1</v>
      </c>
      <c r="W312" s="8">
        <v>1</v>
      </c>
      <c r="X312" s="10">
        <v>1</v>
      </c>
      <c r="Y312" s="8">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BX312" s="8">
        <v>1</v>
      </c>
      <c r="BY312" s="8" t="str">
        <f>+_xlfn.XLOOKUP(Table1[[#This Row],[L4 Code]],KIRMATAŞ!B:B,KIRMATAŞ!B:B,"")</f>
        <v/>
      </c>
      <c r="BZ312" s="8" t="str">
        <f>+_xlfn.XLOOKUP(Table1[[#This Row],[L4 Code]],'SU TEMİNİ'!C:C,'SU TEMİNİ'!C:C,"")</f>
        <v/>
      </c>
      <c r="CA312" s="8" t="str">
        <f>+_xlfn.XLOOKUP(Table1[[#This Row],[L4 Code]],TAŞ!C:C,TAŞ!C:C,"")</f>
        <v/>
      </c>
      <c r="CB312" s="8" t="str">
        <f>Table1[[#This Row],[L4 Code]]&amp;"-"&amp;Table1[[#This Row],[T1 Code]]</f>
        <v>E-02.MAK-03.YKT-063-1000</v>
      </c>
    </row>
    <row r="313" spans="1:80">
      <c r="A313" s="3" t="s">
        <v>5444</v>
      </c>
      <c r="B313" t="s">
        <v>4021</v>
      </c>
      <c r="D313" t="s">
        <v>4967</v>
      </c>
      <c r="F313" s="77" t="s">
        <v>4973</v>
      </c>
      <c r="H313" s="3" t="s">
        <v>4984</v>
      </c>
      <c r="I313" s="3"/>
      <c r="J313" s="78"/>
      <c r="K313" s="78"/>
      <c r="M313" s="78"/>
      <c r="V313" s="8">
        <v>1</v>
      </c>
      <c r="W313" s="8">
        <v>1</v>
      </c>
      <c r="X313" s="10">
        <v>1</v>
      </c>
      <c r="Y313" s="8">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BX313" s="8">
        <v>1</v>
      </c>
      <c r="BY313" s="8" t="str">
        <f>+_xlfn.XLOOKUP(Table1[[#This Row],[L4 Code]],KIRMATAŞ!B:B,KIRMATAŞ!B:B,"")</f>
        <v/>
      </c>
      <c r="BZ313" s="8" t="str">
        <f>+_xlfn.XLOOKUP(Table1[[#This Row],[L4 Code]],'SU TEMİNİ'!C:C,'SU TEMİNİ'!C:C,"")</f>
        <v/>
      </c>
      <c r="CA313" s="8" t="str">
        <f>+_xlfn.XLOOKUP(Table1[[#This Row],[L4 Code]],TAŞ!C:C,TAŞ!C:C,"")</f>
        <v/>
      </c>
      <c r="CB313" s="8" t="str">
        <f>Table1[[#This Row],[L4 Code]]&amp;"-"&amp;Table1[[#This Row],[T1 Code]]</f>
        <v>E-02.MAK-03.YKT-064-1000</v>
      </c>
    </row>
    <row r="314" spans="1:80">
      <c r="A314" s="3" t="s">
        <v>5444</v>
      </c>
      <c r="B314" t="s">
        <v>4023</v>
      </c>
      <c r="D314" t="s">
        <v>4967</v>
      </c>
      <c r="F314" s="77" t="s">
        <v>4973</v>
      </c>
      <c r="H314" s="3" t="s">
        <v>4984</v>
      </c>
      <c r="I314" s="3"/>
      <c r="J314" s="78"/>
      <c r="K314" s="78"/>
      <c r="M314" s="78"/>
      <c r="V314" s="8">
        <v>1</v>
      </c>
      <c r="W314" s="8">
        <v>1</v>
      </c>
      <c r="X314" s="10">
        <v>1</v>
      </c>
      <c r="Y314" s="8">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BX314" s="8">
        <v>1</v>
      </c>
      <c r="BY314" s="8" t="str">
        <f>+_xlfn.XLOOKUP(Table1[[#This Row],[L4 Code]],KIRMATAŞ!B:B,KIRMATAŞ!B:B,"")</f>
        <v/>
      </c>
      <c r="BZ314" s="8" t="str">
        <f>+_xlfn.XLOOKUP(Table1[[#This Row],[L4 Code]],'SU TEMİNİ'!C:C,'SU TEMİNİ'!C:C,"")</f>
        <v/>
      </c>
      <c r="CA314" s="8" t="str">
        <f>+_xlfn.XLOOKUP(Table1[[#This Row],[L4 Code]],TAŞ!C:C,TAŞ!C:C,"")</f>
        <v/>
      </c>
      <c r="CB314" s="8" t="str">
        <f>Table1[[#This Row],[L4 Code]]&amp;"-"&amp;Table1[[#This Row],[T1 Code]]</f>
        <v>E-02.MAK-03.YKT-065-1000</v>
      </c>
    </row>
    <row r="315" spans="1:80">
      <c r="A315" s="3" t="s">
        <v>5444</v>
      </c>
      <c r="B315" t="s">
        <v>4025</v>
      </c>
      <c r="D315" t="s">
        <v>4967</v>
      </c>
      <c r="F315" s="77" t="s">
        <v>4973</v>
      </c>
      <c r="H315" s="3" t="s">
        <v>4984</v>
      </c>
      <c r="I315" s="3"/>
      <c r="J315" s="78"/>
      <c r="K315" s="78"/>
      <c r="M315" s="78"/>
      <c r="V315" s="8">
        <v>1</v>
      </c>
      <c r="W315" s="8">
        <v>1</v>
      </c>
      <c r="X315" s="10">
        <v>1</v>
      </c>
      <c r="Y315" s="8">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BX315" s="8">
        <v>1</v>
      </c>
      <c r="BY315" s="8" t="str">
        <f>+_xlfn.XLOOKUP(Table1[[#This Row],[L4 Code]],KIRMATAŞ!B:B,KIRMATAŞ!B:B,"")</f>
        <v/>
      </c>
      <c r="BZ315" s="8" t="str">
        <f>+_xlfn.XLOOKUP(Table1[[#This Row],[L4 Code]],'SU TEMİNİ'!C:C,'SU TEMİNİ'!C:C,"")</f>
        <v/>
      </c>
      <c r="CA315" s="8" t="str">
        <f>+_xlfn.XLOOKUP(Table1[[#This Row],[L4 Code]],TAŞ!C:C,TAŞ!C:C,"")</f>
        <v/>
      </c>
      <c r="CB315" s="8" t="str">
        <f>Table1[[#This Row],[L4 Code]]&amp;"-"&amp;Table1[[#This Row],[T1 Code]]</f>
        <v>E-02.MAK-03.YKT-066-1000</v>
      </c>
    </row>
    <row r="316" spans="1:80">
      <c r="A316" s="3" t="s">
        <v>5444</v>
      </c>
      <c r="B316" t="s">
        <v>4027</v>
      </c>
      <c r="D316" t="s">
        <v>4967</v>
      </c>
      <c r="F316" s="77" t="s">
        <v>4973</v>
      </c>
      <c r="H316" s="3" t="s">
        <v>4984</v>
      </c>
      <c r="I316" s="3"/>
      <c r="J316" s="78"/>
      <c r="K316" s="78"/>
      <c r="M316" s="78"/>
      <c r="V316" s="8">
        <v>1</v>
      </c>
      <c r="W316" s="8">
        <v>1</v>
      </c>
      <c r="X316" s="10">
        <v>1</v>
      </c>
      <c r="Y316" s="8">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BX316" s="8">
        <v>1</v>
      </c>
      <c r="BY316" s="8" t="str">
        <f>+_xlfn.XLOOKUP(Table1[[#This Row],[L4 Code]],KIRMATAŞ!B:B,KIRMATAŞ!B:B,"")</f>
        <v/>
      </c>
      <c r="BZ316" s="8" t="str">
        <f>+_xlfn.XLOOKUP(Table1[[#This Row],[L4 Code]],'SU TEMİNİ'!C:C,'SU TEMİNİ'!C:C,"")</f>
        <v/>
      </c>
      <c r="CA316" s="8" t="str">
        <f>+_xlfn.XLOOKUP(Table1[[#This Row],[L4 Code]],TAŞ!C:C,TAŞ!C:C,"")</f>
        <v/>
      </c>
      <c r="CB316" s="8" t="str">
        <f>Table1[[#This Row],[L4 Code]]&amp;"-"&amp;Table1[[#This Row],[T1 Code]]</f>
        <v>E-02.MAK-03.YKT-067-1000</v>
      </c>
    </row>
    <row r="317" spans="1:80">
      <c r="A317" s="3" t="s">
        <v>5444</v>
      </c>
      <c r="B317" t="s">
        <v>4029</v>
      </c>
      <c r="D317" t="s">
        <v>4967</v>
      </c>
      <c r="F317" s="77" t="s">
        <v>4973</v>
      </c>
      <c r="H317" s="3" t="s">
        <v>4984</v>
      </c>
      <c r="I317" s="3"/>
      <c r="J317" s="78"/>
      <c r="K317" s="78"/>
      <c r="M317" s="78"/>
      <c r="V317" s="8">
        <v>1</v>
      </c>
      <c r="W317" s="8">
        <v>1</v>
      </c>
      <c r="X317" s="10">
        <v>1</v>
      </c>
      <c r="Y317" s="8">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BX317" s="8">
        <v>1</v>
      </c>
      <c r="BY317" s="8" t="str">
        <f>+_xlfn.XLOOKUP(Table1[[#This Row],[L4 Code]],KIRMATAŞ!B:B,KIRMATAŞ!B:B,"")</f>
        <v/>
      </c>
      <c r="BZ317" s="8" t="str">
        <f>+_xlfn.XLOOKUP(Table1[[#This Row],[L4 Code]],'SU TEMİNİ'!C:C,'SU TEMİNİ'!C:C,"")</f>
        <v/>
      </c>
      <c r="CA317" s="8" t="str">
        <f>+_xlfn.XLOOKUP(Table1[[#This Row],[L4 Code]],TAŞ!C:C,TAŞ!C:C,"")</f>
        <v/>
      </c>
      <c r="CB317" s="8" t="str">
        <f>Table1[[#This Row],[L4 Code]]&amp;"-"&amp;Table1[[#This Row],[T1 Code]]</f>
        <v>E-02.MAK-03.YKT-080-1000</v>
      </c>
    </row>
    <row r="318" spans="1:80">
      <c r="A318" s="3" t="s">
        <v>5444</v>
      </c>
      <c r="B318" t="s">
        <v>4031</v>
      </c>
      <c r="D318" t="s">
        <v>4967</v>
      </c>
      <c r="F318" s="77" t="s">
        <v>4973</v>
      </c>
      <c r="H318" s="3" t="s">
        <v>4984</v>
      </c>
      <c r="I318" s="3"/>
      <c r="J318" s="78"/>
      <c r="K318" s="78"/>
      <c r="M318" s="78"/>
      <c r="V318" s="8">
        <v>1</v>
      </c>
      <c r="W318" s="8">
        <v>1</v>
      </c>
      <c r="X318" s="10">
        <v>1</v>
      </c>
      <c r="Y318" s="8">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BX318" s="8">
        <v>1</v>
      </c>
      <c r="BY318" s="8" t="str">
        <f>+_xlfn.XLOOKUP(Table1[[#This Row],[L4 Code]],KIRMATAŞ!B:B,KIRMATAŞ!B:B,"")</f>
        <v/>
      </c>
      <c r="BZ318" s="8" t="str">
        <f>+_xlfn.XLOOKUP(Table1[[#This Row],[L4 Code]],'SU TEMİNİ'!C:C,'SU TEMİNİ'!C:C,"")</f>
        <v/>
      </c>
      <c r="CA318" s="8" t="str">
        <f>+_xlfn.XLOOKUP(Table1[[#This Row],[L4 Code]],TAŞ!C:C,TAŞ!C:C,"")</f>
        <v/>
      </c>
      <c r="CB318" s="8" t="str">
        <f>Table1[[#This Row],[L4 Code]]&amp;"-"&amp;Table1[[#This Row],[T1 Code]]</f>
        <v>E-02.MAK-03.YKT-081-1000</v>
      </c>
    </row>
    <row r="319" spans="1:80">
      <c r="A319" s="3" t="s">
        <v>5444</v>
      </c>
      <c r="B319" t="s">
        <v>4033</v>
      </c>
      <c r="D319" t="s">
        <v>4967</v>
      </c>
      <c r="F319" s="77" t="s">
        <v>4973</v>
      </c>
      <c r="H319" s="3" t="s">
        <v>4984</v>
      </c>
      <c r="I319" s="3"/>
      <c r="J319" s="78"/>
      <c r="K319" s="78"/>
      <c r="M319" s="78"/>
      <c r="V319" s="8">
        <v>1</v>
      </c>
      <c r="W319" s="8">
        <v>1</v>
      </c>
      <c r="X319" s="10">
        <v>1</v>
      </c>
      <c r="Y319" s="8">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BX319" s="8">
        <v>1</v>
      </c>
      <c r="BY319" s="8" t="str">
        <f>+_xlfn.XLOOKUP(Table1[[#This Row],[L4 Code]],KIRMATAŞ!B:B,KIRMATAŞ!B:B,"")</f>
        <v/>
      </c>
      <c r="BZ319" s="8" t="str">
        <f>+_xlfn.XLOOKUP(Table1[[#This Row],[L4 Code]],'SU TEMİNİ'!C:C,'SU TEMİNİ'!C:C,"")</f>
        <v/>
      </c>
      <c r="CA319" s="8" t="str">
        <f>+_xlfn.XLOOKUP(Table1[[#This Row],[L4 Code]],TAŞ!C:C,TAŞ!C:C,"")</f>
        <v/>
      </c>
      <c r="CB319" s="8" t="str">
        <f>Table1[[#This Row],[L4 Code]]&amp;"-"&amp;Table1[[#This Row],[T1 Code]]</f>
        <v>E-02.MAK-03.YKT-090-1000</v>
      </c>
    </row>
    <row r="320" spans="1:80">
      <c r="A320" s="3" t="s">
        <v>5444</v>
      </c>
      <c r="B320" t="s">
        <v>4035</v>
      </c>
      <c r="D320" t="s">
        <v>4967</v>
      </c>
      <c r="F320" s="77" t="s">
        <v>4973</v>
      </c>
      <c r="H320" s="3" t="s">
        <v>4984</v>
      </c>
      <c r="I320" s="3"/>
      <c r="J320" s="78"/>
      <c r="K320" s="78"/>
      <c r="M320" s="78"/>
      <c r="V320" s="8">
        <v>1</v>
      </c>
      <c r="W320" s="8">
        <v>1</v>
      </c>
      <c r="X320" s="10">
        <v>1</v>
      </c>
      <c r="Y320" s="8">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BX320" s="8">
        <v>1</v>
      </c>
      <c r="BY320" s="8" t="str">
        <f>+_xlfn.XLOOKUP(Table1[[#This Row],[L4 Code]],KIRMATAŞ!B:B,KIRMATAŞ!B:B,"")</f>
        <v/>
      </c>
      <c r="BZ320" s="8" t="str">
        <f>+_xlfn.XLOOKUP(Table1[[#This Row],[L4 Code]],'SU TEMİNİ'!C:C,'SU TEMİNİ'!C:C,"")</f>
        <v/>
      </c>
      <c r="CA320" s="8" t="str">
        <f>+_xlfn.XLOOKUP(Table1[[#This Row],[L4 Code]],TAŞ!C:C,TAŞ!C:C,"")</f>
        <v/>
      </c>
      <c r="CB320" s="8" t="str">
        <f>Table1[[#This Row],[L4 Code]]&amp;"-"&amp;Table1[[#This Row],[T1 Code]]</f>
        <v>E-02.MAK-03.YKT-095-1000</v>
      </c>
    </row>
    <row r="321" spans="1:80">
      <c r="A321" s="3" t="s">
        <v>5444</v>
      </c>
      <c r="B321" t="s">
        <v>4037</v>
      </c>
      <c r="D321" t="s">
        <v>4967</v>
      </c>
      <c r="F321" s="77" t="s">
        <v>4973</v>
      </c>
      <c r="H321" s="3" t="s">
        <v>4984</v>
      </c>
      <c r="I321" s="3"/>
      <c r="J321" s="78"/>
      <c r="K321" s="78"/>
      <c r="M321" s="78"/>
      <c r="V321" s="8">
        <v>1</v>
      </c>
      <c r="W321" s="8">
        <v>1</v>
      </c>
      <c r="X321" s="10">
        <v>1</v>
      </c>
      <c r="Y321" s="8">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BX321" s="8">
        <v>1</v>
      </c>
      <c r="BY321" s="8" t="str">
        <f>+_xlfn.XLOOKUP(Table1[[#This Row],[L4 Code]],KIRMATAŞ!B:B,KIRMATAŞ!B:B,"")</f>
        <v/>
      </c>
      <c r="BZ321" s="8" t="str">
        <f>+_xlfn.XLOOKUP(Table1[[#This Row],[L4 Code]],'SU TEMİNİ'!C:C,'SU TEMİNİ'!C:C,"")</f>
        <v/>
      </c>
      <c r="CA321" s="8" t="str">
        <f>+_xlfn.XLOOKUP(Table1[[#This Row],[L4 Code]],TAŞ!C:C,TAŞ!C:C,"")</f>
        <v/>
      </c>
      <c r="CB321" s="8" t="str">
        <f>Table1[[#This Row],[L4 Code]]&amp;"-"&amp;Table1[[#This Row],[T1 Code]]</f>
        <v>E-02.MAK-03.YKT-100-1000</v>
      </c>
    </row>
    <row r="322" spans="1:80">
      <c r="A322" s="3" t="s">
        <v>5444</v>
      </c>
      <c r="B322" t="s">
        <v>4039</v>
      </c>
      <c r="D322" t="s">
        <v>4967</v>
      </c>
      <c r="F322" s="77" t="s">
        <v>4973</v>
      </c>
      <c r="H322" s="3" t="s">
        <v>4984</v>
      </c>
      <c r="I322" s="3"/>
      <c r="J322" s="78"/>
      <c r="K322" s="78"/>
      <c r="M322" s="78"/>
      <c r="V322" s="8">
        <v>1</v>
      </c>
      <c r="W322" s="8">
        <v>1</v>
      </c>
      <c r="X322" s="10">
        <v>1</v>
      </c>
      <c r="Y322" s="8">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BX322" s="8">
        <v>1</v>
      </c>
      <c r="BY322" s="8" t="str">
        <f>+_xlfn.XLOOKUP(Table1[[#This Row],[L4 Code]],KIRMATAŞ!B:B,KIRMATAŞ!B:B,"")</f>
        <v/>
      </c>
      <c r="BZ322" s="8" t="str">
        <f>+_xlfn.XLOOKUP(Table1[[#This Row],[L4 Code]],'SU TEMİNİ'!C:C,'SU TEMİNİ'!C:C,"")</f>
        <v/>
      </c>
      <c r="CA322" s="8" t="str">
        <f>+_xlfn.XLOOKUP(Table1[[#This Row],[L4 Code]],TAŞ!C:C,TAŞ!C:C,"")</f>
        <v/>
      </c>
      <c r="CB322" s="8" t="str">
        <f>Table1[[#This Row],[L4 Code]]&amp;"-"&amp;Table1[[#This Row],[T1 Code]]</f>
        <v>E-02.MAK-03.YKT-105-1000</v>
      </c>
    </row>
    <row r="323" spans="1:80">
      <c r="A323" s="3" t="s">
        <v>5444</v>
      </c>
      <c r="B323" t="s">
        <v>5206</v>
      </c>
      <c r="D323" t="s">
        <v>4967</v>
      </c>
      <c r="F323" s="77" t="s">
        <v>4973</v>
      </c>
      <c r="H323" s="3" t="s">
        <v>4984</v>
      </c>
      <c r="I323" s="3"/>
      <c r="J323" s="78"/>
      <c r="K323" s="78"/>
      <c r="M323" s="78"/>
      <c r="V323" s="8">
        <v>1</v>
      </c>
      <c r="W323" s="8">
        <v>1</v>
      </c>
      <c r="X323" s="10">
        <v>1</v>
      </c>
      <c r="Y323" s="8">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BX323" s="8">
        <v>1</v>
      </c>
      <c r="BY323" s="8" t="str">
        <f>+_xlfn.XLOOKUP(Table1[[#This Row],[L4 Code]],KIRMATAŞ!B:B,KIRMATAŞ!B:B,"")</f>
        <v/>
      </c>
      <c r="BZ323" s="8" t="str">
        <f>+_xlfn.XLOOKUP(Table1[[#This Row],[L4 Code]],'SU TEMİNİ'!C:C,'SU TEMİNİ'!C:C,"")</f>
        <v/>
      </c>
      <c r="CA323" s="8" t="str">
        <f>+_xlfn.XLOOKUP(Table1[[#This Row],[L4 Code]],TAŞ!C:C,TAŞ!C:C,"")</f>
        <v/>
      </c>
      <c r="CB323" s="8" t="str">
        <f>Table1[[#This Row],[L4 Code]]&amp;"-"&amp;Table1[[#This Row],[T1 Code]]</f>
        <v>E-02.MAK-03.YKT-106-1000</v>
      </c>
    </row>
    <row r="324" spans="1:80">
      <c r="A324" s="3" t="s">
        <v>5444</v>
      </c>
      <c r="B324" t="s">
        <v>4041</v>
      </c>
      <c r="D324" t="s">
        <v>4967</v>
      </c>
      <c r="F324" s="77" t="s">
        <v>4973</v>
      </c>
      <c r="H324" s="3" t="s">
        <v>4984</v>
      </c>
      <c r="I324" s="3"/>
      <c r="J324" s="78"/>
      <c r="K324" s="78"/>
      <c r="M324" s="78"/>
      <c r="V324" s="8">
        <v>1</v>
      </c>
      <c r="W324" s="8">
        <v>1</v>
      </c>
      <c r="X324" s="10">
        <v>1</v>
      </c>
      <c r="Y324" s="8">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BX324" s="8">
        <v>1</v>
      </c>
      <c r="BY324" s="8" t="str">
        <f>+_xlfn.XLOOKUP(Table1[[#This Row],[L4 Code]],KIRMATAŞ!B:B,KIRMATAŞ!B:B,"")</f>
        <v/>
      </c>
      <c r="BZ324" s="8" t="str">
        <f>+_xlfn.XLOOKUP(Table1[[#This Row],[L4 Code]],'SU TEMİNİ'!C:C,'SU TEMİNİ'!C:C,"")</f>
        <v/>
      </c>
      <c r="CA324" s="8" t="str">
        <f>+_xlfn.XLOOKUP(Table1[[#This Row],[L4 Code]],TAŞ!C:C,TAŞ!C:C,"")</f>
        <v/>
      </c>
      <c r="CB324" s="8" t="str">
        <f>Table1[[#This Row],[L4 Code]]&amp;"-"&amp;Table1[[#This Row],[T1 Code]]</f>
        <v>E-02.MAK-03.YKT-110-1000</v>
      </c>
    </row>
    <row r="325" spans="1:80">
      <c r="A325" s="3" t="s">
        <v>5444</v>
      </c>
      <c r="B325" t="s">
        <v>4043</v>
      </c>
      <c r="D325" t="s">
        <v>4967</v>
      </c>
      <c r="F325" s="77" t="s">
        <v>4973</v>
      </c>
      <c r="H325" s="3" t="s">
        <v>4984</v>
      </c>
      <c r="I325" s="3"/>
      <c r="J325" s="78"/>
      <c r="K325" s="78"/>
      <c r="M325" s="78"/>
      <c r="V325" s="8">
        <v>1</v>
      </c>
      <c r="W325" s="8">
        <v>1</v>
      </c>
      <c r="X325" s="10">
        <v>1</v>
      </c>
      <c r="Y325" s="8">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BX325" s="8">
        <v>1</v>
      </c>
      <c r="BY325" s="8" t="str">
        <f>+_xlfn.XLOOKUP(Table1[[#This Row],[L4 Code]],KIRMATAŞ!B:B,KIRMATAŞ!B:B,"")</f>
        <v/>
      </c>
      <c r="BZ325" s="8" t="str">
        <f>+_xlfn.XLOOKUP(Table1[[#This Row],[L4 Code]],'SU TEMİNİ'!C:C,'SU TEMİNİ'!C:C,"")</f>
        <v/>
      </c>
      <c r="CA325" s="8" t="str">
        <f>+_xlfn.XLOOKUP(Table1[[#This Row],[L4 Code]],TAŞ!C:C,TAŞ!C:C,"")</f>
        <v/>
      </c>
      <c r="CB325" s="8" t="str">
        <f>Table1[[#This Row],[L4 Code]]&amp;"-"&amp;Table1[[#This Row],[T1 Code]]</f>
        <v>E-02.MAK-03.YKT-111-1000</v>
      </c>
    </row>
    <row r="326" spans="1:80">
      <c r="A326" s="3" t="s">
        <v>5444</v>
      </c>
      <c r="B326" t="s">
        <v>4045</v>
      </c>
      <c r="D326" t="s">
        <v>4967</v>
      </c>
      <c r="F326" s="77" t="s">
        <v>4973</v>
      </c>
      <c r="H326" s="3" t="s">
        <v>4984</v>
      </c>
      <c r="I326" s="3"/>
      <c r="J326" s="78"/>
      <c r="K326" s="78"/>
      <c r="M326" s="78"/>
      <c r="V326" s="8">
        <v>1</v>
      </c>
      <c r="W326" s="8">
        <v>1</v>
      </c>
      <c r="X326" s="10">
        <v>1</v>
      </c>
      <c r="Y326" s="8">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BX326" s="8">
        <v>1</v>
      </c>
      <c r="BY326" s="8" t="str">
        <f>+_xlfn.XLOOKUP(Table1[[#This Row],[L4 Code]],KIRMATAŞ!B:B,KIRMATAŞ!B:B,"")</f>
        <v/>
      </c>
      <c r="BZ326" s="8" t="str">
        <f>+_xlfn.XLOOKUP(Table1[[#This Row],[L4 Code]],'SU TEMİNİ'!C:C,'SU TEMİNİ'!C:C,"")</f>
        <v/>
      </c>
      <c r="CA326" s="8" t="str">
        <f>+_xlfn.XLOOKUP(Table1[[#This Row],[L4 Code]],TAŞ!C:C,TAŞ!C:C,"")</f>
        <v/>
      </c>
      <c r="CB326" s="8" t="str">
        <f>Table1[[#This Row],[L4 Code]]&amp;"-"&amp;Table1[[#This Row],[T1 Code]]</f>
        <v>E-02.MAK-03.YKT-121-1000</v>
      </c>
    </row>
    <row r="327" spans="1:80">
      <c r="A327" s="3" t="s">
        <v>5444</v>
      </c>
      <c r="B327" t="s">
        <v>4047</v>
      </c>
      <c r="D327" t="s">
        <v>4967</v>
      </c>
      <c r="F327" s="77" t="s">
        <v>4973</v>
      </c>
      <c r="H327" s="3" t="s">
        <v>4984</v>
      </c>
      <c r="I327" s="3"/>
      <c r="J327" s="78"/>
      <c r="K327" s="78"/>
      <c r="M327" s="78"/>
      <c r="V327" s="8">
        <v>1</v>
      </c>
      <c r="W327" s="8">
        <v>1</v>
      </c>
      <c r="X327" s="10">
        <v>1</v>
      </c>
      <c r="Y327" s="8">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BX327" s="8">
        <v>1</v>
      </c>
      <c r="BY327" s="8" t="str">
        <f>+_xlfn.XLOOKUP(Table1[[#This Row],[L4 Code]],KIRMATAŞ!B:B,KIRMATAŞ!B:B,"")</f>
        <v/>
      </c>
      <c r="BZ327" s="8" t="str">
        <f>+_xlfn.XLOOKUP(Table1[[#This Row],[L4 Code]],'SU TEMİNİ'!C:C,'SU TEMİNİ'!C:C,"")</f>
        <v/>
      </c>
      <c r="CA327" s="8" t="str">
        <f>+_xlfn.XLOOKUP(Table1[[#This Row],[L4 Code]],TAŞ!C:C,TAŞ!C:C,"")</f>
        <v/>
      </c>
      <c r="CB327" s="8" t="str">
        <f>Table1[[#This Row],[L4 Code]]&amp;"-"&amp;Table1[[#This Row],[T1 Code]]</f>
        <v>E-02.MAK-03.YKT-122-1000</v>
      </c>
    </row>
    <row r="328" spans="1:80">
      <c r="A328" s="3" t="s">
        <v>5444</v>
      </c>
      <c r="B328" t="s">
        <v>4049</v>
      </c>
      <c r="D328" t="s">
        <v>4967</v>
      </c>
      <c r="F328" s="77" t="s">
        <v>4973</v>
      </c>
      <c r="H328" s="3" t="s">
        <v>4984</v>
      </c>
      <c r="I328" s="3"/>
      <c r="J328" s="78"/>
      <c r="K328" s="78"/>
      <c r="M328" s="78"/>
      <c r="V328" s="8">
        <v>1</v>
      </c>
      <c r="W328" s="8">
        <v>1</v>
      </c>
      <c r="X328" s="10">
        <v>1</v>
      </c>
      <c r="Y328" s="8">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BX328" s="8">
        <v>1</v>
      </c>
      <c r="BY328" s="8" t="str">
        <f>+_xlfn.XLOOKUP(Table1[[#This Row],[L4 Code]],KIRMATAŞ!B:B,KIRMATAŞ!B:B,"")</f>
        <v/>
      </c>
      <c r="BZ328" s="8" t="str">
        <f>+_xlfn.XLOOKUP(Table1[[#This Row],[L4 Code]],'SU TEMİNİ'!C:C,'SU TEMİNİ'!C:C,"")</f>
        <v/>
      </c>
      <c r="CA328" s="8" t="str">
        <f>+_xlfn.XLOOKUP(Table1[[#This Row],[L4 Code]],TAŞ!C:C,TAŞ!C:C,"")</f>
        <v/>
      </c>
      <c r="CB328" s="8" t="str">
        <f>Table1[[#This Row],[L4 Code]]&amp;"-"&amp;Table1[[#This Row],[T1 Code]]</f>
        <v>E-02.MAK-03.YKT-123-1000</v>
      </c>
    </row>
    <row r="329" spans="1:80">
      <c r="A329" s="3" t="s">
        <v>5444</v>
      </c>
      <c r="B329" t="s">
        <v>5207</v>
      </c>
      <c r="D329" t="s">
        <v>4967</v>
      </c>
      <c r="F329" s="77" t="s">
        <v>4973</v>
      </c>
      <c r="H329" s="3" t="s">
        <v>4984</v>
      </c>
      <c r="I329" s="3"/>
      <c r="J329" s="78"/>
      <c r="K329" s="78"/>
      <c r="M329" s="78"/>
      <c r="V329" s="8">
        <v>1</v>
      </c>
      <c r="W329" s="8">
        <v>1</v>
      </c>
      <c r="X329" s="10">
        <v>1</v>
      </c>
      <c r="Y329" s="8">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BX329" s="8">
        <v>1</v>
      </c>
      <c r="BY329" s="8" t="str">
        <f>+_xlfn.XLOOKUP(Table1[[#This Row],[L4 Code]],KIRMATAŞ!B:B,KIRMATAŞ!B:B,"")</f>
        <v/>
      </c>
      <c r="BZ329" s="8" t="str">
        <f>+_xlfn.XLOOKUP(Table1[[#This Row],[L4 Code]],'SU TEMİNİ'!C:C,'SU TEMİNİ'!C:C,"")</f>
        <v/>
      </c>
      <c r="CA329" s="8" t="str">
        <f>+_xlfn.XLOOKUP(Table1[[#This Row],[L4 Code]],TAŞ!C:C,TAŞ!C:C,"")</f>
        <v/>
      </c>
      <c r="CB329" s="8" t="str">
        <f>Table1[[#This Row],[L4 Code]]&amp;"-"&amp;Table1[[#This Row],[T1 Code]]</f>
        <v>E-02.MAK-03.YKT-125-1000</v>
      </c>
    </row>
    <row r="330" spans="1:80">
      <c r="A330" s="3" t="s">
        <v>5444</v>
      </c>
      <c r="B330" t="s">
        <v>4051</v>
      </c>
      <c r="D330" t="s">
        <v>4967</v>
      </c>
      <c r="F330" s="77" t="s">
        <v>4973</v>
      </c>
      <c r="H330" s="3" t="s">
        <v>4984</v>
      </c>
      <c r="I330" s="3"/>
      <c r="J330" s="78"/>
      <c r="K330" s="78"/>
      <c r="M330" s="78"/>
      <c r="V330" s="8">
        <v>1</v>
      </c>
      <c r="W330" s="8">
        <v>1</v>
      </c>
      <c r="X330" s="10">
        <v>1</v>
      </c>
      <c r="Y330" s="8">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BX330" s="8">
        <v>1</v>
      </c>
      <c r="BY330" s="8" t="str">
        <f>+_xlfn.XLOOKUP(Table1[[#This Row],[L4 Code]],KIRMATAŞ!B:B,KIRMATAŞ!B:B,"")</f>
        <v/>
      </c>
      <c r="BZ330" s="8" t="str">
        <f>+_xlfn.XLOOKUP(Table1[[#This Row],[L4 Code]],'SU TEMİNİ'!C:C,'SU TEMİNİ'!C:C,"")</f>
        <v/>
      </c>
      <c r="CA330" s="8" t="str">
        <f>+_xlfn.XLOOKUP(Table1[[#This Row],[L4 Code]],TAŞ!C:C,TAŞ!C:C,"")</f>
        <v/>
      </c>
      <c r="CB330" s="8" t="str">
        <f>Table1[[#This Row],[L4 Code]]&amp;"-"&amp;Table1[[#This Row],[T1 Code]]</f>
        <v>E-02.MAK-03.YKT-140-1000</v>
      </c>
    </row>
    <row r="331" spans="1:80">
      <c r="A331" s="3" t="s">
        <v>5444</v>
      </c>
      <c r="B331" t="s">
        <v>4053</v>
      </c>
      <c r="D331" t="s">
        <v>4967</v>
      </c>
      <c r="F331" s="77" t="s">
        <v>4973</v>
      </c>
      <c r="H331" s="3" t="s">
        <v>4984</v>
      </c>
      <c r="I331" s="3"/>
      <c r="J331" s="78"/>
      <c r="K331" s="78"/>
      <c r="M331" s="78"/>
      <c r="V331" s="8">
        <v>1</v>
      </c>
      <c r="W331" s="8">
        <v>1</v>
      </c>
      <c r="X331" s="10">
        <v>1</v>
      </c>
      <c r="Y331" s="8">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BX331" s="8">
        <v>1</v>
      </c>
      <c r="BY331" s="8" t="str">
        <f>+_xlfn.XLOOKUP(Table1[[#This Row],[L4 Code]],KIRMATAŞ!B:B,KIRMATAŞ!B:B,"")</f>
        <v/>
      </c>
      <c r="BZ331" s="8" t="str">
        <f>+_xlfn.XLOOKUP(Table1[[#This Row],[L4 Code]],'SU TEMİNİ'!C:C,'SU TEMİNİ'!C:C,"")</f>
        <v/>
      </c>
      <c r="CA331" s="8" t="str">
        <f>+_xlfn.XLOOKUP(Table1[[#This Row],[L4 Code]],TAŞ!C:C,TAŞ!C:C,"")</f>
        <v/>
      </c>
      <c r="CB331" s="8" t="str">
        <f>Table1[[#This Row],[L4 Code]]&amp;"-"&amp;Table1[[#This Row],[T1 Code]]</f>
        <v>E-02.MAK-03.YKT-150-1000</v>
      </c>
    </row>
    <row r="332" spans="1:80">
      <c r="A332" s="3" t="s">
        <v>5444</v>
      </c>
      <c r="B332" t="s">
        <v>4057</v>
      </c>
      <c r="D332" t="s">
        <v>4967</v>
      </c>
      <c r="F332" s="77" t="s">
        <v>4973</v>
      </c>
      <c r="H332" s="3" t="s">
        <v>4984</v>
      </c>
      <c r="I332" s="3"/>
      <c r="J332" s="78"/>
      <c r="K332" s="78"/>
      <c r="M332" s="78"/>
      <c r="V332" s="8">
        <v>1</v>
      </c>
      <c r="W332" s="8">
        <v>1</v>
      </c>
      <c r="X332" s="10">
        <v>1</v>
      </c>
      <c r="Y332" s="8">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BX332" s="8">
        <v>1</v>
      </c>
      <c r="BY332" s="8" t="str">
        <f>+_xlfn.XLOOKUP(Table1[[#This Row],[L4 Code]],KIRMATAŞ!B:B,KIRMATAŞ!B:B,"")</f>
        <v/>
      </c>
      <c r="BZ332" s="8" t="str">
        <f>+_xlfn.XLOOKUP(Table1[[#This Row],[L4 Code]],'SU TEMİNİ'!C:C,'SU TEMİNİ'!C:C,"")</f>
        <v/>
      </c>
      <c r="CA332" s="8" t="str">
        <f>+_xlfn.XLOOKUP(Table1[[#This Row],[L4 Code]],TAŞ!C:C,TAŞ!C:C,"")</f>
        <v/>
      </c>
      <c r="CB332" s="8" t="str">
        <f>Table1[[#This Row],[L4 Code]]&amp;"-"&amp;Table1[[#This Row],[T1 Code]]</f>
        <v>E-02.MAK-03.YKT-510-1000</v>
      </c>
    </row>
    <row r="333" spans="1:80">
      <c r="A333" s="3" t="s">
        <v>5444</v>
      </c>
      <c r="B333" t="s">
        <v>4059</v>
      </c>
      <c r="D333" t="s">
        <v>4967</v>
      </c>
      <c r="F333" s="77" t="s">
        <v>4973</v>
      </c>
      <c r="H333" s="3" t="s">
        <v>4984</v>
      </c>
      <c r="I333" s="3"/>
      <c r="J333" s="78"/>
      <c r="K333" s="78"/>
      <c r="M333" s="78"/>
      <c r="V333" s="8">
        <v>1</v>
      </c>
      <c r="W333" s="8">
        <v>1</v>
      </c>
      <c r="X333" s="10">
        <v>1</v>
      </c>
      <c r="Y333" s="8">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BX333" s="8">
        <v>1</v>
      </c>
      <c r="BY333" s="8" t="str">
        <f>+_xlfn.XLOOKUP(Table1[[#This Row],[L4 Code]],KIRMATAŞ!B:B,KIRMATAŞ!B:B,"")</f>
        <v/>
      </c>
      <c r="BZ333" s="8" t="str">
        <f>+_xlfn.XLOOKUP(Table1[[#This Row],[L4 Code]],'SU TEMİNİ'!C:C,'SU TEMİNİ'!C:C,"")</f>
        <v/>
      </c>
      <c r="CA333" s="8" t="str">
        <f>+_xlfn.XLOOKUP(Table1[[#This Row],[L4 Code]],TAŞ!C:C,TAŞ!C:C,"")</f>
        <v/>
      </c>
      <c r="CB333" s="8" t="str">
        <f>Table1[[#This Row],[L4 Code]]&amp;"-"&amp;Table1[[#This Row],[T1 Code]]</f>
        <v>E-02.MAK-03.YKT-511-1000</v>
      </c>
    </row>
    <row r="334" spans="1:80">
      <c r="A334" s="3" t="s">
        <v>5444</v>
      </c>
      <c r="B334" t="s">
        <v>4061</v>
      </c>
      <c r="D334" t="s">
        <v>4967</v>
      </c>
      <c r="F334" s="77" t="s">
        <v>4973</v>
      </c>
      <c r="H334" s="3" t="s">
        <v>4984</v>
      </c>
      <c r="I334" s="3"/>
      <c r="J334" s="78"/>
      <c r="K334" s="78"/>
      <c r="M334" s="78"/>
      <c r="V334" s="8">
        <v>1</v>
      </c>
      <c r="W334" s="8">
        <v>1</v>
      </c>
      <c r="X334" s="10">
        <v>1</v>
      </c>
      <c r="Y334" s="8">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BX334" s="8">
        <v>1</v>
      </c>
      <c r="BY334" s="8" t="str">
        <f>+_xlfn.XLOOKUP(Table1[[#This Row],[L4 Code]],KIRMATAŞ!B:B,KIRMATAŞ!B:B,"")</f>
        <v/>
      </c>
      <c r="BZ334" s="8" t="str">
        <f>+_xlfn.XLOOKUP(Table1[[#This Row],[L4 Code]],'SU TEMİNİ'!C:C,'SU TEMİNİ'!C:C,"")</f>
        <v/>
      </c>
      <c r="CA334" s="8" t="str">
        <f>+_xlfn.XLOOKUP(Table1[[#This Row],[L4 Code]],TAŞ!C:C,TAŞ!C:C,"")</f>
        <v/>
      </c>
      <c r="CB334" s="8" t="str">
        <f>Table1[[#This Row],[L4 Code]]&amp;"-"&amp;Table1[[#This Row],[T1 Code]]</f>
        <v>E-02.MAK-03.YKT-512-1000</v>
      </c>
    </row>
    <row r="335" spans="1:80">
      <c r="A335" s="3" t="s">
        <v>5444</v>
      </c>
      <c r="B335" t="s">
        <v>4063</v>
      </c>
      <c r="D335" t="s">
        <v>4967</v>
      </c>
      <c r="F335" s="77" t="s">
        <v>4973</v>
      </c>
      <c r="H335" s="3" t="s">
        <v>4984</v>
      </c>
      <c r="I335" s="3"/>
      <c r="J335" s="78"/>
      <c r="K335" s="78"/>
      <c r="M335" s="78"/>
      <c r="V335" s="8">
        <v>1</v>
      </c>
      <c r="W335" s="8">
        <v>1</v>
      </c>
      <c r="X335" s="10">
        <v>1</v>
      </c>
      <c r="Y335" s="8">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BX335" s="8">
        <v>1</v>
      </c>
      <c r="BY335" s="8" t="str">
        <f>+_xlfn.XLOOKUP(Table1[[#This Row],[L4 Code]],KIRMATAŞ!B:B,KIRMATAŞ!B:B,"")</f>
        <v/>
      </c>
      <c r="BZ335" s="8" t="str">
        <f>+_xlfn.XLOOKUP(Table1[[#This Row],[L4 Code]],'SU TEMİNİ'!C:C,'SU TEMİNİ'!C:C,"")</f>
        <v/>
      </c>
      <c r="CA335" s="8" t="str">
        <f>+_xlfn.XLOOKUP(Table1[[#This Row],[L4 Code]],TAŞ!C:C,TAŞ!C:C,"")</f>
        <v/>
      </c>
      <c r="CB335" s="8" t="str">
        <f>Table1[[#This Row],[L4 Code]]&amp;"-"&amp;Table1[[#This Row],[T1 Code]]</f>
        <v>E-02.MAK-03.YKT-520-1000</v>
      </c>
    </row>
    <row r="336" spans="1:80">
      <c r="A336" s="3" t="s">
        <v>5444</v>
      </c>
      <c r="B336" t="s">
        <v>4065</v>
      </c>
      <c r="D336" t="s">
        <v>4967</v>
      </c>
      <c r="F336" s="77" t="s">
        <v>4973</v>
      </c>
      <c r="H336" s="3" t="s">
        <v>4984</v>
      </c>
      <c r="I336" s="3"/>
      <c r="J336" s="78"/>
      <c r="K336" s="78"/>
      <c r="M336" s="78"/>
      <c r="V336" s="8">
        <v>1</v>
      </c>
      <c r="W336" s="8">
        <v>1</v>
      </c>
      <c r="X336" s="10">
        <v>1</v>
      </c>
      <c r="Y336" s="8">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BX336" s="8">
        <v>1</v>
      </c>
      <c r="BY336" s="8" t="str">
        <f>+_xlfn.XLOOKUP(Table1[[#This Row],[L4 Code]],KIRMATAŞ!B:B,KIRMATAŞ!B:B,"")</f>
        <v/>
      </c>
      <c r="BZ336" s="8" t="str">
        <f>+_xlfn.XLOOKUP(Table1[[#This Row],[L4 Code]],'SU TEMİNİ'!C:C,'SU TEMİNİ'!C:C,"")</f>
        <v/>
      </c>
      <c r="CA336" s="8" t="str">
        <f>+_xlfn.XLOOKUP(Table1[[#This Row],[L4 Code]],TAŞ!C:C,TAŞ!C:C,"")</f>
        <v/>
      </c>
      <c r="CB336" s="8" t="str">
        <f>Table1[[#This Row],[L4 Code]]&amp;"-"&amp;Table1[[#This Row],[T1 Code]]</f>
        <v>E-02.MAK-03.YKT-530-1000</v>
      </c>
    </row>
    <row r="337" spans="1:80">
      <c r="A337" s="3" t="s">
        <v>5444</v>
      </c>
      <c r="B337" t="s">
        <v>4067</v>
      </c>
      <c r="D337" t="s">
        <v>4967</v>
      </c>
      <c r="F337" s="77" t="s">
        <v>4973</v>
      </c>
      <c r="H337" s="3" t="s">
        <v>4984</v>
      </c>
      <c r="I337" s="3"/>
      <c r="J337" s="78"/>
      <c r="K337" s="78"/>
      <c r="M337" s="78"/>
      <c r="V337" s="8">
        <v>1</v>
      </c>
      <c r="W337" s="8">
        <v>1</v>
      </c>
      <c r="X337" s="10">
        <v>1</v>
      </c>
      <c r="Y337" s="8">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BX337" s="8">
        <v>1</v>
      </c>
      <c r="BY337" s="8" t="str">
        <f>+_xlfn.XLOOKUP(Table1[[#This Row],[L4 Code]],KIRMATAŞ!B:B,KIRMATAŞ!B:B,"")</f>
        <v/>
      </c>
      <c r="BZ337" s="8" t="str">
        <f>+_xlfn.XLOOKUP(Table1[[#This Row],[L4 Code]],'SU TEMİNİ'!C:C,'SU TEMİNİ'!C:C,"")</f>
        <v/>
      </c>
      <c r="CA337" s="8" t="str">
        <f>+_xlfn.XLOOKUP(Table1[[#This Row],[L4 Code]],TAŞ!C:C,TAŞ!C:C,"")</f>
        <v/>
      </c>
      <c r="CB337" s="8" t="str">
        <f>Table1[[#This Row],[L4 Code]]&amp;"-"&amp;Table1[[#This Row],[T1 Code]]</f>
        <v>E-02.MAK-03.YKT-531-1000</v>
      </c>
    </row>
    <row r="338" spans="1:80">
      <c r="A338" s="3" t="s">
        <v>5444</v>
      </c>
      <c r="B338" t="s">
        <v>4069</v>
      </c>
      <c r="D338" t="s">
        <v>4967</v>
      </c>
      <c r="F338" s="77" t="s">
        <v>4973</v>
      </c>
      <c r="H338" s="3" t="s">
        <v>4984</v>
      </c>
      <c r="I338" s="3"/>
      <c r="J338" s="78"/>
      <c r="K338" s="78"/>
      <c r="M338" s="78"/>
      <c r="V338" s="8">
        <v>1</v>
      </c>
      <c r="W338" s="8">
        <v>1</v>
      </c>
      <c r="X338" s="10">
        <v>1</v>
      </c>
      <c r="Y338" s="8">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BX338" s="8">
        <v>1</v>
      </c>
      <c r="BY338" s="8" t="str">
        <f>+_xlfn.XLOOKUP(Table1[[#This Row],[L4 Code]],KIRMATAŞ!B:B,KIRMATAŞ!B:B,"")</f>
        <v/>
      </c>
      <c r="BZ338" s="8" t="str">
        <f>+_xlfn.XLOOKUP(Table1[[#This Row],[L4 Code]],'SU TEMİNİ'!C:C,'SU TEMİNİ'!C:C,"")</f>
        <v/>
      </c>
      <c r="CA338" s="8" t="str">
        <f>+_xlfn.XLOOKUP(Table1[[#This Row],[L4 Code]],TAŞ!C:C,TAŞ!C:C,"")</f>
        <v/>
      </c>
      <c r="CB338" s="8" t="str">
        <f>Table1[[#This Row],[L4 Code]]&amp;"-"&amp;Table1[[#This Row],[T1 Code]]</f>
        <v>E-02.MAK-03.YKT-532-1000</v>
      </c>
    </row>
    <row r="339" spans="1:80">
      <c r="A339" s="3" t="s">
        <v>5444</v>
      </c>
      <c r="B339" t="s">
        <v>4071</v>
      </c>
      <c r="D339" t="s">
        <v>4967</v>
      </c>
      <c r="F339" s="77" t="s">
        <v>4973</v>
      </c>
      <c r="H339" s="3" t="s">
        <v>4984</v>
      </c>
      <c r="I339" s="3"/>
      <c r="J339" s="78"/>
      <c r="K339" s="78"/>
      <c r="M339" s="78"/>
      <c r="V339" s="8">
        <v>1</v>
      </c>
      <c r="W339" s="8">
        <v>1</v>
      </c>
      <c r="X339" s="10">
        <v>1</v>
      </c>
      <c r="Y339" s="8">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BX339" s="8">
        <v>1</v>
      </c>
      <c r="BY339" s="8" t="str">
        <f>+_xlfn.XLOOKUP(Table1[[#This Row],[L4 Code]],KIRMATAŞ!B:B,KIRMATAŞ!B:B,"")</f>
        <v/>
      </c>
      <c r="BZ339" s="8" t="str">
        <f>+_xlfn.XLOOKUP(Table1[[#This Row],[L4 Code]],'SU TEMİNİ'!C:C,'SU TEMİNİ'!C:C,"")</f>
        <v/>
      </c>
      <c r="CA339" s="8" t="str">
        <f>+_xlfn.XLOOKUP(Table1[[#This Row],[L4 Code]],TAŞ!C:C,TAŞ!C:C,"")</f>
        <v/>
      </c>
      <c r="CB339" s="8" t="str">
        <f>Table1[[#This Row],[L4 Code]]&amp;"-"&amp;Table1[[#This Row],[T1 Code]]</f>
        <v>E-02.MAK-03.YKT-540-1000</v>
      </c>
    </row>
    <row r="340" spans="1:80">
      <c r="A340" s="3" t="s">
        <v>5444</v>
      </c>
      <c r="B340" t="s">
        <v>4073</v>
      </c>
      <c r="D340" t="s">
        <v>4967</v>
      </c>
      <c r="F340" s="77" t="s">
        <v>4973</v>
      </c>
      <c r="H340" s="3" t="s">
        <v>4984</v>
      </c>
      <c r="I340" s="3"/>
      <c r="J340" s="78"/>
      <c r="K340" s="78"/>
      <c r="M340" s="78"/>
      <c r="V340" s="8">
        <v>1</v>
      </c>
      <c r="W340" s="8">
        <v>1</v>
      </c>
      <c r="X340" s="10">
        <v>1</v>
      </c>
      <c r="Y340" s="8">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BX340" s="8">
        <v>1</v>
      </c>
      <c r="BY340" s="8" t="str">
        <f>+_xlfn.XLOOKUP(Table1[[#This Row],[L4 Code]],KIRMATAŞ!B:B,KIRMATAŞ!B:B,"")</f>
        <v/>
      </c>
      <c r="BZ340" s="8" t="str">
        <f>+_xlfn.XLOOKUP(Table1[[#This Row],[L4 Code]],'SU TEMİNİ'!C:C,'SU TEMİNİ'!C:C,"")</f>
        <v/>
      </c>
      <c r="CA340" s="8" t="str">
        <f>+_xlfn.XLOOKUP(Table1[[#This Row],[L4 Code]],TAŞ!C:C,TAŞ!C:C,"")</f>
        <v/>
      </c>
      <c r="CB340" s="8" t="str">
        <f>Table1[[#This Row],[L4 Code]]&amp;"-"&amp;Table1[[#This Row],[T1 Code]]</f>
        <v>E-02.MAK-03.YKT-551-1000</v>
      </c>
    </row>
    <row r="341" spans="1:80">
      <c r="A341" s="3" t="s">
        <v>5444</v>
      </c>
      <c r="B341" t="s">
        <v>4075</v>
      </c>
      <c r="D341" t="s">
        <v>4967</v>
      </c>
      <c r="F341" s="77" t="s">
        <v>4973</v>
      </c>
      <c r="H341" s="3" t="s">
        <v>4984</v>
      </c>
      <c r="I341" s="3"/>
      <c r="J341" s="78"/>
      <c r="K341" s="78"/>
      <c r="M341" s="78"/>
      <c r="V341" s="8">
        <v>1</v>
      </c>
      <c r="W341" s="8">
        <v>1</v>
      </c>
      <c r="X341" s="10">
        <v>1</v>
      </c>
      <c r="Y341" s="8">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BX341" s="8">
        <v>1</v>
      </c>
      <c r="BY341" s="8" t="str">
        <f>+_xlfn.XLOOKUP(Table1[[#This Row],[L4 Code]],KIRMATAŞ!B:B,KIRMATAŞ!B:B,"")</f>
        <v/>
      </c>
      <c r="BZ341" s="8" t="str">
        <f>+_xlfn.XLOOKUP(Table1[[#This Row],[L4 Code]],'SU TEMİNİ'!C:C,'SU TEMİNİ'!C:C,"")</f>
        <v/>
      </c>
      <c r="CA341" s="8" t="str">
        <f>+_xlfn.XLOOKUP(Table1[[#This Row],[L4 Code]],TAŞ!C:C,TAŞ!C:C,"")</f>
        <v/>
      </c>
      <c r="CB341" s="8" t="str">
        <f>Table1[[#This Row],[L4 Code]]&amp;"-"&amp;Table1[[#This Row],[T1 Code]]</f>
        <v>E-02.MAK-03.YKT-552-1000</v>
      </c>
    </row>
    <row r="342" spans="1:80">
      <c r="A342" s="3" t="s">
        <v>5444</v>
      </c>
      <c r="B342" t="s">
        <v>4082</v>
      </c>
      <c r="D342" t="s">
        <v>4967</v>
      </c>
      <c r="F342" s="77" t="s">
        <v>4973</v>
      </c>
      <c r="H342" s="3" t="s">
        <v>4984</v>
      </c>
      <c r="I342" s="3"/>
      <c r="J342" s="78"/>
      <c r="K342" s="78"/>
      <c r="M342" s="78"/>
      <c r="V342" s="8">
        <v>1</v>
      </c>
      <c r="W342" s="8">
        <v>1</v>
      </c>
      <c r="X342" s="10">
        <v>1</v>
      </c>
      <c r="Y342" s="8">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BX342" s="8">
        <v>1</v>
      </c>
      <c r="BY342" s="8" t="str">
        <f>+_xlfn.XLOOKUP(Table1[[#This Row],[L4 Code]],KIRMATAŞ!B:B,KIRMATAŞ!B:B,"")</f>
        <v/>
      </c>
      <c r="BZ342" s="8" t="str">
        <f>+_xlfn.XLOOKUP(Table1[[#This Row],[L4 Code]],'SU TEMİNİ'!C:C,'SU TEMİNİ'!C:C,"")</f>
        <v/>
      </c>
      <c r="CA342" s="8" t="str">
        <f>+_xlfn.XLOOKUP(Table1[[#This Row],[L4 Code]],TAŞ!C:C,TAŞ!C:C,"")</f>
        <v/>
      </c>
      <c r="CB342" s="8" t="str">
        <f>Table1[[#This Row],[L4 Code]]&amp;"-"&amp;Table1[[#This Row],[T1 Code]]</f>
        <v>E-02.MAK-04.BKM-030-1000</v>
      </c>
    </row>
    <row r="343" spans="1:80">
      <c r="A343" s="3" t="s">
        <v>5444</v>
      </c>
      <c r="B343" t="s">
        <v>4085</v>
      </c>
      <c r="D343" t="s">
        <v>4967</v>
      </c>
      <c r="F343" s="77" t="s">
        <v>4973</v>
      </c>
      <c r="H343" s="3" t="s">
        <v>4984</v>
      </c>
      <c r="I343" s="3"/>
      <c r="J343" s="78"/>
      <c r="K343" s="78"/>
      <c r="M343" s="78"/>
      <c r="V343" s="8">
        <v>1</v>
      </c>
      <c r="W343" s="8">
        <v>1</v>
      </c>
      <c r="X343" s="10">
        <v>1</v>
      </c>
      <c r="Y343" s="8">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BX343" s="8">
        <v>1</v>
      </c>
      <c r="BY343" s="8" t="str">
        <f>+_xlfn.XLOOKUP(Table1[[#This Row],[L4 Code]],KIRMATAŞ!B:B,KIRMATAŞ!B:B,"")</f>
        <v/>
      </c>
      <c r="BZ343" s="8" t="str">
        <f>+_xlfn.XLOOKUP(Table1[[#This Row],[L4 Code]],'SU TEMİNİ'!C:C,'SU TEMİNİ'!C:C,"")</f>
        <v/>
      </c>
      <c r="CA343" s="8" t="str">
        <f>+_xlfn.XLOOKUP(Table1[[#This Row],[L4 Code]],TAŞ!C:C,TAŞ!C:C,"")</f>
        <v/>
      </c>
      <c r="CB343" s="8" t="str">
        <f>Table1[[#This Row],[L4 Code]]&amp;"-"&amp;Table1[[#This Row],[T1 Code]]</f>
        <v>E-02.MAK-04.BKM-050-1000</v>
      </c>
    </row>
    <row r="344" spans="1:80">
      <c r="A344" s="3" t="s">
        <v>5444</v>
      </c>
      <c r="B344" t="s">
        <v>4087</v>
      </c>
      <c r="D344" t="s">
        <v>4967</v>
      </c>
      <c r="F344" s="77" t="s">
        <v>4973</v>
      </c>
      <c r="H344" s="3" t="s">
        <v>4984</v>
      </c>
      <c r="I344" s="3"/>
      <c r="J344" s="78"/>
      <c r="K344" s="78"/>
      <c r="M344" s="78"/>
      <c r="V344" s="8">
        <v>1</v>
      </c>
      <c r="W344" s="8">
        <v>1</v>
      </c>
      <c r="X344" s="10">
        <v>1</v>
      </c>
      <c r="Y344" s="8">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BX344" s="8">
        <v>1</v>
      </c>
      <c r="BY344" s="8" t="str">
        <f>+_xlfn.XLOOKUP(Table1[[#This Row],[L4 Code]],KIRMATAŞ!B:B,KIRMATAŞ!B:B,"")</f>
        <v/>
      </c>
      <c r="BZ344" s="8" t="str">
        <f>+_xlfn.XLOOKUP(Table1[[#This Row],[L4 Code]],'SU TEMİNİ'!C:C,'SU TEMİNİ'!C:C,"")</f>
        <v/>
      </c>
      <c r="CA344" s="8" t="str">
        <f>+_xlfn.XLOOKUP(Table1[[#This Row],[L4 Code]],TAŞ!C:C,TAŞ!C:C,"")</f>
        <v/>
      </c>
      <c r="CB344" s="8" t="str">
        <f>Table1[[#This Row],[L4 Code]]&amp;"-"&amp;Table1[[#This Row],[T1 Code]]</f>
        <v>E-02.MAK-04.BKM-061-1000</v>
      </c>
    </row>
    <row r="345" spans="1:80">
      <c r="A345" s="3" t="s">
        <v>5444</v>
      </c>
      <c r="B345" t="s">
        <v>4089</v>
      </c>
      <c r="D345" t="s">
        <v>4967</v>
      </c>
      <c r="F345" s="77" t="s">
        <v>4973</v>
      </c>
      <c r="H345" s="3" t="s">
        <v>4984</v>
      </c>
      <c r="I345" s="3"/>
      <c r="J345" s="78"/>
      <c r="K345" s="78"/>
      <c r="M345" s="78"/>
      <c r="V345" s="8">
        <v>1</v>
      </c>
      <c r="W345" s="8">
        <v>1</v>
      </c>
      <c r="X345" s="10">
        <v>1</v>
      </c>
      <c r="Y345" s="8">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BX345" s="8">
        <v>1</v>
      </c>
      <c r="BY345" s="8" t="str">
        <f>+_xlfn.XLOOKUP(Table1[[#This Row],[L4 Code]],KIRMATAŞ!B:B,KIRMATAŞ!B:B,"")</f>
        <v/>
      </c>
      <c r="BZ345" s="8" t="str">
        <f>+_xlfn.XLOOKUP(Table1[[#This Row],[L4 Code]],'SU TEMİNİ'!C:C,'SU TEMİNİ'!C:C,"")</f>
        <v/>
      </c>
      <c r="CA345" s="8" t="str">
        <f>+_xlfn.XLOOKUP(Table1[[#This Row],[L4 Code]],TAŞ!C:C,TAŞ!C:C,"")</f>
        <v/>
      </c>
      <c r="CB345" s="8" t="str">
        <f>Table1[[#This Row],[L4 Code]]&amp;"-"&amp;Table1[[#This Row],[T1 Code]]</f>
        <v>E-02.MAK-04.BKM-062-1000</v>
      </c>
    </row>
    <row r="346" spans="1:80">
      <c r="A346" s="3" t="s">
        <v>5444</v>
      </c>
      <c r="B346" t="s">
        <v>4091</v>
      </c>
      <c r="D346" t="s">
        <v>4967</v>
      </c>
      <c r="F346" s="77" t="s">
        <v>4973</v>
      </c>
      <c r="H346" s="3" t="s">
        <v>4984</v>
      </c>
      <c r="I346" s="3"/>
      <c r="J346" s="78"/>
      <c r="K346" s="78"/>
      <c r="M346" s="78"/>
      <c r="V346" s="8">
        <v>1</v>
      </c>
      <c r="W346" s="8">
        <v>1</v>
      </c>
      <c r="X346" s="10">
        <v>1</v>
      </c>
      <c r="Y346" s="8">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BX346" s="8">
        <v>1</v>
      </c>
      <c r="BY346" s="8" t="str">
        <f>+_xlfn.XLOOKUP(Table1[[#This Row],[L4 Code]],KIRMATAŞ!B:B,KIRMATAŞ!B:B,"")</f>
        <v/>
      </c>
      <c r="BZ346" s="8" t="str">
        <f>+_xlfn.XLOOKUP(Table1[[#This Row],[L4 Code]],'SU TEMİNİ'!C:C,'SU TEMİNİ'!C:C,"")</f>
        <v/>
      </c>
      <c r="CA346" s="8" t="str">
        <f>+_xlfn.XLOOKUP(Table1[[#This Row],[L4 Code]],TAŞ!C:C,TAŞ!C:C,"")</f>
        <v/>
      </c>
      <c r="CB346" s="8" t="str">
        <f>Table1[[#This Row],[L4 Code]]&amp;"-"&amp;Table1[[#This Row],[T1 Code]]</f>
        <v>E-02.MAK-04.BKM-063-1000</v>
      </c>
    </row>
    <row r="347" spans="1:80">
      <c r="A347" s="3" t="s">
        <v>5444</v>
      </c>
      <c r="B347" t="s">
        <v>4093</v>
      </c>
      <c r="D347" t="s">
        <v>4967</v>
      </c>
      <c r="F347" s="77" t="s">
        <v>4973</v>
      </c>
      <c r="H347" s="3" t="s">
        <v>4984</v>
      </c>
      <c r="I347" s="3"/>
      <c r="J347" s="78"/>
      <c r="K347" s="78"/>
      <c r="M347" s="78"/>
      <c r="V347" s="8">
        <v>1</v>
      </c>
      <c r="W347" s="8">
        <v>1</v>
      </c>
      <c r="X347" s="10">
        <v>1</v>
      </c>
      <c r="Y347" s="8">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BX347" s="8">
        <v>1</v>
      </c>
      <c r="BY347" s="8" t="str">
        <f>+_xlfn.XLOOKUP(Table1[[#This Row],[L4 Code]],KIRMATAŞ!B:B,KIRMATAŞ!B:B,"")</f>
        <v/>
      </c>
      <c r="BZ347" s="8" t="str">
        <f>+_xlfn.XLOOKUP(Table1[[#This Row],[L4 Code]],'SU TEMİNİ'!C:C,'SU TEMİNİ'!C:C,"")</f>
        <v/>
      </c>
      <c r="CA347" s="8" t="str">
        <f>+_xlfn.XLOOKUP(Table1[[#This Row],[L4 Code]],TAŞ!C:C,TAŞ!C:C,"")</f>
        <v/>
      </c>
      <c r="CB347" s="8" t="str">
        <f>Table1[[#This Row],[L4 Code]]&amp;"-"&amp;Table1[[#This Row],[T1 Code]]</f>
        <v>E-02.MAK-04.BKM-064-1000</v>
      </c>
    </row>
    <row r="348" spans="1:80">
      <c r="A348" s="3" t="s">
        <v>5444</v>
      </c>
      <c r="B348" t="s">
        <v>4095</v>
      </c>
      <c r="D348" t="s">
        <v>4967</v>
      </c>
      <c r="F348" s="77" t="s">
        <v>4973</v>
      </c>
      <c r="H348" s="3" t="s">
        <v>4984</v>
      </c>
      <c r="I348" s="3"/>
      <c r="J348" s="78"/>
      <c r="K348" s="78"/>
      <c r="M348" s="78"/>
      <c r="V348" s="8">
        <v>1</v>
      </c>
      <c r="W348" s="8">
        <v>1</v>
      </c>
      <c r="X348" s="10">
        <v>1</v>
      </c>
      <c r="Y348" s="8">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BX348" s="8">
        <v>1</v>
      </c>
      <c r="BY348" s="8" t="str">
        <f>+_xlfn.XLOOKUP(Table1[[#This Row],[L4 Code]],KIRMATAŞ!B:B,KIRMATAŞ!B:B,"")</f>
        <v/>
      </c>
      <c r="BZ348" s="8" t="str">
        <f>+_xlfn.XLOOKUP(Table1[[#This Row],[L4 Code]],'SU TEMİNİ'!C:C,'SU TEMİNİ'!C:C,"")</f>
        <v/>
      </c>
      <c r="CA348" s="8" t="str">
        <f>+_xlfn.XLOOKUP(Table1[[#This Row],[L4 Code]],TAŞ!C:C,TAŞ!C:C,"")</f>
        <v/>
      </c>
      <c r="CB348" s="8" t="str">
        <f>Table1[[#This Row],[L4 Code]]&amp;"-"&amp;Table1[[#This Row],[T1 Code]]</f>
        <v>E-02.MAK-04.BKM-065-1000</v>
      </c>
    </row>
    <row r="349" spans="1:80">
      <c r="A349" s="3" t="s">
        <v>5444</v>
      </c>
      <c r="B349" t="s">
        <v>4097</v>
      </c>
      <c r="D349" t="s">
        <v>4967</v>
      </c>
      <c r="F349" s="77" t="s">
        <v>4973</v>
      </c>
      <c r="H349" s="3" t="s">
        <v>4984</v>
      </c>
      <c r="I349" s="3"/>
      <c r="J349" s="78"/>
      <c r="K349" s="78"/>
      <c r="M349" s="78"/>
      <c r="V349" s="8">
        <v>1</v>
      </c>
      <c r="W349" s="8">
        <v>1</v>
      </c>
      <c r="X349" s="10">
        <v>1</v>
      </c>
      <c r="Y349" s="8">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BX349" s="8">
        <v>1</v>
      </c>
      <c r="BY349" s="8" t="str">
        <f>+_xlfn.XLOOKUP(Table1[[#This Row],[L4 Code]],KIRMATAŞ!B:B,KIRMATAŞ!B:B,"")</f>
        <v/>
      </c>
      <c r="BZ349" s="8" t="str">
        <f>+_xlfn.XLOOKUP(Table1[[#This Row],[L4 Code]],'SU TEMİNİ'!C:C,'SU TEMİNİ'!C:C,"")</f>
        <v/>
      </c>
      <c r="CA349" s="8" t="str">
        <f>+_xlfn.XLOOKUP(Table1[[#This Row],[L4 Code]],TAŞ!C:C,TAŞ!C:C,"")</f>
        <v/>
      </c>
      <c r="CB349" s="8" t="str">
        <f>Table1[[#This Row],[L4 Code]]&amp;"-"&amp;Table1[[#This Row],[T1 Code]]</f>
        <v>E-02.MAK-04.BKM-066-1000</v>
      </c>
    </row>
    <row r="350" spans="1:80">
      <c r="A350" s="3" t="s">
        <v>5444</v>
      </c>
      <c r="B350" t="s">
        <v>4099</v>
      </c>
      <c r="D350" t="s">
        <v>4967</v>
      </c>
      <c r="F350" s="77" t="s">
        <v>4973</v>
      </c>
      <c r="H350" s="3" t="s">
        <v>4984</v>
      </c>
      <c r="I350" s="3"/>
      <c r="J350" s="78"/>
      <c r="K350" s="78"/>
      <c r="M350" s="78"/>
      <c r="V350" s="8">
        <v>1</v>
      </c>
      <c r="W350" s="8">
        <v>1</v>
      </c>
      <c r="X350" s="10">
        <v>1</v>
      </c>
      <c r="Y350" s="8">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BX350" s="8">
        <v>1</v>
      </c>
      <c r="BY350" s="8" t="str">
        <f>+_xlfn.XLOOKUP(Table1[[#This Row],[L4 Code]],KIRMATAŞ!B:B,KIRMATAŞ!B:B,"")</f>
        <v/>
      </c>
      <c r="BZ350" s="8" t="str">
        <f>+_xlfn.XLOOKUP(Table1[[#This Row],[L4 Code]],'SU TEMİNİ'!C:C,'SU TEMİNİ'!C:C,"")</f>
        <v/>
      </c>
      <c r="CA350" s="8" t="str">
        <f>+_xlfn.XLOOKUP(Table1[[#This Row],[L4 Code]],TAŞ!C:C,TAŞ!C:C,"")</f>
        <v/>
      </c>
      <c r="CB350" s="8" t="str">
        <f>Table1[[#This Row],[L4 Code]]&amp;"-"&amp;Table1[[#This Row],[T1 Code]]</f>
        <v>E-02.MAK-04.BKM-067-1000</v>
      </c>
    </row>
    <row r="351" spans="1:80">
      <c r="A351" s="3" t="s">
        <v>5444</v>
      </c>
      <c r="B351" t="s">
        <v>4101</v>
      </c>
      <c r="D351" t="s">
        <v>4967</v>
      </c>
      <c r="F351" s="77" t="s">
        <v>4973</v>
      </c>
      <c r="H351" s="3" t="s">
        <v>4984</v>
      </c>
      <c r="I351" s="3"/>
      <c r="J351" s="78"/>
      <c r="K351" s="78"/>
      <c r="M351" s="78"/>
      <c r="V351" s="8">
        <v>1</v>
      </c>
      <c r="W351" s="8">
        <v>1</v>
      </c>
      <c r="X351" s="10">
        <v>1</v>
      </c>
      <c r="Y351" s="8">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BX351" s="8">
        <v>1</v>
      </c>
      <c r="BY351" s="8" t="str">
        <f>+_xlfn.XLOOKUP(Table1[[#This Row],[L4 Code]],KIRMATAŞ!B:B,KIRMATAŞ!B:B,"")</f>
        <v/>
      </c>
      <c r="BZ351" s="8" t="str">
        <f>+_xlfn.XLOOKUP(Table1[[#This Row],[L4 Code]],'SU TEMİNİ'!C:C,'SU TEMİNİ'!C:C,"")</f>
        <v/>
      </c>
      <c r="CA351" s="8" t="str">
        <f>+_xlfn.XLOOKUP(Table1[[#This Row],[L4 Code]],TAŞ!C:C,TAŞ!C:C,"")</f>
        <v/>
      </c>
      <c r="CB351" s="8" t="str">
        <f>Table1[[#This Row],[L4 Code]]&amp;"-"&amp;Table1[[#This Row],[T1 Code]]</f>
        <v>E-02.MAK-04.BKM-080-1000</v>
      </c>
    </row>
    <row r="352" spans="1:80">
      <c r="A352" s="3" t="s">
        <v>5444</v>
      </c>
      <c r="B352" t="s">
        <v>4103</v>
      </c>
      <c r="D352" t="s">
        <v>4967</v>
      </c>
      <c r="F352" s="77" t="s">
        <v>4973</v>
      </c>
      <c r="H352" s="3" t="s">
        <v>4984</v>
      </c>
      <c r="I352" s="3"/>
      <c r="J352" s="78"/>
      <c r="K352" s="78"/>
      <c r="M352" s="78"/>
      <c r="V352" s="8">
        <v>1</v>
      </c>
      <c r="W352" s="8">
        <v>1</v>
      </c>
      <c r="X352" s="10">
        <v>1</v>
      </c>
      <c r="Y352" s="8">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BX352" s="8">
        <v>1</v>
      </c>
      <c r="BY352" s="8" t="str">
        <f>+_xlfn.XLOOKUP(Table1[[#This Row],[L4 Code]],KIRMATAŞ!B:B,KIRMATAŞ!B:B,"")</f>
        <v/>
      </c>
      <c r="BZ352" s="8" t="str">
        <f>+_xlfn.XLOOKUP(Table1[[#This Row],[L4 Code]],'SU TEMİNİ'!C:C,'SU TEMİNİ'!C:C,"")</f>
        <v/>
      </c>
      <c r="CA352" s="8" t="str">
        <f>+_xlfn.XLOOKUP(Table1[[#This Row],[L4 Code]],TAŞ!C:C,TAŞ!C:C,"")</f>
        <v/>
      </c>
      <c r="CB352" s="8" t="str">
        <f>Table1[[#This Row],[L4 Code]]&amp;"-"&amp;Table1[[#This Row],[T1 Code]]</f>
        <v>E-02.MAK-04.BKM-081-1000</v>
      </c>
    </row>
    <row r="353" spans="1:80">
      <c r="A353" s="3" t="s">
        <v>5444</v>
      </c>
      <c r="B353" t="s">
        <v>4105</v>
      </c>
      <c r="D353" t="s">
        <v>4967</v>
      </c>
      <c r="F353" s="77" t="s">
        <v>4973</v>
      </c>
      <c r="H353" s="3" t="s">
        <v>4984</v>
      </c>
      <c r="I353" s="3"/>
      <c r="J353" s="78"/>
      <c r="K353" s="78"/>
      <c r="M353" s="78"/>
      <c r="V353" s="8">
        <v>1</v>
      </c>
      <c r="W353" s="8">
        <v>1</v>
      </c>
      <c r="X353" s="10">
        <v>1</v>
      </c>
      <c r="Y353" s="8">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BX353" s="8">
        <v>1</v>
      </c>
      <c r="BY353" s="8" t="str">
        <f>+_xlfn.XLOOKUP(Table1[[#This Row],[L4 Code]],KIRMATAŞ!B:B,KIRMATAŞ!B:B,"")</f>
        <v/>
      </c>
      <c r="BZ353" s="8" t="str">
        <f>+_xlfn.XLOOKUP(Table1[[#This Row],[L4 Code]],'SU TEMİNİ'!C:C,'SU TEMİNİ'!C:C,"")</f>
        <v/>
      </c>
      <c r="CA353" s="8" t="str">
        <f>+_xlfn.XLOOKUP(Table1[[#This Row],[L4 Code]],TAŞ!C:C,TAŞ!C:C,"")</f>
        <v/>
      </c>
      <c r="CB353" s="8" t="str">
        <f>Table1[[#This Row],[L4 Code]]&amp;"-"&amp;Table1[[#This Row],[T1 Code]]</f>
        <v>E-02.MAK-04.BKM-090-1000</v>
      </c>
    </row>
    <row r="354" spans="1:80">
      <c r="A354" s="3" t="s">
        <v>5444</v>
      </c>
      <c r="B354" t="s">
        <v>5204</v>
      </c>
      <c r="D354" t="s">
        <v>4967</v>
      </c>
      <c r="F354" s="77" t="s">
        <v>4973</v>
      </c>
      <c r="H354" s="3" t="s">
        <v>4984</v>
      </c>
      <c r="I354" s="3"/>
      <c r="J354" s="78"/>
      <c r="K354" s="78"/>
      <c r="M354" s="78"/>
      <c r="V354" s="8">
        <v>1</v>
      </c>
      <c r="W354" s="8">
        <v>1</v>
      </c>
      <c r="X354" s="10">
        <v>1</v>
      </c>
      <c r="Y354" s="8">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BX354" s="8">
        <v>1</v>
      </c>
      <c r="BY354" s="8" t="str">
        <f>+_xlfn.XLOOKUP(Table1[[#This Row],[L4 Code]],KIRMATAŞ!B:B,KIRMATAŞ!B:B,"")</f>
        <v/>
      </c>
      <c r="BZ354" s="8" t="str">
        <f>+_xlfn.XLOOKUP(Table1[[#This Row],[L4 Code]],'SU TEMİNİ'!C:C,'SU TEMİNİ'!C:C,"")</f>
        <v/>
      </c>
      <c r="CA354" s="8" t="str">
        <f>+_xlfn.XLOOKUP(Table1[[#This Row],[L4 Code]],TAŞ!C:C,TAŞ!C:C,"")</f>
        <v/>
      </c>
      <c r="CB354" s="8" t="str">
        <f>Table1[[#This Row],[L4 Code]]&amp;"-"&amp;Table1[[#This Row],[T1 Code]]</f>
        <v>E-02.MAK-04.BKM-095-1000</v>
      </c>
    </row>
    <row r="355" spans="1:80">
      <c r="A355" s="3" t="s">
        <v>5444</v>
      </c>
      <c r="B355" t="s">
        <v>5208</v>
      </c>
      <c r="D355" t="s">
        <v>4967</v>
      </c>
      <c r="F355" s="77" t="s">
        <v>4973</v>
      </c>
      <c r="H355" s="3" t="s">
        <v>4984</v>
      </c>
      <c r="I355" s="3"/>
      <c r="J355" s="78"/>
      <c r="K355" s="78"/>
      <c r="M355" s="78"/>
      <c r="V355" s="8">
        <v>1</v>
      </c>
      <c r="W355" s="8">
        <v>1</v>
      </c>
      <c r="X355" s="10">
        <v>1</v>
      </c>
      <c r="Y355" s="8">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BX355" s="8">
        <v>1</v>
      </c>
      <c r="BY355" s="8" t="str">
        <f>+_xlfn.XLOOKUP(Table1[[#This Row],[L4 Code]],KIRMATAŞ!B:B,KIRMATAŞ!B:B,"")</f>
        <v/>
      </c>
      <c r="BZ355" s="8" t="str">
        <f>+_xlfn.XLOOKUP(Table1[[#This Row],[L4 Code]],'SU TEMİNİ'!C:C,'SU TEMİNİ'!C:C,"")</f>
        <v/>
      </c>
      <c r="CA355" s="8" t="str">
        <f>+_xlfn.XLOOKUP(Table1[[#This Row],[L4 Code]],TAŞ!C:C,TAŞ!C:C,"")</f>
        <v/>
      </c>
      <c r="CB355" s="8" t="str">
        <f>Table1[[#This Row],[L4 Code]]&amp;"-"&amp;Table1[[#This Row],[T1 Code]]</f>
        <v>E-02.MAK-04.BKM-100-1000</v>
      </c>
    </row>
    <row r="356" spans="1:80">
      <c r="A356" s="3" t="s">
        <v>5444</v>
      </c>
      <c r="B356" t="s">
        <v>4107</v>
      </c>
      <c r="D356" t="s">
        <v>4967</v>
      </c>
      <c r="F356" s="77" t="s">
        <v>4973</v>
      </c>
      <c r="H356" s="3" t="s">
        <v>4984</v>
      </c>
      <c r="I356" s="3"/>
      <c r="J356" s="78"/>
      <c r="K356" s="78"/>
      <c r="M356" s="78"/>
      <c r="V356" s="8">
        <v>1</v>
      </c>
      <c r="W356" s="8">
        <v>1</v>
      </c>
      <c r="X356" s="10">
        <v>1</v>
      </c>
      <c r="Y356" s="8">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BX356" s="8">
        <v>1</v>
      </c>
      <c r="BY356" s="8" t="str">
        <f>+_xlfn.XLOOKUP(Table1[[#This Row],[L4 Code]],KIRMATAŞ!B:B,KIRMATAŞ!B:B,"")</f>
        <v/>
      </c>
      <c r="BZ356" s="8" t="str">
        <f>+_xlfn.XLOOKUP(Table1[[#This Row],[L4 Code]],'SU TEMİNİ'!C:C,'SU TEMİNİ'!C:C,"")</f>
        <v/>
      </c>
      <c r="CA356" s="8" t="str">
        <f>+_xlfn.XLOOKUP(Table1[[#This Row],[L4 Code]],TAŞ!C:C,TAŞ!C:C,"")</f>
        <v/>
      </c>
      <c r="CB356" s="8" t="str">
        <f>Table1[[#This Row],[L4 Code]]&amp;"-"&amp;Table1[[#This Row],[T1 Code]]</f>
        <v>E-02.MAK-04.BKM-105-1000</v>
      </c>
    </row>
    <row r="357" spans="1:80">
      <c r="A357" s="3" t="s">
        <v>5444</v>
      </c>
      <c r="B357" t="s">
        <v>5205</v>
      </c>
      <c r="D357" t="s">
        <v>4967</v>
      </c>
      <c r="F357" s="77" t="s">
        <v>4973</v>
      </c>
      <c r="H357" s="3" t="s">
        <v>4984</v>
      </c>
      <c r="I357" s="3"/>
      <c r="J357" s="78"/>
      <c r="K357" s="78"/>
      <c r="M357" s="78"/>
      <c r="V357" s="8">
        <v>1</v>
      </c>
      <c r="W357" s="8">
        <v>1</v>
      </c>
      <c r="X357" s="10">
        <v>1</v>
      </c>
      <c r="Y357" s="8">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BX357" s="8">
        <v>1</v>
      </c>
      <c r="BY357" s="8" t="str">
        <f>+_xlfn.XLOOKUP(Table1[[#This Row],[L4 Code]],KIRMATAŞ!B:B,KIRMATAŞ!B:B,"")</f>
        <v/>
      </c>
      <c r="BZ357" s="8" t="str">
        <f>+_xlfn.XLOOKUP(Table1[[#This Row],[L4 Code]],'SU TEMİNİ'!C:C,'SU TEMİNİ'!C:C,"")</f>
        <v/>
      </c>
      <c r="CA357" s="8" t="str">
        <f>+_xlfn.XLOOKUP(Table1[[#This Row],[L4 Code]],TAŞ!C:C,TAŞ!C:C,"")</f>
        <v/>
      </c>
      <c r="CB357" s="8" t="str">
        <f>Table1[[#This Row],[L4 Code]]&amp;"-"&amp;Table1[[#This Row],[T1 Code]]</f>
        <v>E-02.MAK-04.BKM-106-1000</v>
      </c>
    </row>
    <row r="358" spans="1:80">
      <c r="A358" s="3" t="s">
        <v>5444</v>
      </c>
      <c r="B358" t="s">
        <v>4109</v>
      </c>
      <c r="D358" t="s">
        <v>4967</v>
      </c>
      <c r="F358" s="77" t="s">
        <v>4973</v>
      </c>
      <c r="H358" s="3" t="s">
        <v>4984</v>
      </c>
      <c r="I358" s="3"/>
      <c r="J358" s="78"/>
      <c r="K358" s="78"/>
      <c r="M358" s="78"/>
      <c r="V358" s="8">
        <v>1</v>
      </c>
      <c r="W358" s="8">
        <v>1</v>
      </c>
      <c r="X358" s="10">
        <v>1</v>
      </c>
      <c r="Y358" s="8">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BX358" s="8">
        <v>1</v>
      </c>
      <c r="BY358" s="8" t="str">
        <f>+_xlfn.XLOOKUP(Table1[[#This Row],[L4 Code]],KIRMATAŞ!B:B,KIRMATAŞ!B:B,"")</f>
        <v/>
      </c>
      <c r="BZ358" s="8" t="str">
        <f>+_xlfn.XLOOKUP(Table1[[#This Row],[L4 Code]],'SU TEMİNİ'!C:C,'SU TEMİNİ'!C:C,"")</f>
        <v/>
      </c>
      <c r="CA358" s="8" t="str">
        <f>+_xlfn.XLOOKUP(Table1[[#This Row],[L4 Code]],TAŞ!C:C,TAŞ!C:C,"")</f>
        <v/>
      </c>
      <c r="CB358" s="8" t="str">
        <f>Table1[[#This Row],[L4 Code]]&amp;"-"&amp;Table1[[#This Row],[T1 Code]]</f>
        <v>E-02.MAK-04.BKM-110-1000</v>
      </c>
    </row>
    <row r="359" spans="1:80">
      <c r="A359" s="3" t="s">
        <v>5444</v>
      </c>
      <c r="B359" t="s">
        <v>4111</v>
      </c>
      <c r="D359" t="s">
        <v>4967</v>
      </c>
      <c r="F359" s="77" t="s">
        <v>4973</v>
      </c>
      <c r="H359" s="3" t="s">
        <v>4984</v>
      </c>
      <c r="I359" s="3"/>
      <c r="J359" s="78"/>
      <c r="K359" s="78"/>
      <c r="M359" s="78"/>
      <c r="V359" s="8">
        <v>1</v>
      </c>
      <c r="W359" s="8">
        <v>1</v>
      </c>
      <c r="X359" s="10">
        <v>1</v>
      </c>
      <c r="Y359" s="8">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BX359" s="8">
        <v>1</v>
      </c>
      <c r="BY359" s="8" t="str">
        <f>+_xlfn.XLOOKUP(Table1[[#This Row],[L4 Code]],KIRMATAŞ!B:B,KIRMATAŞ!B:B,"")</f>
        <v/>
      </c>
      <c r="BZ359" s="8" t="str">
        <f>+_xlfn.XLOOKUP(Table1[[#This Row],[L4 Code]],'SU TEMİNİ'!C:C,'SU TEMİNİ'!C:C,"")</f>
        <v/>
      </c>
      <c r="CA359" s="8" t="str">
        <f>+_xlfn.XLOOKUP(Table1[[#This Row],[L4 Code]],TAŞ!C:C,TAŞ!C:C,"")</f>
        <v/>
      </c>
      <c r="CB359" s="8" t="str">
        <f>Table1[[#This Row],[L4 Code]]&amp;"-"&amp;Table1[[#This Row],[T1 Code]]</f>
        <v>E-02.MAK-04.BKM-111-1000</v>
      </c>
    </row>
    <row r="360" spans="1:80">
      <c r="A360" s="3" t="s">
        <v>5444</v>
      </c>
      <c r="B360" t="s">
        <v>4113</v>
      </c>
      <c r="D360" t="s">
        <v>4967</v>
      </c>
      <c r="F360" s="77" t="s">
        <v>4973</v>
      </c>
      <c r="H360" s="3" t="s">
        <v>4984</v>
      </c>
      <c r="I360" s="3"/>
      <c r="J360" s="78"/>
      <c r="K360" s="78"/>
      <c r="M360" s="78"/>
      <c r="V360" s="8">
        <v>1</v>
      </c>
      <c r="W360" s="8">
        <v>1</v>
      </c>
      <c r="X360" s="10">
        <v>1</v>
      </c>
      <c r="Y360" s="8">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BX360" s="8">
        <v>1</v>
      </c>
      <c r="BY360" s="8" t="str">
        <f>+_xlfn.XLOOKUP(Table1[[#This Row],[L4 Code]],KIRMATAŞ!B:B,KIRMATAŞ!B:B,"")</f>
        <v/>
      </c>
      <c r="BZ360" s="8" t="str">
        <f>+_xlfn.XLOOKUP(Table1[[#This Row],[L4 Code]],'SU TEMİNİ'!C:C,'SU TEMİNİ'!C:C,"")</f>
        <v/>
      </c>
      <c r="CA360" s="8" t="str">
        <f>+_xlfn.XLOOKUP(Table1[[#This Row],[L4 Code]],TAŞ!C:C,TAŞ!C:C,"")</f>
        <v/>
      </c>
      <c r="CB360" s="8" t="str">
        <f>Table1[[#This Row],[L4 Code]]&amp;"-"&amp;Table1[[#This Row],[T1 Code]]</f>
        <v>E-02.MAK-04.BKM-121-1000</v>
      </c>
    </row>
    <row r="361" spans="1:80">
      <c r="A361" s="3" t="s">
        <v>5444</v>
      </c>
      <c r="B361" t="s">
        <v>4116</v>
      </c>
      <c r="D361" t="s">
        <v>4967</v>
      </c>
      <c r="F361" s="77" t="s">
        <v>4973</v>
      </c>
      <c r="H361" s="3" t="s">
        <v>4984</v>
      </c>
      <c r="I361" s="3"/>
      <c r="J361" s="78"/>
      <c r="K361" s="78"/>
      <c r="M361" s="78"/>
      <c r="V361" s="8">
        <v>1</v>
      </c>
      <c r="W361" s="8">
        <v>1</v>
      </c>
      <c r="X361" s="10">
        <v>1</v>
      </c>
      <c r="Y361" s="8">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BX361" s="8">
        <v>1</v>
      </c>
      <c r="BY361" s="8" t="str">
        <f>+_xlfn.XLOOKUP(Table1[[#This Row],[L4 Code]],KIRMATAŞ!B:B,KIRMATAŞ!B:B,"")</f>
        <v/>
      </c>
      <c r="BZ361" s="8" t="str">
        <f>+_xlfn.XLOOKUP(Table1[[#This Row],[L4 Code]],'SU TEMİNİ'!C:C,'SU TEMİNİ'!C:C,"")</f>
        <v/>
      </c>
      <c r="CA361" s="8" t="str">
        <f>+_xlfn.XLOOKUP(Table1[[#This Row],[L4 Code]],TAŞ!C:C,TAŞ!C:C,"")</f>
        <v/>
      </c>
      <c r="CB361" s="8" t="str">
        <f>Table1[[#This Row],[L4 Code]]&amp;"-"&amp;Table1[[#This Row],[T1 Code]]</f>
        <v>E-02.MAK-04.BKM-122-1000</v>
      </c>
    </row>
    <row r="362" spans="1:80">
      <c r="A362" s="3" t="s">
        <v>5444</v>
      </c>
      <c r="B362" t="s">
        <v>4118</v>
      </c>
      <c r="D362" t="s">
        <v>4967</v>
      </c>
      <c r="F362" s="77" t="s">
        <v>4973</v>
      </c>
      <c r="H362" s="3" t="s">
        <v>4984</v>
      </c>
      <c r="I362" s="3"/>
      <c r="J362" s="78"/>
      <c r="K362" s="78"/>
      <c r="M362" s="78"/>
      <c r="V362" s="8">
        <v>1</v>
      </c>
      <c r="W362" s="8">
        <v>1</v>
      </c>
      <c r="X362" s="10">
        <v>1</v>
      </c>
      <c r="Y362" s="8">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BX362" s="8">
        <v>1</v>
      </c>
      <c r="BY362" s="8" t="str">
        <f>+_xlfn.XLOOKUP(Table1[[#This Row],[L4 Code]],KIRMATAŞ!B:B,KIRMATAŞ!B:B,"")</f>
        <v/>
      </c>
      <c r="BZ362" s="8" t="str">
        <f>+_xlfn.XLOOKUP(Table1[[#This Row],[L4 Code]],'SU TEMİNİ'!C:C,'SU TEMİNİ'!C:C,"")</f>
        <v/>
      </c>
      <c r="CA362" s="8" t="str">
        <f>+_xlfn.XLOOKUP(Table1[[#This Row],[L4 Code]],TAŞ!C:C,TAŞ!C:C,"")</f>
        <v/>
      </c>
      <c r="CB362" s="8" t="str">
        <f>Table1[[#This Row],[L4 Code]]&amp;"-"&amp;Table1[[#This Row],[T1 Code]]</f>
        <v>E-02.MAK-04.BKM-123-1000</v>
      </c>
    </row>
    <row r="363" spans="1:80">
      <c r="A363" s="3" t="s">
        <v>5444</v>
      </c>
      <c r="B363" t="s">
        <v>5209</v>
      </c>
      <c r="D363" t="s">
        <v>4967</v>
      </c>
      <c r="F363" s="77" t="s">
        <v>4973</v>
      </c>
      <c r="H363" s="3" t="s">
        <v>4984</v>
      </c>
      <c r="I363" s="3"/>
      <c r="J363" s="78"/>
      <c r="K363" s="78"/>
      <c r="M363" s="78"/>
      <c r="V363" s="8">
        <v>1</v>
      </c>
      <c r="W363" s="8">
        <v>1</v>
      </c>
      <c r="X363" s="10">
        <v>1</v>
      </c>
      <c r="Y363" s="8">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BX363" s="8">
        <v>1</v>
      </c>
      <c r="BY363" s="8" t="str">
        <f>+_xlfn.XLOOKUP(Table1[[#This Row],[L4 Code]],KIRMATAŞ!B:B,KIRMATAŞ!B:B,"")</f>
        <v/>
      </c>
      <c r="BZ363" s="8" t="str">
        <f>+_xlfn.XLOOKUP(Table1[[#This Row],[L4 Code]],'SU TEMİNİ'!C:C,'SU TEMİNİ'!C:C,"")</f>
        <v/>
      </c>
      <c r="CA363" s="8" t="str">
        <f>+_xlfn.XLOOKUP(Table1[[#This Row],[L4 Code]],TAŞ!C:C,TAŞ!C:C,"")</f>
        <v/>
      </c>
      <c r="CB363" s="8" t="str">
        <f>Table1[[#This Row],[L4 Code]]&amp;"-"&amp;Table1[[#This Row],[T1 Code]]</f>
        <v>E-02.MAK-04.BKM-125-1000</v>
      </c>
    </row>
    <row r="364" spans="1:80">
      <c r="A364" s="3" t="s">
        <v>5444</v>
      </c>
      <c r="B364" t="s">
        <v>4120</v>
      </c>
      <c r="D364" t="s">
        <v>4967</v>
      </c>
      <c r="F364" s="77" t="s">
        <v>4973</v>
      </c>
      <c r="H364" s="3" t="s">
        <v>4984</v>
      </c>
      <c r="I364" s="3"/>
      <c r="J364" s="78"/>
      <c r="K364" s="78"/>
      <c r="M364" s="78"/>
      <c r="V364" s="8">
        <v>1</v>
      </c>
      <c r="W364" s="8">
        <v>1</v>
      </c>
      <c r="X364" s="10">
        <v>1</v>
      </c>
      <c r="Y364" s="8">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BX364" s="8">
        <v>1</v>
      </c>
      <c r="BY364" s="8" t="str">
        <f>+_xlfn.XLOOKUP(Table1[[#This Row],[L4 Code]],KIRMATAŞ!B:B,KIRMATAŞ!B:B,"")</f>
        <v/>
      </c>
      <c r="BZ364" s="8" t="str">
        <f>+_xlfn.XLOOKUP(Table1[[#This Row],[L4 Code]],'SU TEMİNİ'!C:C,'SU TEMİNİ'!C:C,"")</f>
        <v/>
      </c>
      <c r="CA364" s="8" t="str">
        <f>+_xlfn.XLOOKUP(Table1[[#This Row],[L4 Code]],TAŞ!C:C,TAŞ!C:C,"")</f>
        <v/>
      </c>
      <c r="CB364" s="8" t="str">
        <f>Table1[[#This Row],[L4 Code]]&amp;"-"&amp;Table1[[#This Row],[T1 Code]]</f>
        <v>E-02.MAK-04.BKM-140-1000</v>
      </c>
    </row>
    <row r="365" spans="1:80">
      <c r="A365" s="3" t="s">
        <v>5444</v>
      </c>
      <c r="B365" t="s">
        <v>4122</v>
      </c>
      <c r="D365" t="s">
        <v>4967</v>
      </c>
      <c r="F365" s="77" t="s">
        <v>4973</v>
      </c>
      <c r="H365" s="3" t="s">
        <v>4984</v>
      </c>
      <c r="I365" s="3"/>
      <c r="J365" s="78"/>
      <c r="K365" s="78"/>
      <c r="M365" s="78"/>
      <c r="V365" s="8">
        <v>1</v>
      </c>
      <c r="W365" s="8">
        <v>1</v>
      </c>
      <c r="X365" s="10">
        <v>1</v>
      </c>
      <c r="Y365" s="8">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BX365" s="8">
        <v>1</v>
      </c>
      <c r="BY365" s="8" t="str">
        <f>+_xlfn.XLOOKUP(Table1[[#This Row],[L4 Code]],KIRMATAŞ!B:B,KIRMATAŞ!B:B,"")</f>
        <v/>
      </c>
      <c r="BZ365" s="8" t="str">
        <f>+_xlfn.XLOOKUP(Table1[[#This Row],[L4 Code]],'SU TEMİNİ'!C:C,'SU TEMİNİ'!C:C,"")</f>
        <v/>
      </c>
      <c r="CA365" s="8" t="str">
        <f>+_xlfn.XLOOKUP(Table1[[#This Row],[L4 Code]],TAŞ!C:C,TAŞ!C:C,"")</f>
        <v/>
      </c>
      <c r="CB365" s="8" t="str">
        <f>Table1[[#This Row],[L4 Code]]&amp;"-"&amp;Table1[[#This Row],[T1 Code]]</f>
        <v>E-02.MAK-04.BKM-150-1000</v>
      </c>
    </row>
    <row r="366" spans="1:80">
      <c r="A366" s="3" t="s">
        <v>5444</v>
      </c>
      <c r="B366" t="s">
        <v>4124</v>
      </c>
      <c r="D366" t="s">
        <v>4967</v>
      </c>
      <c r="F366" s="77" t="s">
        <v>4973</v>
      </c>
      <c r="H366" s="3" t="s">
        <v>4984</v>
      </c>
      <c r="I366" s="3"/>
      <c r="J366" s="78"/>
      <c r="K366" s="78"/>
      <c r="M366" s="78"/>
      <c r="V366" s="8">
        <v>1</v>
      </c>
      <c r="W366" s="8">
        <v>1</v>
      </c>
      <c r="X366" s="10">
        <v>1</v>
      </c>
      <c r="Y366" s="8">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BX366" s="8">
        <v>1</v>
      </c>
      <c r="BY366" s="8" t="str">
        <f>+_xlfn.XLOOKUP(Table1[[#This Row],[L4 Code]],KIRMATAŞ!B:B,KIRMATAŞ!B:B,"")</f>
        <v/>
      </c>
      <c r="BZ366" s="8" t="str">
        <f>+_xlfn.XLOOKUP(Table1[[#This Row],[L4 Code]],'SU TEMİNİ'!C:C,'SU TEMİNİ'!C:C,"")</f>
        <v/>
      </c>
      <c r="CA366" s="8" t="str">
        <f>+_xlfn.XLOOKUP(Table1[[#This Row],[L4 Code]],TAŞ!C:C,TAŞ!C:C,"")</f>
        <v/>
      </c>
      <c r="CB366" s="8" t="str">
        <f>Table1[[#This Row],[L4 Code]]&amp;"-"&amp;Table1[[#This Row],[T1 Code]]</f>
        <v>E-02.MAK-04.BKM-510-1000</v>
      </c>
    </row>
    <row r="367" spans="1:80">
      <c r="A367" s="3" t="s">
        <v>5444</v>
      </c>
      <c r="B367" t="s">
        <v>4126</v>
      </c>
      <c r="D367" t="s">
        <v>4967</v>
      </c>
      <c r="F367" s="77" t="s">
        <v>4973</v>
      </c>
      <c r="H367" s="3" t="s">
        <v>4984</v>
      </c>
      <c r="I367" s="3"/>
      <c r="J367" s="78"/>
      <c r="K367" s="78"/>
      <c r="M367" s="78"/>
      <c r="V367" s="8">
        <v>1</v>
      </c>
      <c r="W367" s="8">
        <v>1</v>
      </c>
      <c r="X367" s="10">
        <v>1</v>
      </c>
      <c r="Y367" s="8">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BX367" s="8">
        <v>1</v>
      </c>
      <c r="BY367" s="8" t="str">
        <f>+_xlfn.XLOOKUP(Table1[[#This Row],[L4 Code]],KIRMATAŞ!B:B,KIRMATAŞ!B:B,"")</f>
        <v/>
      </c>
      <c r="BZ367" s="8" t="str">
        <f>+_xlfn.XLOOKUP(Table1[[#This Row],[L4 Code]],'SU TEMİNİ'!C:C,'SU TEMİNİ'!C:C,"")</f>
        <v/>
      </c>
      <c r="CA367" s="8" t="str">
        <f>+_xlfn.XLOOKUP(Table1[[#This Row],[L4 Code]],TAŞ!C:C,TAŞ!C:C,"")</f>
        <v/>
      </c>
      <c r="CB367" s="8" t="str">
        <f>Table1[[#This Row],[L4 Code]]&amp;"-"&amp;Table1[[#This Row],[T1 Code]]</f>
        <v>E-02.MAK-04.BKM-511-1000</v>
      </c>
    </row>
    <row r="368" spans="1:80">
      <c r="A368" s="3" t="s">
        <v>5444</v>
      </c>
      <c r="B368" t="s">
        <v>4128</v>
      </c>
      <c r="D368" t="s">
        <v>4967</v>
      </c>
      <c r="F368" s="77" t="s">
        <v>4973</v>
      </c>
      <c r="H368" s="3" t="s">
        <v>4984</v>
      </c>
      <c r="I368" s="3"/>
      <c r="J368" s="78"/>
      <c r="K368" s="78"/>
      <c r="M368" s="78"/>
      <c r="V368" s="8">
        <v>1</v>
      </c>
      <c r="W368" s="8">
        <v>1</v>
      </c>
      <c r="X368" s="10">
        <v>1</v>
      </c>
      <c r="Y368" s="8">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BX368" s="8">
        <v>1</v>
      </c>
      <c r="BY368" s="8" t="str">
        <f>+_xlfn.XLOOKUP(Table1[[#This Row],[L4 Code]],KIRMATAŞ!B:B,KIRMATAŞ!B:B,"")</f>
        <v/>
      </c>
      <c r="BZ368" s="8" t="str">
        <f>+_xlfn.XLOOKUP(Table1[[#This Row],[L4 Code]],'SU TEMİNİ'!C:C,'SU TEMİNİ'!C:C,"")</f>
        <v/>
      </c>
      <c r="CA368" s="8" t="str">
        <f>+_xlfn.XLOOKUP(Table1[[#This Row],[L4 Code]],TAŞ!C:C,TAŞ!C:C,"")</f>
        <v/>
      </c>
      <c r="CB368" s="8" t="str">
        <f>Table1[[#This Row],[L4 Code]]&amp;"-"&amp;Table1[[#This Row],[T1 Code]]</f>
        <v>E-02.MAK-04.BKM-512-1000</v>
      </c>
    </row>
    <row r="369" spans="1:80">
      <c r="A369" s="3" t="s">
        <v>5444</v>
      </c>
      <c r="B369" t="s">
        <v>4130</v>
      </c>
      <c r="D369" t="s">
        <v>4967</v>
      </c>
      <c r="F369" s="77" t="s">
        <v>4973</v>
      </c>
      <c r="H369" s="3" t="s">
        <v>4984</v>
      </c>
      <c r="I369" s="3"/>
      <c r="J369" s="78"/>
      <c r="K369" s="78"/>
      <c r="M369" s="78"/>
      <c r="V369" s="8">
        <v>1</v>
      </c>
      <c r="W369" s="8">
        <v>1</v>
      </c>
      <c r="X369" s="10">
        <v>1</v>
      </c>
      <c r="Y369" s="8">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BX369" s="8">
        <v>1</v>
      </c>
      <c r="BY369" s="8" t="str">
        <f>+_xlfn.XLOOKUP(Table1[[#This Row],[L4 Code]],KIRMATAŞ!B:B,KIRMATAŞ!B:B,"")</f>
        <v/>
      </c>
      <c r="BZ369" s="8" t="str">
        <f>+_xlfn.XLOOKUP(Table1[[#This Row],[L4 Code]],'SU TEMİNİ'!C:C,'SU TEMİNİ'!C:C,"")</f>
        <v/>
      </c>
      <c r="CA369" s="8" t="str">
        <f>+_xlfn.XLOOKUP(Table1[[#This Row],[L4 Code]],TAŞ!C:C,TAŞ!C:C,"")</f>
        <v/>
      </c>
      <c r="CB369" s="8" t="str">
        <f>Table1[[#This Row],[L4 Code]]&amp;"-"&amp;Table1[[#This Row],[T1 Code]]</f>
        <v>E-02.MAK-04.BKM-520-1000</v>
      </c>
    </row>
    <row r="370" spans="1:80">
      <c r="A370" s="3" t="s">
        <v>5444</v>
      </c>
      <c r="B370" t="s">
        <v>4132</v>
      </c>
      <c r="D370" t="s">
        <v>4967</v>
      </c>
      <c r="F370" s="77" t="s">
        <v>4973</v>
      </c>
      <c r="H370" s="3" t="s">
        <v>4984</v>
      </c>
      <c r="I370" s="3"/>
      <c r="J370" s="78"/>
      <c r="K370" s="78"/>
      <c r="M370" s="78"/>
      <c r="V370" s="8">
        <v>1</v>
      </c>
      <c r="W370" s="8">
        <v>1</v>
      </c>
      <c r="X370" s="10">
        <v>1</v>
      </c>
      <c r="Y370" s="8">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BX370" s="8">
        <v>1</v>
      </c>
      <c r="BY370" s="8" t="str">
        <f>+_xlfn.XLOOKUP(Table1[[#This Row],[L4 Code]],KIRMATAŞ!B:B,KIRMATAŞ!B:B,"")</f>
        <v/>
      </c>
      <c r="BZ370" s="8" t="str">
        <f>+_xlfn.XLOOKUP(Table1[[#This Row],[L4 Code]],'SU TEMİNİ'!C:C,'SU TEMİNİ'!C:C,"")</f>
        <v/>
      </c>
      <c r="CA370" s="8" t="str">
        <f>+_xlfn.XLOOKUP(Table1[[#This Row],[L4 Code]],TAŞ!C:C,TAŞ!C:C,"")</f>
        <v/>
      </c>
      <c r="CB370" s="8" t="str">
        <f>Table1[[#This Row],[L4 Code]]&amp;"-"&amp;Table1[[#This Row],[T1 Code]]</f>
        <v>E-02.MAK-04.BKM-530-1000</v>
      </c>
    </row>
    <row r="371" spans="1:80">
      <c r="A371" s="3" t="s">
        <v>5444</v>
      </c>
      <c r="B371" t="s">
        <v>4134</v>
      </c>
      <c r="D371" t="s">
        <v>4967</v>
      </c>
      <c r="F371" s="77" t="s">
        <v>4973</v>
      </c>
      <c r="H371" s="3" t="s">
        <v>4984</v>
      </c>
      <c r="I371" s="3"/>
      <c r="J371" s="78"/>
      <c r="K371" s="78"/>
      <c r="M371" s="78"/>
      <c r="V371" s="8">
        <v>1</v>
      </c>
      <c r="W371" s="8">
        <v>1</v>
      </c>
      <c r="X371" s="10">
        <v>1</v>
      </c>
      <c r="Y371" s="8">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BX371" s="8">
        <v>1</v>
      </c>
      <c r="BY371" s="8" t="str">
        <f>+_xlfn.XLOOKUP(Table1[[#This Row],[L4 Code]],KIRMATAŞ!B:B,KIRMATAŞ!B:B,"")</f>
        <v/>
      </c>
      <c r="BZ371" s="8" t="str">
        <f>+_xlfn.XLOOKUP(Table1[[#This Row],[L4 Code]],'SU TEMİNİ'!C:C,'SU TEMİNİ'!C:C,"")</f>
        <v/>
      </c>
      <c r="CA371" s="8" t="str">
        <f>+_xlfn.XLOOKUP(Table1[[#This Row],[L4 Code]],TAŞ!C:C,TAŞ!C:C,"")</f>
        <v/>
      </c>
      <c r="CB371" s="8" t="str">
        <f>Table1[[#This Row],[L4 Code]]&amp;"-"&amp;Table1[[#This Row],[T1 Code]]</f>
        <v>E-02.MAK-04.BKM-531-1000</v>
      </c>
    </row>
    <row r="372" spans="1:80">
      <c r="A372" s="3" t="s">
        <v>5444</v>
      </c>
      <c r="B372" t="s">
        <v>4136</v>
      </c>
      <c r="D372" t="s">
        <v>4967</v>
      </c>
      <c r="F372" s="77" t="s">
        <v>4973</v>
      </c>
      <c r="H372" s="3" t="s">
        <v>4984</v>
      </c>
      <c r="I372" s="3"/>
      <c r="J372" s="78"/>
      <c r="K372" s="78"/>
      <c r="M372" s="78"/>
      <c r="V372" s="8">
        <v>1</v>
      </c>
      <c r="W372" s="8">
        <v>1</v>
      </c>
      <c r="X372" s="10">
        <v>1</v>
      </c>
      <c r="Y372" s="8">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BX372" s="8">
        <v>1</v>
      </c>
      <c r="BY372" s="8" t="str">
        <f>+_xlfn.XLOOKUP(Table1[[#This Row],[L4 Code]],KIRMATAŞ!B:B,KIRMATAŞ!B:B,"")</f>
        <v/>
      </c>
      <c r="BZ372" s="8" t="str">
        <f>+_xlfn.XLOOKUP(Table1[[#This Row],[L4 Code]],'SU TEMİNİ'!C:C,'SU TEMİNİ'!C:C,"")</f>
        <v/>
      </c>
      <c r="CA372" s="8" t="str">
        <f>+_xlfn.XLOOKUP(Table1[[#This Row],[L4 Code]],TAŞ!C:C,TAŞ!C:C,"")</f>
        <v/>
      </c>
      <c r="CB372" s="8" t="str">
        <f>Table1[[#This Row],[L4 Code]]&amp;"-"&amp;Table1[[#This Row],[T1 Code]]</f>
        <v>E-02.MAK-04.BKM-532-1000</v>
      </c>
    </row>
    <row r="373" spans="1:80">
      <c r="A373" s="3" t="s">
        <v>5444</v>
      </c>
      <c r="B373" t="s">
        <v>4138</v>
      </c>
      <c r="D373" t="s">
        <v>4967</v>
      </c>
      <c r="F373" s="77" t="s">
        <v>4973</v>
      </c>
      <c r="H373" s="3" t="s">
        <v>4984</v>
      </c>
      <c r="I373" s="3"/>
      <c r="J373" s="78"/>
      <c r="K373" s="78"/>
      <c r="M373" s="78"/>
      <c r="V373" s="8">
        <v>1</v>
      </c>
      <c r="W373" s="8">
        <v>1</v>
      </c>
      <c r="X373" s="10">
        <v>1</v>
      </c>
      <c r="Y373" s="8">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BX373" s="8">
        <v>1</v>
      </c>
      <c r="BY373" s="8" t="str">
        <f>+_xlfn.XLOOKUP(Table1[[#This Row],[L4 Code]],KIRMATAŞ!B:B,KIRMATAŞ!B:B,"")</f>
        <v/>
      </c>
      <c r="BZ373" s="8" t="str">
        <f>+_xlfn.XLOOKUP(Table1[[#This Row],[L4 Code]],'SU TEMİNİ'!C:C,'SU TEMİNİ'!C:C,"")</f>
        <v/>
      </c>
      <c r="CA373" s="8" t="str">
        <f>+_xlfn.XLOOKUP(Table1[[#This Row],[L4 Code]],TAŞ!C:C,TAŞ!C:C,"")</f>
        <v/>
      </c>
      <c r="CB373" s="8" t="str">
        <f>Table1[[#This Row],[L4 Code]]&amp;"-"&amp;Table1[[#This Row],[T1 Code]]</f>
        <v>E-02.MAK-04.BKM-540-1000</v>
      </c>
    </row>
    <row r="374" spans="1:80">
      <c r="A374" s="3" t="s">
        <v>5444</v>
      </c>
      <c r="B374" t="s">
        <v>4140</v>
      </c>
      <c r="D374" t="s">
        <v>4967</v>
      </c>
      <c r="F374" s="77" t="s">
        <v>4973</v>
      </c>
      <c r="H374" s="3" t="s">
        <v>4984</v>
      </c>
      <c r="I374" s="3"/>
      <c r="J374" s="78"/>
      <c r="K374" s="78"/>
      <c r="M374" s="78"/>
      <c r="V374" s="8">
        <v>1</v>
      </c>
      <c r="W374" s="8">
        <v>1</v>
      </c>
      <c r="X374" s="10">
        <v>1</v>
      </c>
      <c r="Y374" s="8">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BX374" s="8">
        <v>1</v>
      </c>
      <c r="BY374" s="8" t="str">
        <f>+_xlfn.XLOOKUP(Table1[[#This Row],[L4 Code]],KIRMATAŞ!B:B,KIRMATAŞ!B:B,"")</f>
        <v/>
      </c>
      <c r="BZ374" s="8" t="str">
        <f>+_xlfn.XLOOKUP(Table1[[#This Row],[L4 Code]],'SU TEMİNİ'!C:C,'SU TEMİNİ'!C:C,"")</f>
        <v/>
      </c>
      <c r="CA374" s="8" t="str">
        <f>+_xlfn.XLOOKUP(Table1[[#This Row],[L4 Code]],TAŞ!C:C,TAŞ!C:C,"")</f>
        <v/>
      </c>
      <c r="CB374" s="8" t="str">
        <f>Table1[[#This Row],[L4 Code]]&amp;"-"&amp;Table1[[#This Row],[T1 Code]]</f>
        <v>E-02.MAK-04.BKM-551-1000</v>
      </c>
    </row>
    <row r="375" spans="1:80">
      <c r="A375" s="3" t="s">
        <v>5444</v>
      </c>
      <c r="B375" t="s">
        <v>4142</v>
      </c>
      <c r="D375" t="s">
        <v>4967</v>
      </c>
      <c r="F375" s="77" t="s">
        <v>4973</v>
      </c>
      <c r="H375" s="3" t="s">
        <v>4984</v>
      </c>
      <c r="I375" s="3"/>
      <c r="J375" s="78"/>
      <c r="K375" s="78"/>
      <c r="M375" s="78"/>
      <c r="V375" s="8">
        <v>1</v>
      </c>
      <c r="W375" s="8">
        <v>1</v>
      </c>
      <c r="X375" s="10">
        <v>1</v>
      </c>
      <c r="Y375" s="8">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BX375" s="8">
        <v>1</v>
      </c>
      <c r="BY375" s="8" t="str">
        <f>+_xlfn.XLOOKUP(Table1[[#This Row],[L4 Code]],KIRMATAŞ!B:B,KIRMATAŞ!B:B,"")</f>
        <v/>
      </c>
      <c r="BZ375" s="8" t="str">
        <f>+_xlfn.XLOOKUP(Table1[[#This Row],[L4 Code]],'SU TEMİNİ'!C:C,'SU TEMİNİ'!C:C,"")</f>
        <v/>
      </c>
      <c r="CA375" s="8" t="str">
        <f>+_xlfn.XLOOKUP(Table1[[#This Row],[L4 Code]],TAŞ!C:C,TAŞ!C:C,"")</f>
        <v/>
      </c>
      <c r="CB375" s="8" t="str">
        <f>Table1[[#This Row],[L4 Code]]&amp;"-"&amp;Table1[[#This Row],[T1 Code]]</f>
        <v>E-02.MAK-04.BKM-552-1000</v>
      </c>
    </row>
    <row r="376" spans="1:80">
      <c r="A376" s="3" t="s">
        <v>5444</v>
      </c>
      <c r="B376" t="s">
        <v>5197</v>
      </c>
      <c r="D376" t="s">
        <v>4967</v>
      </c>
      <c r="F376" s="77" t="s">
        <v>4973</v>
      </c>
      <c r="H376" s="3" t="s">
        <v>4984</v>
      </c>
      <c r="I376" s="3"/>
      <c r="J376" s="78"/>
      <c r="K376" s="78"/>
      <c r="M376" s="78"/>
      <c r="V376" s="8">
        <v>1</v>
      </c>
      <c r="W376" s="8">
        <v>1</v>
      </c>
      <c r="X376" s="10">
        <v>1</v>
      </c>
      <c r="Y376" s="8">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BX376" s="8">
        <v>1</v>
      </c>
      <c r="BY376" s="8" t="str">
        <f>+_xlfn.XLOOKUP(Table1[[#This Row],[L4 Code]],KIRMATAŞ!B:B,KIRMATAŞ!B:B,"")</f>
        <v/>
      </c>
      <c r="BZ376" s="8" t="str">
        <f>+_xlfn.XLOOKUP(Table1[[#This Row],[L4 Code]],'SU TEMİNİ'!C:C,'SU TEMİNİ'!C:C,"")</f>
        <v/>
      </c>
      <c r="CA376" s="8" t="str">
        <f>+_xlfn.XLOOKUP(Table1[[#This Row],[L4 Code]],TAŞ!C:C,TAŞ!C:C,"")</f>
        <v/>
      </c>
      <c r="CB376" s="8" t="str">
        <f>Table1[[#This Row],[L4 Code]]&amp;"-"&amp;Table1[[#This Row],[T1 Code]]</f>
        <v>E-02.MAK-05.OPS-010-1000</v>
      </c>
    </row>
    <row r="377" spans="1:80">
      <c r="A377" s="3" t="s">
        <v>5444</v>
      </c>
      <c r="B377" t="s">
        <v>5198</v>
      </c>
      <c r="D377" t="s">
        <v>4967</v>
      </c>
      <c r="F377" s="77" t="s">
        <v>4973</v>
      </c>
      <c r="H377" s="3" t="s">
        <v>4984</v>
      </c>
      <c r="I377" s="3"/>
      <c r="J377" s="78"/>
      <c r="K377" s="78"/>
      <c r="M377" s="78"/>
      <c r="V377" s="8">
        <v>1</v>
      </c>
      <c r="W377" s="8">
        <v>1</v>
      </c>
      <c r="X377" s="10">
        <v>1</v>
      </c>
      <c r="Y377" s="8">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BX377" s="8">
        <v>1</v>
      </c>
      <c r="BY377" s="8" t="str">
        <f>+_xlfn.XLOOKUP(Table1[[#This Row],[L4 Code]],KIRMATAŞ!B:B,KIRMATAŞ!B:B,"")</f>
        <v/>
      </c>
      <c r="BZ377" s="8" t="str">
        <f>+_xlfn.XLOOKUP(Table1[[#This Row],[L4 Code]],'SU TEMİNİ'!C:C,'SU TEMİNİ'!C:C,"")</f>
        <v/>
      </c>
      <c r="CA377" s="8" t="str">
        <f>+_xlfn.XLOOKUP(Table1[[#This Row],[L4 Code]],TAŞ!C:C,TAŞ!C:C,"")</f>
        <v/>
      </c>
      <c r="CB377" s="8" t="str">
        <f>Table1[[#This Row],[L4 Code]]&amp;"-"&amp;Table1[[#This Row],[T1 Code]]</f>
        <v>E-02.MAK-05.OPS-020-1000</v>
      </c>
    </row>
    <row r="378" spans="1:80">
      <c r="A378" s="3" t="s">
        <v>5444</v>
      </c>
      <c r="B378" t="s">
        <v>4151</v>
      </c>
      <c r="D378" t="s">
        <v>4967</v>
      </c>
      <c r="F378" s="77" t="s">
        <v>4973</v>
      </c>
      <c r="H378" s="3" t="s">
        <v>4984</v>
      </c>
      <c r="I378" s="3"/>
      <c r="J378" s="78"/>
      <c r="K378" s="78"/>
      <c r="M378" s="78"/>
      <c r="V378" s="8">
        <v>1</v>
      </c>
      <c r="W378" s="8">
        <v>1</v>
      </c>
      <c r="X378" s="10">
        <v>1</v>
      </c>
      <c r="Y378" s="8">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BX378" s="8">
        <v>1</v>
      </c>
      <c r="BY378" s="8" t="str">
        <f>+_xlfn.XLOOKUP(Table1[[#This Row],[L4 Code]],KIRMATAŞ!B:B,KIRMATAŞ!B:B,"")</f>
        <v/>
      </c>
      <c r="BZ378" s="8" t="str">
        <f>+_xlfn.XLOOKUP(Table1[[#This Row],[L4 Code]],'SU TEMİNİ'!C:C,'SU TEMİNİ'!C:C,"")</f>
        <v/>
      </c>
      <c r="CA378" s="8" t="str">
        <f>+_xlfn.XLOOKUP(Table1[[#This Row],[L4 Code]],TAŞ!C:C,TAŞ!C:C,"")</f>
        <v/>
      </c>
      <c r="CB378" s="8" t="str">
        <f>Table1[[#This Row],[L4 Code]]&amp;"-"&amp;Table1[[#This Row],[T1 Code]]</f>
        <v>E-02.MAK-05.OPS-030-1000</v>
      </c>
    </row>
    <row r="379" spans="1:80">
      <c r="A379" s="3" t="s">
        <v>5444</v>
      </c>
      <c r="B379" t="s">
        <v>4153</v>
      </c>
      <c r="D379" t="s">
        <v>4967</v>
      </c>
      <c r="F379" s="77" t="s">
        <v>4973</v>
      </c>
      <c r="H379" s="3" t="s">
        <v>4984</v>
      </c>
      <c r="I379" s="3"/>
      <c r="J379" s="78"/>
      <c r="K379" s="78"/>
      <c r="M379" s="78"/>
      <c r="V379" s="8">
        <v>1</v>
      </c>
      <c r="W379" s="8">
        <v>1</v>
      </c>
      <c r="X379" s="10">
        <v>1</v>
      </c>
      <c r="Y379" s="8">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BX379" s="8">
        <v>1</v>
      </c>
      <c r="BY379" s="8" t="str">
        <f>+_xlfn.XLOOKUP(Table1[[#This Row],[L4 Code]],KIRMATAŞ!B:B,KIRMATAŞ!B:B,"")</f>
        <v/>
      </c>
      <c r="BZ379" s="8" t="str">
        <f>+_xlfn.XLOOKUP(Table1[[#This Row],[L4 Code]],'SU TEMİNİ'!C:C,'SU TEMİNİ'!C:C,"")</f>
        <v/>
      </c>
      <c r="CA379" s="8" t="str">
        <f>+_xlfn.XLOOKUP(Table1[[#This Row],[L4 Code]],TAŞ!C:C,TAŞ!C:C,"")</f>
        <v/>
      </c>
      <c r="CB379" s="8" t="str">
        <f>Table1[[#This Row],[L4 Code]]&amp;"-"&amp;Table1[[#This Row],[T1 Code]]</f>
        <v>E-02.MAK-05.OPS-050-1000</v>
      </c>
    </row>
    <row r="380" spans="1:80">
      <c r="A380" s="3" t="s">
        <v>5444</v>
      </c>
      <c r="B380" t="s">
        <v>4155</v>
      </c>
      <c r="D380" t="s">
        <v>4967</v>
      </c>
      <c r="F380" s="77" t="s">
        <v>4973</v>
      </c>
      <c r="H380" s="3" t="s">
        <v>4984</v>
      </c>
      <c r="I380" s="3"/>
      <c r="J380" s="78"/>
      <c r="K380" s="78"/>
      <c r="M380" s="78"/>
      <c r="V380" s="8">
        <v>1</v>
      </c>
      <c r="W380" s="8">
        <v>1</v>
      </c>
      <c r="X380" s="10">
        <v>1</v>
      </c>
      <c r="Y380" s="8">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BX380" s="8">
        <v>1</v>
      </c>
      <c r="BY380" s="8" t="str">
        <f>+_xlfn.XLOOKUP(Table1[[#This Row],[L4 Code]],KIRMATAŞ!B:B,KIRMATAŞ!B:B,"")</f>
        <v/>
      </c>
      <c r="BZ380" s="8" t="str">
        <f>+_xlfn.XLOOKUP(Table1[[#This Row],[L4 Code]],'SU TEMİNİ'!C:C,'SU TEMİNİ'!C:C,"")</f>
        <v/>
      </c>
      <c r="CA380" s="8" t="str">
        <f>+_xlfn.XLOOKUP(Table1[[#This Row],[L4 Code]],TAŞ!C:C,TAŞ!C:C,"")</f>
        <v/>
      </c>
      <c r="CB380" s="8" t="str">
        <f>Table1[[#This Row],[L4 Code]]&amp;"-"&amp;Table1[[#This Row],[T1 Code]]</f>
        <v>E-02.MAK-05.OPS-061-1000</v>
      </c>
    </row>
    <row r="381" spans="1:80">
      <c r="A381" s="3" t="s">
        <v>5444</v>
      </c>
      <c r="B381" t="s">
        <v>4157</v>
      </c>
      <c r="D381" t="s">
        <v>4967</v>
      </c>
      <c r="F381" s="77" t="s">
        <v>4973</v>
      </c>
      <c r="H381" s="3" t="s">
        <v>4984</v>
      </c>
      <c r="I381" s="3"/>
      <c r="J381" s="78"/>
      <c r="K381" s="78"/>
      <c r="M381" s="78"/>
      <c r="V381" s="8">
        <v>1</v>
      </c>
      <c r="W381" s="8">
        <v>1</v>
      </c>
      <c r="X381" s="10">
        <v>1</v>
      </c>
      <c r="Y381" s="8">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BX381" s="8">
        <v>1</v>
      </c>
      <c r="BY381" s="8" t="str">
        <f>+_xlfn.XLOOKUP(Table1[[#This Row],[L4 Code]],KIRMATAŞ!B:B,KIRMATAŞ!B:B,"")</f>
        <v/>
      </c>
      <c r="BZ381" s="8" t="str">
        <f>+_xlfn.XLOOKUP(Table1[[#This Row],[L4 Code]],'SU TEMİNİ'!C:C,'SU TEMİNİ'!C:C,"")</f>
        <v/>
      </c>
      <c r="CA381" s="8" t="str">
        <f>+_xlfn.XLOOKUP(Table1[[#This Row],[L4 Code]],TAŞ!C:C,TAŞ!C:C,"")</f>
        <v/>
      </c>
      <c r="CB381" s="8" t="str">
        <f>Table1[[#This Row],[L4 Code]]&amp;"-"&amp;Table1[[#This Row],[T1 Code]]</f>
        <v>E-02.MAK-05.OPS-062-1000</v>
      </c>
    </row>
    <row r="382" spans="1:80">
      <c r="A382" s="3" t="s">
        <v>5444</v>
      </c>
      <c r="B382" t="s">
        <v>4159</v>
      </c>
      <c r="D382" t="s">
        <v>4967</v>
      </c>
      <c r="F382" s="77" t="s">
        <v>4973</v>
      </c>
      <c r="H382" s="3" t="s">
        <v>4984</v>
      </c>
      <c r="I382" s="3"/>
      <c r="J382" s="78"/>
      <c r="K382" s="78"/>
      <c r="M382" s="78"/>
      <c r="V382" s="8">
        <v>1</v>
      </c>
      <c r="W382" s="8">
        <v>1</v>
      </c>
      <c r="X382" s="10">
        <v>1</v>
      </c>
      <c r="Y382" s="8">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BX382" s="8">
        <v>1</v>
      </c>
      <c r="BY382" s="8" t="str">
        <f>+_xlfn.XLOOKUP(Table1[[#This Row],[L4 Code]],KIRMATAŞ!B:B,KIRMATAŞ!B:B,"")</f>
        <v/>
      </c>
      <c r="BZ382" s="8" t="str">
        <f>+_xlfn.XLOOKUP(Table1[[#This Row],[L4 Code]],'SU TEMİNİ'!C:C,'SU TEMİNİ'!C:C,"")</f>
        <v/>
      </c>
      <c r="CA382" s="8" t="str">
        <f>+_xlfn.XLOOKUP(Table1[[#This Row],[L4 Code]],TAŞ!C:C,TAŞ!C:C,"")</f>
        <v/>
      </c>
      <c r="CB382" s="8" t="str">
        <f>Table1[[#This Row],[L4 Code]]&amp;"-"&amp;Table1[[#This Row],[T1 Code]]</f>
        <v>E-02.MAK-05.OPS-063-1000</v>
      </c>
    </row>
    <row r="383" spans="1:80">
      <c r="A383" s="3" t="s">
        <v>5444</v>
      </c>
      <c r="B383" t="s">
        <v>5199</v>
      </c>
      <c r="D383" t="s">
        <v>4967</v>
      </c>
      <c r="F383" s="77" t="s">
        <v>4973</v>
      </c>
      <c r="H383" s="3" t="s">
        <v>4984</v>
      </c>
      <c r="I383" s="3"/>
      <c r="J383" s="78"/>
      <c r="K383" s="78"/>
      <c r="M383" s="78"/>
      <c r="V383" s="8">
        <v>1</v>
      </c>
      <c r="W383" s="8">
        <v>1</v>
      </c>
      <c r="X383" s="10">
        <v>1</v>
      </c>
      <c r="Y383" s="8">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BX383" s="8">
        <v>1</v>
      </c>
      <c r="BY383" s="8" t="str">
        <f>+_xlfn.XLOOKUP(Table1[[#This Row],[L4 Code]],KIRMATAŞ!B:B,KIRMATAŞ!B:B,"")</f>
        <v/>
      </c>
      <c r="BZ383" s="8" t="str">
        <f>+_xlfn.XLOOKUP(Table1[[#This Row],[L4 Code]],'SU TEMİNİ'!C:C,'SU TEMİNİ'!C:C,"")</f>
        <v/>
      </c>
      <c r="CA383" s="8" t="str">
        <f>+_xlfn.XLOOKUP(Table1[[#This Row],[L4 Code]],TAŞ!C:C,TAŞ!C:C,"")</f>
        <v/>
      </c>
      <c r="CB383" s="8" t="str">
        <f>Table1[[#This Row],[L4 Code]]&amp;"-"&amp;Table1[[#This Row],[T1 Code]]</f>
        <v>E-02.MAK-05.OPS-064-1000</v>
      </c>
    </row>
    <row r="384" spans="1:80">
      <c r="A384" s="3" t="s">
        <v>5444</v>
      </c>
      <c r="B384" t="s">
        <v>5200</v>
      </c>
      <c r="D384" t="s">
        <v>4967</v>
      </c>
      <c r="F384" s="77" t="s">
        <v>4973</v>
      </c>
      <c r="H384" s="3" t="s">
        <v>4984</v>
      </c>
      <c r="I384" s="3"/>
      <c r="J384" s="78"/>
      <c r="K384" s="78"/>
      <c r="M384" s="78"/>
      <c r="V384" s="8">
        <v>1</v>
      </c>
      <c r="W384" s="8">
        <v>1</v>
      </c>
      <c r="X384" s="10">
        <v>1</v>
      </c>
      <c r="Y384" s="8">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BX384" s="8">
        <v>1</v>
      </c>
      <c r="BY384" s="8" t="str">
        <f>+_xlfn.XLOOKUP(Table1[[#This Row],[L4 Code]],KIRMATAŞ!B:B,KIRMATAŞ!B:B,"")</f>
        <v/>
      </c>
      <c r="BZ384" s="8" t="str">
        <f>+_xlfn.XLOOKUP(Table1[[#This Row],[L4 Code]],'SU TEMİNİ'!C:C,'SU TEMİNİ'!C:C,"")</f>
        <v/>
      </c>
      <c r="CA384" s="8" t="str">
        <f>+_xlfn.XLOOKUP(Table1[[#This Row],[L4 Code]],TAŞ!C:C,TAŞ!C:C,"")</f>
        <v/>
      </c>
      <c r="CB384" s="8" t="str">
        <f>Table1[[#This Row],[L4 Code]]&amp;"-"&amp;Table1[[#This Row],[T1 Code]]</f>
        <v>E-02.MAK-05.OPS-065-1000</v>
      </c>
    </row>
    <row r="385" spans="1:80">
      <c r="A385" s="3" t="s">
        <v>5444</v>
      </c>
      <c r="B385" t="s">
        <v>5201</v>
      </c>
      <c r="D385" t="s">
        <v>4967</v>
      </c>
      <c r="F385" s="77" t="s">
        <v>4973</v>
      </c>
      <c r="H385" s="3" t="s">
        <v>4984</v>
      </c>
      <c r="I385" s="3"/>
      <c r="J385" s="78"/>
      <c r="K385" s="78"/>
      <c r="M385" s="78"/>
      <c r="V385" s="8">
        <v>1</v>
      </c>
      <c r="W385" s="8">
        <v>1</v>
      </c>
      <c r="X385" s="10">
        <v>1</v>
      </c>
      <c r="Y385" s="8">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BX385" s="8">
        <v>1</v>
      </c>
      <c r="BY385" s="8" t="str">
        <f>+_xlfn.XLOOKUP(Table1[[#This Row],[L4 Code]],KIRMATAŞ!B:B,KIRMATAŞ!B:B,"")</f>
        <v/>
      </c>
      <c r="BZ385" s="8" t="str">
        <f>+_xlfn.XLOOKUP(Table1[[#This Row],[L4 Code]],'SU TEMİNİ'!C:C,'SU TEMİNİ'!C:C,"")</f>
        <v/>
      </c>
      <c r="CA385" s="8" t="str">
        <f>+_xlfn.XLOOKUP(Table1[[#This Row],[L4 Code]],TAŞ!C:C,TAŞ!C:C,"")</f>
        <v/>
      </c>
      <c r="CB385" s="8" t="str">
        <f>Table1[[#This Row],[L4 Code]]&amp;"-"&amp;Table1[[#This Row],[T1 Code]]</f>
        <v>E-02.MAK-05.OPS-066-1000</v>
      </c>
    </row>
    <row r="386" spans="1:80">
      <c r="A386" s="3" t="s">
        <v>5444</v>
      </c>
      <c r="B386" t="s">
        <v>4161</v>
      </c>
      <c r="D386" t="s">
        <v>4967</v>
      </c>
      <c r="F386" s="77" t="s">
        <v>4973</v>
      </c>
      <c r="H386" s="3" t="s">
        <v>4984</v>
      </c>
      <c r="I386" s="3"/>
      <c r="J386" s="78"/>
      <c r="K386" s="78"/>
      <c r="M386" s="78"/>
      <c r="V386" s="8">
        <v>1</v>
      </c>
      <c r="W386" s="8">
        <v>1</v>
      </c>
      <c r="X386" s="10">
        <v>1</v>
      </c>
      <c r="Y386" s="8">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BX386" s="8">
        <v>1</v>
      </c>
      <c r="BY386" s="8" t="str">
        <f>+_xlfn.XLOOKUP(Table1[[#This Row],[L4 Code]],KIRMATAŞ!B:B,KIRMATAŞ!B:B,"")</f>
        <v/>
      </c>
      <c r="BZ386" s="8" t="str">
        <f>+_xlfn.XLOOKUP(Table1[[#This Row],[L4 Code]],'SU TEMİNİ'!C:C,'SU TEMİNİ'!C:C,"")</f>
        <v/>
      </c>
      <c r="CA386" s="8" t="str">
        <f>+_xlfn.XLOOKUP(Table1[[#This Row],[L4 Code]],TAŞ!C:C,TAŞ!C:C,"")</f>
        <v/>
      </c>
      <c r="CB386" s="8" t="str">
        <f>Table1[[#This Row],[L4 Code]]&amp;"-"&amp;Table1[[#This Row],[T1 Code]]</f>
        <v>E-02.MAK-05.OPS-067-1000</v>
      </c>
    </row>
    <row r="387" spans="1:80">
      <c r="A387" s="3" t="s">
        <v>5444</v>
      </c>
      <c r="B387" t="s">
        <v>4163</v>
      </c>
      <c r="D387" t="s">
        <v>4967</v>
      </c>
      <c r="F387" s="77" t="s">
        <v>4973</v>
      </c>
      <c r="H387" s="3" t="s">
        <v>4984</v>
      </c>
      <c r="I387" s="3"/>
      <c r="J387" s="78"/>
      <c r="K387" s="78"/>
      <c r="M387" s="78"/>
      <c r="V387" s="8">
        <v>1</v>
      </c>
      <c r="W387" s="8">
        <v>1</v>
      </c>
      <c r="X387" s="10">
        <v>1</v>
      </c>
      <c r="Y387" s="8">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BX387" s="8">
        <v>1</v>
      </c>
      <c r="BY387" s="8" t="str">
        <f>+_xlfn.XLOOKUP(Table1[[#This Row],[L4 Code]],KIRMATAŞ!B:B,KIRMATAŞ!B:B,"")</f>
        <v/>
      </c>
      <c r="BZ387" s="8" t="str">
        <f>+_xlfn.XLOOKUP(Table1[[#This Row],[L4 Code]],'SU TEMİNİ'!C:C,'SU TEMİNİ'!C:C,"")</f>
        <v/>
      </c>
      <c r="CA387" s="8" t="str">
        <f>+_xlfn.XLOOKUP(Table1[[#This Row],[L4 Code]],TAŞ!C:C,TAŞ!C:C,"")</f>
        <v/>
      </c>
      <c r="CB387" s="8" t="str">
        <f>Table1[[#This Row],[L4 Code]]&amp;"-"&amp;Table1[[#This Row],[T1 Code]]</f>
        <v>E-02.MAK-05.OPS-080-1000</v>
      </c>
    </row>
    <row r="388" spans="1:80">
      <c r="A388" s="3" t="s">
        <v>5444</v>
      </c>
      <c r="B388" t="s">
        <v>4165</v>
      </c>
      <c r="D388" t="s">
        <v>4967</v>
      </c>
      <c r="F388" s="77" t="s">
        <v>4973</v>
      </c>
      <c r="H388" s="3" t="s">
        <v>4984</v>
      </c>
      <c r="I388" s="3"/>
      <c r="J388" s="78"/>
      <c r="K388" s="78"/>
      <c r="M388" s="78"/>
      <c r="V388" s="8">
        <v>1</v>
      </c>
      <c r="W388" s="8">
        <v>1</v>
      </c>
      <c r="X388" s="10">
        <v>1</v>
      </c>
      <c r="Y388" s="8">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BX388" s="8">
        <v>1</v>
      </c>
      <c r="BY388" s="8" t="str">
        <f>+_xlfn.XLOOKUP(Table1[[#This Row],[L4 Code]],KIRMATAŞ!B:B,KIRMATAŞ!B:B,"")</f>
        <v/>
      </c>
      <c r="BZ388" s="8" t="str">
        <f>+_xlfn.XLOOKUP(Table1[[#This Row],[L4 Code]],'SU TEMİNİ'!C:C,'SU TEMİNİ'!C:C,"")</f>
        <v/>
      </c>
      <c r="CA388" s="8" t="str">
        <f>+_xlfn.XLOOKUP(Table1[[#This Row],[L4 Code]],TAŞ!C:C,TAŞ!C:C,"")</f>
        <v/>
      </c>
      <c r="CB388" s="8" t="str">
        <f>Table1[[#This Row],[L4 Code]]&amp;"-"&amp;Table1[[#This Row],[T1 Code]]</f>
        <v>E-02.MAK-05.OPS-081-1000</v>
      </c>
    </row>
    <row r="389" spans="1:80">
      <c r="A389" s="3" t="s">
        <v>5444</v>
      </c>
      <c r="B389" t="s">
        <v>4167</v>
      </c>
      <c r="D389" t="s">
        <v>4967</v>
      </c>
      <c r="F389" s="77" t="s">
        <v>4973</v>
      </c>
      <c r="H389" s="3" t="s">
        <v>4984</v>
      </c>
      <c r="I389" s="3"/>
      <c r="J389" s="78"/>
      <c r="K389" s="78"/>
      <c r="M389" s="78"/>
      <c r="V389" s="8">
        <v>1</v>
      </c>
      <c r="W389" s="8">
        <v>1</v>
      </c>
      <c r="X389" s="10">
        <v>1</v>
      </c>
      <c r="Y389" s="8">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BX389" s="8">
        <v>1</v>
      </c>
      <c r="BY389" s="8" t="str">
        <f>+_xlfn.XLOOKUP(Table1[[#This Row],[L4 Code]],KIRMATAŞ!B:B,KIRMATAŞ!B:B,"")</f>
        <v/>
      </c>
      <c r="BZ389" s="8" t="str">
        <f>+_xlfn.XLOOKUP(Table1[[#This Row],[L4 Code]],'SU TEMİNİ'!C:C,'SU TEMİNİ'!C:C,"")</f>
        <v/>
      </c>
      <c r="CA389" s="8" t="str">
        <f>+_xlfn.XLOOKUP(Table1[[#This Row],[L4 Code]],TAŞ!C:C,TAŞ!C:C,"")</f>
        <v/>
      </c>
      <c r="CB389" s="8" t="str">
        <f>Table1[[#This Row],[L4 Code]]&amp;"-"&amp;Table1[[#This Row],[T1 Code]]</f>
        <v>E-02.MAK-05.OPS-090-1000</v>
      </c>
    </row>
    <row r="390" spans="1:80">
      <c r="A390" s="3" t="s">
        <v>5444</v>
      </c>
      <c r="B390" t="s">
        <v>4169</v>
      </c>
      <c r="D390" t="s">
        <v>4967</v>
      </c>
      <c r="F390" s="77" t="s">
        <v>4973</v>
      </c>
      <c r="H390" s="3" t="s">
        <v>4984</v>
      </c>
      <c r="I390" s="3"/>
      <c r="J390" s="78"/>
      <c r="K390" s="78"/>
      <c r="M390" s="78"/>
      <c r="V390" s="8">
        <v>1</v>
      </c>
      <c r="W390" s="8">
        <v>1</v>
      </c>
      <c r="X390" s="10">
        <v>1</v>
      </c>
      <c r="Y390" s="8">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BX390" s="8">
        <v>1</v>
      </c>
      <c r="BY390" s="8" t="str">
        <f>+_xlfn.XLOOKUP(Table1[[#This Row],[L4 Code]],KIRMATAŞ!B:B,KIRMATAŞ!B:B,"")</f>
        <v/>
      </c>
      <c r="BZ390" s="8" t="str">
        <f>+_xlfn.XLOOKUP(Table1[[#This Row],[L4 Code]],'SU TEMİNİ'!C:C,'SU TEMİNİ'!C:C,"")</f>
        <v/>
      </c>
      <c r="CA390" s="8" t="str">
        <f>+_xlfn.XLOOKUP(Table1[[#This Row],[L4 Code]],TAŞ!C:C,TAŞ!C:C,"")</f>
        <v/>
      </c>
      <c r="CB390" s="8" t="str">
        <f>Table1[[#This Row],[L4 Code]]&amp;"-"&amp;Table1[[#This Row],[T1 Code]]</f>
        <v>E-02.MAK-05.OPS-095-1000</v>
      </c>
    </row>
    <row r="391" spans="1:80">
      <c r="A391" s="3" t="s">
        <v>5444</v>
      </c>
      <c r="B391" t="s">
        <v>5202</v>
      </c>
      <c r="D391" t="s">
        <v>4967</v>
      </c>
      <c r="F391" s="77" t="s">
        <v>4973</v>
      </c>
      <c r="H391" s="3" t="s">
        <v>4984</v>
      </c>
      <c r="I391" s="3"/>
      <c r="J391" s="78"/>
      <c r="K391" s="78"/>
      <c r="M391" s="78"/>
      <c r="V391" s="8">
        <v>1</v>
      </c>
      <c r="W391" s="8">
        <v>1</v>
      </c>
      <c r="X391" s="10">
        <v>1</v>
      </c>
      <c r="Y391" s="8">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BX391" s="8">
        <v>1</v>
      </c>
      <c r="BY391" s="8" t="str">
        <f>+_xlfn.XLOOKUP(Table1[[#This Row],[L4 Code]],KIRMATAŞ!B:B,KIRMATAŞ!B:B,"")</f>
        <v/>
      </c>
      <c r="BZ391" s="8" t="str">
        <f>+_xlfn.XLOOKUP(Table1[[#This Row],[L4 Code]],'SU TEMİNİ'!C:C,'SU TEMİNİ'!C:C,"")</f>
        <v/>
      </c>
      <c r="CA391" s="8" t="str">
        <f>+_xlfn.XLOOKUP(Table1[[#This Row],[L4 Code]],TAŞ!C:C,TAŞ!C:C,"")</f>
        <v/>
      </c>
      <c r="CB391" s="8" t="str">
        <f>Table1[[#This Row],[L4 Code]]&amp;"-"&amp;Table1[[#This Row],[T1 Code]]</f>
        <v>E-02.MAK-05.OPS-100-1000</v>
      </c>
    </row>
    <row r="392" spans="1:80">
      <c r="A392" s="3" t="s">
        <v>5444</v>
      </c>
      <c r="B392" t="s">
        <v>4171</v>
      </c>
      <c r="D392" t="s">
        <v>4967</v>
      </c>
      <c r="F392" s="77" t="s">
        <v>4973</v>
      </c>
      <c r="H392" s="3" t="s">
        <v>4984</v>
      </c>
      <c r="I392" s="3"/>
      <c r="J392" s="78"/>
      <c r="K392" s="78"/>
      <c r="M392" s="78"/>
      <c r="V392" s="8">
        <v>1</v>
      </c>
      <c r="W392" s="8">
        <v>1</v>
      </c>
      <c r="X392" s="10">
        <v>1</v>
      </c>
      <c r="Y392" s="8">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BX392" s="8">
        <v>1</v>
      </c>
      <c r="BY392" s="8" t="str">
        <f>+_xlfn.XLOOKUP(Table1[[#This Row],[L4 Code]],KIRMATAŞ!B:B,KIRMATAŞ!B:B,"")</f>
        <v/>
      </c>
      <c r="BZ392" s="8" t="str">
        <f>+_xlfn.XLOOKUP(Table1[[#This Row],[L4 Code]],'SU TEMİNİ'!C:C,'SU TEMİNİ'!C:C,"")</f>
        <v/>
      </c>
      <c r="CA392" s="8" t="str">
        <f>+_xlfn.XLOOKUP(Table1[[#This Row],[L4 Code]],TAŞ!C:C,TAŞ!C:C,"")</f>
        <v/>
      </c>
      <c r="CB392" s="8" t="str">
        <f>Table1[[#This Row],[L4 Code]]&amp;"-"&amp;Table1[[#This Row],[T1 Code]]</f>
        <v>E-02.MAK-05.OPS-105-1000</v>
      </c>
    </row>
    <row r="393" spans="1:80">
      <c r="A393" s="3" t="s">
        <v>5444</v>
      </c>
      <c r="B393" t="s">
        <v>5203</v>
      </c>
      <c r="D393" t="s">
        <v>4967</v>
      </c>
      <c r="F393" s="77" t="s">
        <v>4973</v>
      </c>
      <c r="H393" s="3" t="s">
        <v>4984</v>
      </c>
      <c r="I393" s="3"/>
      <c r="J393" s="78"/>
      <c r="K393" s="78"/>
      <c r="M393" s="78"/>
      <c r="V393" s="8">
        <v>1</v>
      </c>
      <c r="W393" s="8">
        <v>1</v>
      </c>
      <c r="X393" s="10">
        <v>1</v>
      </c>
      <c r="Y393" s="8">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BX393" s="8">
        <v>1</v>
      </c>
      <c r="BY393" s="8" t="str">
        <f>+_xlfn.XLOOKUP(Table1[[#This Row],[L4 Code]],KIRMATAŞ!B:B,KIRMATAŞ!B:B,"")</f>
        <v/>
      </c>
      <c r="BZ393" s="8" t="str">
        <f>+_xlfn.XLOOKUP(Table1[[#This Row],[L4 Code]],'SU TEMİNİ'!C:C,'SU TEMİNİ'!C:C,"")</f>
        <v/>
      </c>
      <c r="CA393" s="8" t="str">
        <f>+_xlfn.XLOOKUP(Table1[[#This Row],[L4 Code]],TAŞ!C:C,TAŞ!C:C,"")</f>
        <v/>
      </c>
      <c r="CB393" s="8" t="str">
        <f>Table1[[#This Row],[L4 Code]]&amp;"-"&amp;Table1[[#This Row],[T1 Code]]</f>
        <v>E-02.MAK-05.OPS-106-1000</v>
      </c>
    </row>
    <row r="394" spans="1:80">
      <c r="A394" s="3" t="s">
        <v>5444</v>
      </c>
      <c r="B394" t="s">
        <v>4173</v>
      </c>
      <c r="D394" t="s">
        <v>4967</v>
      </c>
      <c r="F394" s="77" t="s">
        <v>4973</v>
      </c>
      <c r="H394" s="3" t="s">
        <v>4984</v>
      </c>
      <c r="I394" s="3"/>
      <c r="J394" s="78"/>
      <c r="K394" s="78"/>
      <c r="M394" s="78"/>
      <c r="V394" s="8">
        <v>1</v>
      </c>
      <c r="W394" s="8">
        <v>1</v>
      </c>
      <c r="X394" s="10">
        <v>1</v>
      </c>
      <c r="Y394" s="8">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BX394" s="8">
        <v>1</v>
      </c>
      <c r="BY394" s="8" t="str">
        <f>+_xlfn.XLOOKUP(Table1[[#This Row],[L4 Code]],KIRMATAŞ!B:B,KIRMATAŞ!B:B,"")</f>
        <v/>
      </c>
      <c r="BZ394" s="8" t="str">
        <f>+_xlfn.XLOOKUP(Table1[[#This Row],[L4 Code]],'SU TEMİNİ'!C:C,'SU TEMİNİ'!C:C,"")</f>
        <v/>
      </c>
      <c r="CA394" s="8" t="str">
        <f>+_xlfn.XLOOKUP(Table1[[#This Row],[L4 Code]],TAŞ!C:C,TAŞ!C:C,"")</f>
        <v/>
      </c>
      <c r="CB394" s="8" t="str">
        <f>Table1[[#This Row],[L4 Code]]&amp;"-"&amp;Table1[[#This Row],[T1 Code]]</f>
        <v>E-02.MAK-05.OPS-110-1000</v>
      </c>
    </row>
    <row r="395" spans="1:80">
      <c r="A395" s="3" t="s">
        <v>5444</v>
      </c>
      <c r="B395" t="s">
        <v>4175</v>
      </c>
      <c r="D395" t="s">
        <v>4967</v>
      </c>
      <c r="F395" s="77" t="s">
        <v>4973</v>
      </c>
      <c r="H395" s="3" t="s">
        <v>4984</v>
      </c>
      <c r="I395" s="3"/>
      <c r="J395" s="78"/>
      <c r="K395" s="78"/>
      <c r="M395" s="78"/>
      <c r="V395" s="8">
        <v>1</v>
      </c>
      <c r="W395" s="8">
        <v>1</v>
      </c>
      <c r="X395" s="10">
        <v>1</v>
      </c>
      <c r="Y395" s="8">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BX395" s="8">
        <v>1</v>
      </c>
      <c r="BY395" s="8" t="str">
        <f>+_xlfn.XLOOKUP(Table1[[#This Row],[L4 Code]],KIRMATAŞ!B:B,KIRMATAŞ!B:B,"")</f>
        <v/>
      </c>
      <c r="BZ395" s="8" t="str">
        <f>+_xlfn.XLOOKUP(Table1[[#This Row],[L4 Code]],'SU TEMİNİ'!C:C,'SU TEMİNİ'!C:C,"")</f>
        <v/>
      </c>
      <c r="CA395" s="8" t="str">
        <f>+_xlfn.XLOOKUP(Table1[[#This Row],[L4 Code]],TAŞ!C:C,TAŞ!C:C,"")</f>
        <v/>
      </c>
      <c r="CB395" s="8" t="str">
        <f>Table1[[#This Row],[L4 Code]]&amp;"-"&amp;Table1[[#This Row],[T1 Code]]</f>
        <v>E-02.MAK-05.OPS-111-1000</v>
      </c>
    </row>
    <row r="396" spans="1:80">
      <c r="A396" s="3" t="s">
        <v>5444</v>
      </c>
      <c r="B396" t="s">
        <v>4177</v>
      </c>
      <c r="D396" t="s">
        <v>4967</v>
      </c>
      <c r="F396" s="77" t="s">
        <v>4973</v>
      </c>
      <c r="H396" s="3" t="s">
        <v>4984</v>
      </c>
      <c r="I396" s="3"/>
      <c r="J396" s="78"/>
      <c r="K396" s="78"/>
      <c r="M396" s="78"/>
      <c r="V396" s="8">
        <v>1</v>
      </c>
      <c r="W396" s="8">
        <v>1</v>
      </c>
      <c r="X396" s="10">
        <v>1</v>
      </c>
      <c r="Y396" s="8">
        <v>1</v>
      </c>
      <c r="Z396" s="8">
        <v>1</v>
      </c>
      <c r="AA396" s="8">
        <v>1</v>
      </c>
      <c r="AB396" s="8">
        <v>1</v>
      </c>
      <c r="AC396" s="8">
        <v>1</v>
      </c>
      <c r="AD396" s="8">
        <v>1</v>
      </c>
      <c r="AE396" s="8">
        <v>1</v>
      </c>
      <c r="AF396" s="8">
        <v>1</v>
      </c>
      <c r="AG396" s="8">
        <v>1</v>
      </c>
      <c r="AH396" s="8">
        <v>1</v>
      </c>
      <c r="AI396" s="8">
        <v>1</v>
      </c>
      <c r="AJ396" s="8">
        <v>1</v>
      </c>
      <c r="AK396" s="8">
        <v>1</v>
      </c>
      <c r="AL396" s="8">
        <v>1</v>
      </c>
      <c r="AM396" s="8">
        <v>1</v>
      </c>
      <c r="AN396" s="8">
        <v>1</v>
      </c>
      <c r="AO396" s="8">
        <v>1</v>
      </c>
      <c r="AP396" s="8">
        <v>1</v>
      </c>
      <c r="AQ396" s="8">
        <v>1</v>
      </c>
      <c r="AR396" s="8">
        <v>1</v>
      </c>
      <c r="AS396" s="8">
        <v>1</v>
      </c>
      <c r="AT396" s="8">
        <v>1</v>
      </c>
      <c r="AU396" s="8">
        <v>1</v>
      </c>
      <c r="AV396" s="8">
        <v>1</v>
      </c>
      <c r="AW396" s="8">
        <v>1</v>
      </c>
      <c r="AX396" s="8">
        <v>1</v>
      </c>
      <c r="AY396" s="8">
        <v>1</v>
      </c>
      <c r="AZ396" s="8">
        <v>1</v>
      </c>
      <c r="BA396" s="8">
        <v>1</v>
      </c>
      <c r="BB396" s="8">
        <v>1</v>
      </c>
      <c r="BC396" s="8">
        <v>1</v>
      </c>
      <c r="BD396" s="8">
        <v>1</v>
      </c>
      <c r="BE396" s="8">
        <v>1</v>
      </c>
      <c r="BF396" s="8">
        <v>1</v>
      </c>
      <c r="BG396" s="8">
        <v>1</v>
      </c>
      <c r="BH396" s="8">
        <v>1</v>
      </c>
      <c r="BI396" s="8">
        <v>1</v>
      </c>
      <c r="BJ396" s="8">
        <v>1</v>
      </c>
      <c r="BK396" s="8">
        <v>1</v>
      </c>
      <c r="BL396" s="8">
        <v>1</v>
      </c>
      <c r="BM396" s="8">
        <v>1</v>
      </c>
      <c r="BN396" s="8">
        <v>1</v>
      </c>
      <c r="BO396" s="8">
        <v>1</v>
      </c>
      <c r="BP396" s="8">
        <v>1</v>
      </c>
      <c r="BQ396" s="8">
        <v>1</v>
      </c>
      <c r="BR396" s="8">
        <v>1</v>
      </c>
      <c r="BS396" s="8">
        <v>1</v>
      </c>
      <c r="BT396" s="8">
        <v>1</v>
      </c>
      <c r="BU396" s="8">
        <v>1</v>
      </c>
      <c r="BV396" s="8">
        <v>1</v>
      </c>
      <c r="BW396" s="8">
        <v>1</v>
      </c>
      <c r="BX396" s="8">
        <v>1</v>
      </c>
      <c r="BY396" s="8" t="str">
        <f>+_xlfn.XLOOKUP(Table1[[#This Row],[L4 Code]],KIRMATAŞ!B:B,KIRMATAŞ!B:B,"")</f>
        <v/>
      </c>
      <c r="BZ396" s="8" t="str">
        <f>+_xlfn.XLOOKUP(Table1[[#This Row],[L4 Code]],'SU TEMİNİ'!C:C,'SU TEMİNİ'!C:C,"")</f>
        <v/>
      </c>
      <c r="CA396" s="8" t="str">
        <f>+_xlfn.XLOOKUP(Table1[[#This Row],[L4 Code]],TAŞ!C:C,TAŞ!C:C,"")</f>
        <v/>
      </c>
      <c r="CB396" s="8" t="str">
        <f>Table1[[#This Row],[L4 Code]]&amp;"-"&amp;Table1[[#This Row],[T1 Code]]</f>
        <v>E-02.MAK-05.OPS-140-1000</v>
      </c>
    </row>
    <row r="397" spans="1:80">
      <c r="A397" s="3" t="s">
        <v>5444</v>
      </c>
      <c r="B397" t="s">
        <v>4196</v>
      </c>
      <c r="D397" t="s">
        <v>4967</v>
      </c>
      <c r="F397" s="77" t="s">
        <v>4973</v>
      </c>
      <c r="H397" s="3" t="s">
        <v>4984</v>
      </c>
      <c r="I397" s="3"/>
      <c r="J397" s="78"/>
      <c r="K397" s="78"/>
      <c r="M397" s="78"/>
      <c r="X397" s="10"/>
      <c r="Y397" s="8">
        <v>2.5000000000000001E-2</v>
      </c>
      <c r="Z397" s="8">
        <v>2.5000000000000001E-2</v>
      </c>
      <c r="AA397" s="8">
        <v>2.5000000000000001E-2</v>
      </c>
      <c r="AB397" s="8">
        <v>2.5000000000000001E-2</v>
      </c>
      <c r="AC397" s="8">
        <v>2.5000000000000001E-2</v>
      </c>
      <c r="AD397" s="8">
        <v>2.5000000000000001E-2</v>
      </c>
      <c r="AE397" s="8">
        <v>2.5000000000000001E-2</v>
      </c>
      <c r="AF397" s="8">
        <v>2.5000000000000001E-2</v>
      </c>
      <c r="AG397" s="8">
        <v>2.5000000000000001E-2</v>
      </c>
      <c r="AH397" s="8">
        <v>2.5000000000000001E-2</v>
      </c>
      <c r="AI397" s="8">
        <v>2.5000000000000001E-2</v>
      </c>
      <c r="AJ397" s="8">
        <v>2.5000000000000001E-2</v>
      </c>
      <c r="AK397" s="8">
        <v>2.5000000000000001E-2</v>
      </c>
      <c r="AL397" s="8">
        <v>2.5000000000000001E-2</v>
      </c>
      <c r="AM397" s="8">
        <v>2.5000000000000001E-2</v>
      </c>
      <c r="AN397" s="8">
        <v>2.5000000000000001E-2</v>
      </c>
      <c r="AO397" s="8">
        <v>2.5000000000000001E-2</v>
      </c>
      <c r="AP397" s="8">
        <v>2.5000000000000001E-2</v>
      </c>
      <c r="AQ397" s="8">
        <v>2.5000000000000001E-2</v>
      </c>
      <c r="AR397" s="8">
        <v>2.5000000000000001E-2</v>
      </c>
      <c r="AS397" s="8">
        <v>2.5000000000000001E-2</v>
      </c>
      <c r="AT397" s="8">
        <v>2.5000000000000001E-2</v>
      </c>
      <c r="AU397" s="8">
        <v>2.5000000000000001E-2</v>
      </c>
      <c r="AV397" s="8">
        <v>2.5000000000000001E-2</v>
      </c>
      <c r="AW397" s="8">
        <v>2.5000000000000001E-2</v>
      </c>
      <c r="AX397" s="8">
        <v>2.5000000000000001E-2</v>
      </c>
      <c r="AY397" s="8">
        <v>2.5000000000000001E-2</v>
      </c>
      <c r="AZ397" s="8">
        <v>2.5000000000000001E-2</v>
      </c>
      <c r="BA397" s="8">
        <v>2.5000000000000001E-2</v>
      </c>
      <c r="BB397" s="8">
        <v>2.5000000000000001E-2</v>
      </c>
      <c r="BC397" s="8">
        <v>2.5000000000000001E-2</v>
      </c>
      <c r="BD397" s="8">
        <v>2.5000000000000001E-2</v>
      </c>
      <c r="BE397" s="8">
        <v>2.5000000000000001E-2</v>
      </c>
      <c r="BF397" s="8">
        <v>2.5000000000000001E-2</v>
      </c>
      <c r="BG397" s="8">
        <v>2.5000000000000001E-2</v>
      </c>
      <c r="BH397" s="8">
        <v>2.5000000000000001E-2</v>
      </c>
      <c r="BI397" s="8">
        <v>2.5000000000000001E-2</v>
      </c>
      <c r="BJ397" s="8">
        <v>2.5000000000000001E-2</v>
      </c>
      <c r="BK397" s="8">
        <v>2.5000000000000001E-2</v>
      </c>
      <c r="BL397" s="8">
        <v>2.5000000000000001E-2</v>
      </c>
      <c r="BY397" s="8" t="str">
        <f>+_xlfn.XLOOKUP(Table1[[#This Row],[L4 Code]],KIRMATAŞ!B:B,KIRMATAŞ!B:B,"")</f>
        <v/>
      </c>
      <c r="BZ397" s="8" t="str">
        <f>+_xlfn.XLOOKUP(Table1[[#This Row],[L4 Code]],'SU TEMİNİ'!C:C,'SU TEMİNİ'!C:C,"")</f>
        <v/>
      </c>
      <c r="CA397" s="8" t="str">
        <f>+_xlfn.XLOOKUP(Table1[[#This Row],[L4 Code]],TAŞ!C:C,TAŞ!C:C,"")</f>
        <v/>
      </c>
      <c r="CB397" s="8" t="str">
        <f>Table1[[#This Row],[L4 Code]]&amp;"-"&amp;Table1[[#This Row],[T1 Code]]</f>
        <v>E-04.DNS-01.SEC-120-1000</v>
      </c>
    </row>
    <row r="398" spans="1:80">
      <c r="A398" s="3" t="s">
        <v>5444</v>
      </c>
      <c r="B398" t="s">
        <v>4198</v>
      </c>
      <c r="D398" t="s">
        <v>4967</v>
      </c>
      <c r="F398" s="77" t="s">
        <v>4973</v>
      </c>
      <c r="H398" s="3" t="s">
        <v>4984</v>
      </c>
      <c r="I398" s="3"/>
      <c r="J398" s="78"/>
      <c r="K398" s="78"/>
      <c r="M398" s="78"/>
      <c r="X398" s="10"/>
      <c r="Y398" s="8">
        <v>2.5000000000000001E-2</v>
      </c>
      <c r="Z398" s="8">
        <v>2.5000000000000001E-2</v>
      </c>
      <c r="AA398" s="8">
        <v>2.5000000000000001E-2</v>
      </c>
      <c r="AB398" s="8">
        <v>2.5000000000000001E-2</v>
      </c>
      <c r="AC398" s="8">
        <v>2.5000000000000001E-2</v>
      </c>
      <c r="AD398" s="8">
        <v>2.5000000000000001E-2</v>
      </c>
      <c r="AE398" s="8">
        <v>2.5000000000000001E-2</v>
      </c>
      <c r="AF398" s="8">
        <v>2.5000000000000001E-2</v>
      </c>
      <c r="AG398" s="8">
        <v>2.5000000000000001E-2</v>
      </c>
      <c r="AH398" s="8">
        <v>2.5000000000000001E-2</v>
      </c>
      <c r="AI398" s="8">
        <v>2.5000000000000001E-2</v>
      </c>
      <c r="AJ398" s="8">
        <v>2.5000000000000001E-2</v>
      </c>
      <c r="AK398" s="8">
        <v>2.5000000000000001E-2</v>
      </c>
      <c r="AL398" s="8">
        <v>2.5000000000000001E-2</v>
      </c>
      <c r="AM398" s="8">
        <v>2.5000000000000001E-2</v>
      </c>
      <c r="AN398" s="8">
        <v>2.5000000000000001E-2</v>
      </c>
      <c r="AO398" s="8">
        <v>2.5000000000000001E-2</v>
      </c>
      <c r="AP398" s="8">
        <v>2.5000000000000001E-2</v>
      </c>
      <c r="AQ398" s="8">
        <v>2.5000000000000001E-2</v>
      </c>
      <c r="AR398" s="8">
        <v>2.5000000000000001E-2</v>
      </c>
      <c r="AS398" s="8">
        <v>2.5000000000000001E-2</v>
      </c>
      <c r="AT398" s="8">
        <v>2.5000000000000001E-2</v>
      </c>
      <c r="AU398" s="8">
        <v>2.5000000000000001E-2</v>
      </c>
      <c r="AV398" s="8">
        <v>2.5000000000000001E-2</v>
      </c>
      <c r="AW398" s="8">
        <v>2.5000000000000001E-2</v>
      </c>
      <c r="AX398" s="8">
        <v>2.5000000000000001E-2</v>
      </c>
      <c r="AY398" s="8">
        <v>2.5000000000000001E-2</v>
      </c>
      <c r="AZ398" s="8">
        <v>2.5000000000000001E-2</v>
      </c>
      <c r="BA398" s="8">
        <v>2.5000000000000001E-2</v>
      </c>
      <c r="BB398" s="8">
        <v>2.5000000000000001E-2</v>
      </c>
      <c r="BC398" s="8">
        <v>2.5000000000000001E-2</v>
      </c>
      <c r="BD398" s="8">
        <v>2.5000000000000001E-2</v>
      </c>
      <c r="BE398" s="8">
        <v>2.5000000000000001E-2</v>
      </c>
      <c r="BF398" s="8">
        <v>2.5000000000000001E-2</v>
      </c>
      <c r="BG398" s="8">
        <v>2.5000000000000001E-2</v>
      </c>
      <c r="BH398" s="8">
        <v>2.5000000000000001E-2</v>
      </c>
      <c r="BI398" s="8">
        <v>2.5000000000000001E-2</v>
      </c>
      <c r="BJ398" s="8">
        <v>2.5000000000000001E-2</v>
      </c>
      <c r="BK398" s="8">
        <v>2.5000000000000001E-2</v>
      </c>
      <c r="BL398" s="8">
        <v>2.5000000000000001E-2</v>
      </c>
      <c r="BY398" s="8" t="str">
        <f>+_xlfn.XLOOKUP(Table1[[#This Row],[L4 Code]],KIRMATAŞ!B:B,KIRMATAŞ!B:B,"")</f>
        <v/>
      </c>
      <c r="BZ398" s="8" t="str">
        <f>+_xlfn.XLOOKUP(Table1[[#This Row],[L4 Code]],'SU TEMİNİ'!C:C,'SU TEMİNİ'!C:C,"")</f>
        <v/>
      </c>
      <c r="CA398" s="8" t="str">
        <f>+_xlfn.XLOOKUP(Table1[[#This Row],[L4 Code]],TAŞ!C:C,TAŞ!C:C,"")</f>
        <v/>
      </c>
      <c r="CB398" s="8" t="str">
        <f>Table1[[#This Row],[L4 Code]]&amp;"-"&amp;Table1[[#This Row],[T1 Code]]</f>
        <v>E-04.DNS-01.SEC-125-1000</v>
      </c>
    </row>
    <row r="399" spans="1:80">
      <c r="A399" s="3" t="s">
        <v>5444</v>
      </c>
      <c r="B399" t="s">
        <v>4200</v>
      </c>
      <c r="D399" t="s">
        <v>4967</v>
      </c>
      <c r="F399" s="77" t="s">
        <v>4973</v>
      </c>
      <c r="H399" s="3" t="s">
        <v>4984</v>
      </c>
      <c r="I399" s="3"/>
      <c r="J399" s="78"/>
      <c r="K399" s="78"/>
      <c r="M399" s="78"/>
      <c r="X399" s="10"/>
      <c r="Y399" s="8">
        <v>2.5000000000000001E-2</v>
      </c>
      <c r="Z399" s="8">
        <v>2.5000000000000001E-2</v>
      </c>
      <c r="AA399" s="8">
        <v>2.5000000000000001E-2</v>
      </c>
      <c r="AB399" s="8">
        <v>2.5000000000000001E-2</v>
      </c>
      <c r="AC399" s="8">
        <v>2.5000000000000001E-2</v>
      </c>
      <c r="AD399" s="8">
        <v>2.5000000000000001E-2</v>
      </c>
      <c r="AE399" s="8">
        <v>2.5000000000000001E-2</v>
      </c>
      <c r="AF399" s="8">
        <v>2.5000000000000001E-2</v>
      </c>
      <c r="AG399" s="8">
        <v>2.5000000000000001E-2</v>
      </c>
      <c r="AH399" s="8">
        <v>2.5000000000000001E-2</v>
      </c>
      <c r="AI399" s="8">
        <v>2.5000000000000001E-2</v>
      </c>
      <c r="AJ399" s="8">
        <v>2.5000000000000001E-2</v>
      </c>
      <c r="AK399" s="8">
        <v>2.5000000000000001E-2</v>
      </c>
      <c r="AL399" s="8">
        <v>2.5000000000000001E-2</v>
      </c>
      <c r="AM399" s="8">
        <v>2.5000000000000001E-2</v>
      </c>
      <c r="AN399" s="8">
        <v>2.5000000000000001E-2</v>
      </c>
      <c r="AO399" s="8">
        <v>2.5000000000000001E-2</v>
      </c>
      <c r="AP399" s="8">
        <v>2.5000000000000001E-2</v>
      </c>
      <c r="AQ399" s="8">
        <v>2.5000000000000001E-2</v>
      </c>
      <c r="AR399" s="8">
        <v>2.5000000000000001E-2</v>
      </c>
      <c r="AS399" s="8">
        <v>2.5000000000000001E-2</v>
      </c>
      <c r="AT399" s="8">
        <v>2.5000000000000001E-2</v>
      </c>
      <c r="AU399" s="8">
        <v>2.5000000000000001E-2</v>
      </c>
      <c r="AV399" s="8">
        <v>2.5000000000000001E-2</v>
      </c>
      <c r="AW399" s="8">
        <v>2.5000000000000001E-2</v>
      </c>
      <c r="AX399" s="8">
        <v>2.5000000000000001E-2</v>
      </c>
      <c r="AY399" s="8">
        <v>2.5000000000000001E-2</v>
      </c>
      <c r="AZ399" s="8">
        <v>2.5000000000000001E-2</v>
      </c>
      <c r="BA399" s="8">
        <v>2.5000000000000001E-2</v>
      </c>
      <c r="BB399" s="8">
        <v>2.5000000000000001E-2</v>
      </c>
      <c r="BC399" s="8">
        <v>2.5000000000000001E-2</v>
      </c>
      <c r="BD399" s="8">
        <v>2.5000000000000001E-2</v>
      </c>
      <c r="BE399" s="8">
        <v>2.5000000000000001E-2</v>
      </c>
      <c r="BF399" s="8">
        <v>2.5000000000000001E-2</v>
      </c>
      <c r="BG399" s="8">
        <v>2.5000000000000001E-2</v>
      </c>
      <c r="BH399" s="8">
        <v>2.5000000000000001E-2</v>
      </c>
      <c r="BI399" s="8">
        <v>2.5000000000000001E-2</v>
      </c>
      <c r="BJ399" s="8">
        <v>2.5000000000000001E-2</v>
      </c>
      <c r="BK399" s="8">
        <v>2.5000000000000001E-2</v>
      </c>
      <c r="BL399" s="8">
        <v>2.5000000000000001E-2</v>
      </c>
      <c r="BY399" s="8" t="str">
        <f>+_xlfn.XLOOKUP(Table1[[#This Row],[L4 Code]],KIRMATAŞ!B:B,KIRMATAŞ!B:B,"")</f>
        <v/>
      </c>
      <c r="BZ399" s="8" t="str">
        <f>+_xlfn.XLOOKUP(Table1[[#This Row],[L4 Code]],'SU TEMİNİ'!C:C,'SU TEMİNİ'!C:C,"")</f>
        <v/>
      </c>
      <c r="CA399" s="8" t="str">
        <f>+_xlfn.XLOOKUP(Table1[[#This Row],[L4 Code]],TAŞ!C:C,TAŞ!C:C,"")</f>
        <v/>
      </c>
      <c r="CB399" s="8" t="str">
        <f>Table1[[#This Row],[L4 Code]]&amp;"-"&amp;Table1[[#This Row],[T1 Code]]</f>
        <v>E-04.DNS-01.SEC-130-1000</v>
      </c>
    </row>
    <row r="400" spans="1:80">
      <c r="A400" s="3" t="s">
        <v>5444</v>
      </c>
      <c r="B400" t="s">
        <v>4219</v>
      </c>
      <c r="D400" t="s">
        <v>4967</v>
      </c>
      <c r="F400" s="77" t="s">
        <v>4973</v>
      </c>
      <c r="H400" s="3" t="s">
        <v>4984</v>
      </c>
      <c r="I400" s="3"/>
      <c r="J400" s="78"/>
      <c r="K400" s="78"/>
      <c r="M400" s="78"/>
      <c r="X400" s="10"/>
      <c r="Y400" s="8">
        <v>2.5000000000000001E-2</v>
      </c>
      <c r="Z400" s="8">
        <v>2.5000000000000001E-2</v>
      </c>
      <c r="AA400" s="8">
        <v>2.5000000000000001E-2</v>
      </c>
      <c r="AB400" s="8">
        <v>2.5000000000000001E-2</v>
      </c>
      <c r="AC400" s="8">
        <v>2.5000000000000001E-2</v>
      </c>
      <c r="AD400" s="8">
        <v>2.5000000000000001E-2</v>
      </c>
      <c r="AE400" s="8">
        <v>2.5000000000000001E-2</v>
      </c>
      <c r="AF400" s="8">
        <v>2.5000000000000001E-2</v>
      </c>
      <c r="AG400" s="8">
        <v>2.5000000000000001E-2</v>
      </c>
      <c r="AH400" s="8">
        <v>2.5000000000000001E-2</v>
      </c>
      <c r="AI400" s="8">
        <v>2.5000000000000001E-2</v>
      </c>
      <c r="AJ400" s="8">
        <v>2.5000000000000001E-2</v>
      </c>
      <c r="AK400" s="8">
        <v>2.5000000000000001E-2</v>
      </c>
      <c r="AL400" s="8">
        <v>2.5000000000000001E-2</v>
      </c>
      <c r="AM400" s="8">
        <v>2.5000000000000001E-2</v>
      </c>
      <c r="AN400" s="8">
        <v>2.5000000000000001E-2</v>
      </c>
      <c r="AO400" s="8">
        <v>2.5000000000000001E-2</v>
      </c>
      <c r="AP400" s="8">
        <v>2.5000000000000001E-2</v>
      </c>
      <c r="AQ400" s="8">
        <v>2.5000000000000001E-2</v>
      </c>
      <c r="AR400" s="8">
        <v>2.5000000000000001E-2</v>
      </c>
      <c r="AS400" s="8">
        <v>2.5000000000000001E-2</v>
      </c>
      <c r="AT400" s="8">
        <v>2.5000000000000001E-2</v>
      </c>
      <c r="AU400" s="8">
        <v>2.5000000000000001E-2</v>
      </c>
      <c r="AV400" s="8">
        <v>2.5000000000000001E-2</v>
      </c>
      <c r="AW400" s="8">
        <v>2.5000000000000001E-2</v>
      </c>
      <c r="AX400" s="8">
        <v>2.5000000000000001E-2</v>
      </c>
      <c r="AY400" s="8">
        <v>2.5000000000000001E-2</v>
      </c>
      <c r="AZ400" s="8">
        <v>2.5000000000000001E-2</v>
      </c>
      <c r="BA400" s="8">
        <v>2.5000000000000001E-2</v>
      </c>
      <c r="BB400" s="8">
        <v>2.5000000000000001E-2</v>
      </c>
      <c r="BC400" s="8">
        <v>2.5000000000000001E-2</v>
      </c>
      <c r="BD400" s="8">
        <v>2.5000000000000001E-2</v>
      </c>
      <c r="BE400" s="8">
        <v>2.5000000000000001E-2</v>
      </c>
      <c r="BF400" s="8">
        <v>2.5000000000000001E-2</v>
      </c>
      <c r="BG400" s="8">
        <v>2.5000000000000001E-2</v>
      </c>
      <c r="BH400" s="8">
        <v>2.5000000000000001E-2</v>
      </c>
      <c r="BI400" s="8">
        <v>2.5000000000000001E-2</v>
      </c>
      <c r="BJ400" s="8">
        <v>2.5000000000000001E-2</v>
      </c>
      <c r="BK400" s="8">
        <v>2.5000000000000001E-2</v>
      </c>
      <c r="BL400" s="8">
        <v>2.5000000000000001E-2</v>
      </c>
      <c r="BY400" s="8" t="str">
        <f>+_xlfn.XLOOKUP(Table1[[#This Row],[L4 Code]],KIRMATAŞ!B:B,KIRMATAŞ!B:B,"")</f>
        <v/>
      </c>
      <c r="BZ400" s="8" t="str">
        <f>+_xlfn.XLOOKUP(Table1[[#This Row],[L4 Code]],'SU TEMİNİ'!C:C,'SU TEMİNİ'!C:C,"")</f>
        <v/>
      </c>
      <c r="CA400" s="8" t="str">
        <f>+_xlfn.XLOOKUP(Table1[[#This Row],[L4 Code]],TAŞ!C:C,TAŞ!C:C,"")</f>
        <v/>
      </c>
      <c r="CB400" s="8" t="str">
        <f>Table1[[#This Row],[L4 Code]]&amp;"-"&amp;Table1[[#This Row],[T1 Code]]</f>
        <v>E-04.DNS-02.PRJ-110-1000</v>
      </c>
    </row>
    <row r="401" spans="1:80">
      <c r="A401" s="3" t="s">
        <v>5444</v>
      </c>
      <c r="B401" t="s">
        <v>4224</v>
      </c>
      <c r="D401" t="s">
        <v>4967</v>
      </c>
      <c r="F401" s="77" t="s">
        <v>4973</v>
      </c>
      <c r="H401" s="3" t="s">
        <v>4984</v>
      </c>
      <c r="I401" s="3"/>
      <c r="J401" s="78"/>
      <c r="K401" s="78"/>
      <c r="M401" s="78"/>
      <c r="X401" s="10"/>
      <c r="Y401" s="8">
        <v>2.5000000000000001E-2</v>
      </c>
      <c r="Z401" s="8">
        <v>2.5000000000000001E-2</v>
      </c>
      <c r="AA401" s="8">
        <v>2.5000000000000001E-2</v>
      </c>
      <c r="AB401" s="8">
        <v>2.5000000000000001E-2</v>
      </c>
      <c r="AC401" s="8">
        <v>2.5000000000000001E-2</v>
      </c>
      <c r="AD401" s="8">
        <v>2.5000000000000001E-2</v>
      </c>
      <c r="AE401" s="8">
        <v>2.5000000000000001E-2</v>
      </c>
      <c r="AF401" s="8">
        <v>2.5000000000000001E-2</v>
      </c>
      <c r="AG401" s="8">
        <v>2.5000000000000001E-2</v>
      </c>
      <c r="AH401" s="8">
        <v>2.5000000000000001E-2</v>
      </c>
      <c r="AI401" s="8">
        <v>2.5000000000000001E-2</v>
      </c>
      <c r="AJ401" s="8">
        <v>2.5000000000000001E-2</v>
      </c>
      <c r="AK401" s="8">
        <v>2.5000000000000001E-2</v>
      </c>
      <c r="AL401" s="8">
        <v>2.5000000000000001E-2</v>
      </c>
      <c r="AM401" s="8">
        <v>2.5000000000000001E-2</v>
      </c>
      <c r="AN401" s="8">
        <v>2.5000000000000001E-2</v>
      </c>
      <c r="AO401" s="8">
        <v>2.5000000000000001E-2</v>
      </c>
      <c r="AP401" s="8">
        <v>2.5000000000000001E-2</v>
      </c>
      <c r="AQ401" s="8">
        <v>2.5000000000000001E-2</v>
      </c>
      <c r="AR401" s="8">
        <v>2.5000000000000001E-2</v>
      </c>
      <c r="AS401" s="8">
        <v>2.5000000000000001E-2</v>
      </c>
      <c r="AT401" s="8">
        <v>2.5000000000000001E-2</v>
      </c>
      <c r="AU401" s="8">
        <v>2.5000000000000001E-2</v>
      </c>
      <c r="AV401" s="8">
        <v>2.5000000000000001E-2</v>
      </c>
      <c r="AW401" s="8">
        <v>2.5000000000000001E-2</v>
      </c>
      <c r="AX401" s="8">
        <v>2.5000000000000001E-2</v>
      </c>
      <c r="AY401" s="8">
        <v>2.5000000000000001E-2</v>
      </c>
      <c r="AZ401" s="8">
        <v>2.5000000000000001E-2</v>
      </c>
      <c r="BA401" s="8">
        <v>2.5000000000000001E-2</v>
      </c>
      <c r="BB401" s="8">
        <v>2.5000000000000001E-2</v>
      </c>
      <c r="BC401" s="8">
        <v>2.5000000000000001E-2</v>
      </c>
      <c r="BD401" s="8">
        <v>2.5000000000000001E-2</v>
      </c>
      <c r="BE401" s="8">
        <v>2.5000000000000001E-2</v>
      </c>
      <c r="BF401" s="8">
        <v>2.5000000000000001E-2</v>
      </c>
      <c r="BG401" s="8">
        <v>2.5000000000000001E-2</v>
      </c>
      <c r="BH401" s="8">
        <v>2.5000000000000001E-2</v>
      </c>
      <c r="BI401" s="8">
        <v>2.5000000000000001E-2</v>
      </c>
      <c r="BJ401" s="8">
        <v>2.5000000000000001E-2</v>
      </c>
      <c r="BK401" s="8">
        <v>2.5000000000000001E-2</v>
      </c>
      <c r="BL401" s="8">
        <v>2.5000000000000001E-2</v>
      </c>
      <c r="BY401" s="8" t="str">
        <f>+_xlfn.XLOOKUP(Table1[[#This Row],[L4 Code]],KIRMATAŞ!B:B,KIRMATAŞ!B:B,"")</f>
        <v/>
      </c>
      <c r="BZ401" s="8" t="str">
        <f>+_xlfn.XLOOKUP(Table1[[#This Row],[L4 Code]],'SU TEMİNİ'!C:C,'SU TEMİNİ'!C:C,"")</f>
        <v/>
      </c>
      <c r="CA401" s="8" t="str">
        <f>+_xlfn.XLOOKUP(Table1[[#This Row],[L4 Code]],TAŞ!C:C,TAŞ!C:C,"")</f>
        <v/>
      </c>
      <c r="CB401" s="8" t="str">
        <f>Table1[[#This Row],[L4 Code]]&amp;"-"&amp;Table1[[#This Row],[T1 Code]]</f>
        <v>E-04.DNS-03.TKN-110-1000</v>
      </c>
    </row>
    <row r="402" spans="1:80">
      <c r="A402" s="3" t="s">
        <v>5444</v>
      </c>
      <c r="B402" t="s">
        <v>4229</v>
      </c>
      <c r="D402" t="s">
        <v>4967</v>
      </c>
      <c r="F402" s="77" t="s">
        <v>4973</v>
      </c>
      <c r="H402" s="3" t="s">
        <v>4984</v>
      </c>
      <c r="I402" s="3"/>
      <c r="J402" s="78"/>
      <c r="K402" s="78"/>
      <c r="M402" s="78"/>
      <c r="X402" s="10"/>
      <c r="Y402" s="8">
        <v>2.5000000000000001E-2</v>
      </c>
      <c r="Z402" s="8">
        <v>2.5000000000000001E-2</v>
      </c>
      <c r="AA402" s="8">
        <v>2.5000000000000001E-2</v>
      </c>
      <c r="AB402" s="8">
        <v>2.5000000000000001E-2</v>
      </c>
      <c r="AC402" s="8">
        <v>2.5000000000000001E-2</v>
      </c>
      <c r="AD402" s="8">
        <v>2.5000000000000001E-2</v>
      </c>
      <c r="AE402" s="8">
        <v>2.5000000000000001E-2</v>
      </c>
      <c r="AF402" s="8">
        <v>2.5000000000000001E-2</v>
      </c>
      <c r="AG402" s="8">
        <v>2.5000000000000001E-2</v>
      </c>
      <c r="AH402" s="8">
        <v>2.5000000000000001E-2</v>
      </c>
      <c r="AI402" s="8">
        <v>2.5000000000000001E-2</v>
      </c>
      <c r="AJ402" s="8">
        <v>2.5000000000000001E-2</v>
      </c>
      <c r="AK402" s="8">
        <v>2.5000000000000001E-2</v>
      </c>
      <c r="AL402" s="8">
        <v>2.5000000000000001E-2</v>
      </c>
      <c r="AM402" s="8">
        <v>2.5000000000000001E-2</v>
      </c>
      <c r="AN402" s="8">
        <v>2.5000000000000001E-2</v>
      </c>
      <c r="AO402" s="8">
        <v>2.5000000000000001E-2</v>
      </c>
      <c r="AP402" s="8">
        <v>2.5000000000000001E-2</v>
      </c>
      <c r="AQ402" s="8">
        <v>2.5000000000000001E-2</v>
      </c>
      <c r="AR402" s="8">
        <v>2.5000000000000001E-2</v>
      </c>
      <c r="AS402" s="8">
        <v>2.5000000000000001E-2</v>
      </c>
      <c r="AT402" s="8">
        <v>2.5000000000000001E-2</v>
      </c>
      <c r="AU402" s="8">
        <v>2.5000000000000001E-2</v>
      </c>
      <c r="AV402" s="8">
        <v>2.5000000000000001E-2</v>
      </c>
      <c r="AW402" s="8">
        <v>2.5000000000000001E-2</v>
      </c>
      <c r="AX402" s="8">
        <v>2.5000000000000001E-2</v>
      </c>
      <c r="AY402" s="8">
        <v>2.5000000000000001E-2</v>
      </c>
      <c r="AZ402" s="8">
        <v>2.5000000000000001E-2</v>
      </c>
      <c r="BA402" s="8">
        <v>2.5000000000000001E-2</v>
      </c>
      <c r="BB402" s="8">
        <v>2.5000000000000001E-2</v>
      </c>
      <c r="BC402" s="8">
        <v>2.5000000000000001E-2</v>
      </c>
      <c r="BD402" s="8">
        <v>2.5000000000000001E-2</v>
      </c>
      <c r="BE402" s="8">
        <v>2.5000000000000001E-2</v>
      </c>
      <c r="BF402" s="8">
        <v>2.5000000000000001E-2</v>
      </c>
      <c r="BG402" s="8">
        <v>2.5000000000000001E-2</v>
      </c>
      <c r="BH402" s="8">
        <v>2.5000000000000001E-2</v>
      </c>
      <c r="BI402" s="8">
        <v>2.5000000000000001E-2</v>
      </c>
      <c r="BJ402" s="8">
        <v>2.5000000000000001E-2</v>
      </c>
      <c r="BK402" s="8">
        <v>2.5000000000000001E-2</v>
      </c>
      <c r="BL402" s="8">
        <v>2.5000000000000001E-2</v>
      </c>
      <c r="BY402" s="8" t="str">
        <f>+_xlfn.XLOOKUP(Table1[[#This Row],[L4 Code]],KIRMATAŞ!B:B,KIRMATAŞ!B:B,"")</f>
        <v/>
      </c>
      <c r="BZ402" s="8" t="str">
        <f>+_xlfn.XLOOKUP(Table1[[#This Row],[L4 Code]],'SU TEMİNİ'!C:C,'SU TEMİNİ'!C:C,"")</f>
        <v/>
      </c>
      <c r="CA402" s="8" t="str">
        <f>+_xlfn.XLOOKUP(Table1[[#This Row],[L4 Code]],TAŞ!C:C,TAŞ!C:C,"")</f>
        <v/>
      </c>
      <c r="CB402" s="8" t="str">
        <f>Table1[[#This Row],[L4 Code]]&amp;"-"&amp;Table1[[#This Row],[T1 Code]]</f>
        <v>E-04.DNS-04.ZMN-110-1000</v>
      </c>
    </row>
    <row r="403" spans="1:80">
      <c r="A403" s="3" t="s">
        <v>5444</v>
      </c>
      <c r="B403" t="s">
        <v>4231</v>
      </c>
      <c r="D403" t="s">
        <v>4967</v>
      </c>
      <c r="F403" s="77" t="s">
        <v>4973</v>
      </c>
      <c r="H403" s="3" t="s">
        <v>4984</v>
      </c>
      <c r="I403" s="3"/>
      <c r="J403" s="78"/>
      <c r="K403" s="78"/>
      <c r="M403" s="78"/>
      <c r="X403" s="10"/>
      <c r="Y403" s="8">
        <v>2.5000000000000001E-2</v>
      </c>
      <c r="Z403" s="8">
        <v>2.5000000000000001E-2</v>
      </c>
      <c r="AA403" s="8">
        <v>2.5000000000000001E-2</v>
      </c>
      <c r="AB403" s="8">
        <v>2.5000000000000001E-2</v>
      </c>
      <c r="AC403" s="8">
        <v>2.5000000000000001E-2</v>
      </c>
      <c r="AD403" s="8">
        <v>2.5000000000000001E-2</v>
      </c>
      <c r="AE403" s="8">
        <v>2.5000000000000001E-2</v>
      </c>
      <c r="AF403" s="8">
        <v>2.5000000000000001E-2</v>
      </c>
      <c r="AG403" s="8">
        <v>2.5000000000000001E-2</v>
      </c>
      <c r="AH403" s="8">
        <v>2.5000000000000001E-2</v>
      </c>
      <c r="AI403" s="8">
        <v>2.5000000000000001E-2</v>
      </c>
      <c r="AJ403" s="8">
        <v>2.5000000000000001E-2</v>
      </c>
      <c r="AK403" s="8">
        <v>2.5000000000000001E-2</v>
      </c>
      <c r="AL403" s="8">
        <v>2.5000000000000001E-2</v>
      </c>
      <c r="AM403" s="8">
        <v>2.5000000000000001E-2</v>
      </c>
      <c r="AN403" s="8">
        <v>2.5000000000000001E-2</v>
      </c>
      <c r="AO403" s="8">
        <v>2.5000000000000001E-2</v>
      </c>
      <c r="AP403" s="8">
        <v>2.5000000000000001E-2</v>
      </c>
      <c r="AQ403" s="8">
        <v>2.5000000000000001E-2</v>
      </c>
      <c r="AR403" s="8">
        <v>2.5000000000000001E-2</v>
      </c>
      <c r="AS403" s="8">
        <v>2.5000000000000001E-2</v>
      </c>
      <c r="AT403" s="8">
        <v>2.5000000000000001E-2</v>
      </c>
      <c r="AU403" s="8">
        <v>2.5000000000000001E-2</v>
      </c>
      <c r="AV403" s="8">
        <v>2.5000000000000001E-2</v>
      </c>
      <c r="AW403" s="8">
        <v>2.5000000000000001E-2</v>
      </c>
      <c r="AX403" s="8">
        <v>2.5000000000000001E-2</v>
      </c>
      <c r="AY403" s="8">
        <v>2.5000000000000001E-2</v>
      </c>
      <c r="AZ403" s="8">
        <v>2.5000000000000001E-2</v>
      </c>
      <c r="BA403" s="8">
        <v>2.5000000000000001E-2</v>
      </c>
      <c r="BB403" s="8">
        <v>2.5000000000000001E-2</v>
      </c>
      <c r="BC403" s="8">
        <v>2.5000000000000001E-2</v>
      </c>
      <c r="BD403" s="8">
        <v>2.5000000000000001E-2</v>
      </c>
      <c r="BE403" s="8">
        <v>2.5000000000000001E-2</v>
      </c>
      <c r="BF403" s="8">
        <v>2.5000000000000001E-2</v>
      </c>
      <c r="BG403" s="8">
        <v>2.5000000000000001E-2</v>
      </c>
      <c r="BH403" s="8">
        <v>2.5000000000000001E-2</v>
      </c>
      <c r="BI403" s="8">
        <v>2.5000000000000001E-2</v>
      </c>
      <c r="BJ403" s="8">
        <v>2.5000000000000001E-2</v>
      </c>
      <c r="BK403" s="8">
        <v>2.5000000000000001E-2</v>
      </c>
      <c r="BL403" s="8">
        <v>2.5000000000000001E-2</v>
      </c>
      <c r="BY403" s="8" t="str">
        <f>+_xlfn.XLOOKUP(Table1[[#This Row],[L4 Code]],KIRMATAŞ!B:B,KIRMATAŞ!B:B,"")</f>
        <v/>
      </c>
      <c r="BZ403" s="8" t="str">
        <f>+_xlfn.XLOOKUP(Table1[[#This Row],[L4 Code]],'SU TEMİNİ'!C:C,'SU TEMİNİ'!C:C,"")</f>
        <v/>
      </c>
      <c r="CA403" s="8" t="str">
        <f>+_xlfn.XLOOKUP(Table1[[#This Row],[L4 Code]],TAŞ!C:C,TAŞ!C:C,"")</f>
        <v/>
      </c>
      <c r="CB403" s="8" t="str">
        <f>Table1[[#This Row],[L4 Code]]&amp;"-"&amp;Table1[[#This Row],[T1 Code]]</f>
        <v>E-04.DNS-04.ZMN-120-1000</v>
      </c>
    </row>
    <row r="404" spans="1:80">
      <c r="A404" s="3" t="s">
        <v>5444</v>
      </c>
      <c r="B404" t="s">
        <v>4233</v>
      </c>
      <c r="D404" t="s">
        <v>4967</v>
      </c>
      <c r="F404" s="77" t="s">
        <v>4973</v>
      </c>
      <c r="H404" s="3" t="s">
        <v>4984</v>
      </c>
      <c r="I404" s="3"/>
      <c r="J404" s="78"/>
      <c r="K404" s="78"/>
      <c r="M404" s="78"/>
      <c r="X404" s="10"/>
      <c r="Y404" s="8">
        <v>2.5000000000000001E-2</v>
      </c>
      <c r="Z404" s="8">
        <v>2.5000000000000001E-2</v>
      </c>
      <c r="AA404" s="8">
        <v>2.5000000000000001E-2</v>
      </c>
      <c r="AB404" s="8">
        <v>2.5000000000000001E-2</v>
      </c>
      <c r="AC404" s="8">
        <v>2.5000000000000001E-2</v>
      </c>
      <c r="AD404" s="8">
        <v>2.5000000000000001E-2</v>
      </c>
      <c r="AE404" s="8">
        <v>2.5000000000000001E-2</v>
      </c>
      <c r="AF404" s="8">
        <v>2.5000000000000001E-2</v>
      </c>
      <c r="AG404" s="8">
        <v>2.5000000000000001E-2</v>
      </c>
      <c r="AH404" s="8">
        <v>2.5000000000000001E-2</v>
      </c>
      <c r="AI404" s="8">
        <v>2.5000000000000001E-2</v>
      </c>
      <c r="AJ404" s="8">
        <v>2.5000000000000001E-2</v>
      </c>
      <c r="AK404" s="8">
        <v>2.5000000000000001E-2</v>
      </c>
      <c r="AL404" s="8">
        <v>2.5000000000000001E-2</v>
      </c>
      <c r="AM404" s="8">
        <v>2.5000000000000001E-2</v>
      </c>
      <c r="AN404" s="8">
        <v>2.5000000000000001E-2</v>
      </c>
      <c r="AO404" s="8">
        <v>2.5000000000000001E-2</v>
      </c>
      <c r="AP404" s="8">
        <v>2.5000000000000001E-2</v>
      </c>
      <c r="AQ404" s="8">
        <v>2.5000000000000001E-2</v>
      </c>
      <c r="AR404" s="8">
        <v>2.5000000000000001E-2</v>
      </c>
      <c r="AS404" s="8">
        <v>2.5000000000000001E-2</v>
      </c>
      <c r="AT404" s="8">
        <v>2.5000000000000001E-2</v>
      </c>
      <c r="AU404" s="8">
        <v>2.5000000000000001E-2</v>
      </c>
      <c r="AV404" s="8">
        <v>2.5000000000000001E-2</v>
      </c>
      <c r="AW404" s="8">
        <v>2.5000000000000001E-2</v>
      </c>
      <c r="AX404" s="8">
        <v>2.5000000000000001E-2</v>
      </c>
      <c r="AY404" s="8">
        <v>2.5000000000000001E-2</v>
      </c>
      <c r="AZ404" s="8">
        <v>2.5000000000000001E-2</v>
      </c>
      <c r="BA404" s="8">
        <v>2.5000000000000001E-2</v>
      </c>
      <c r="BB404" s="8">
        <v>2.5000000000000001E-2</v>
      </c>
      <c r="BC404" s="8">
        <v>2.5000000000000001E-2</v>
      </c>
      <c r="BD404" s="8">
        <v>2.5000000000000001E-2</v>
      </c>
      <c r="BE404" s="8">
        <v>2.5000000000000001E-2</v>
      </c>
      <c r="BF404" s="8">
        <v>2.5000000000000001E-2</v>
      </c>
      <c r="BG404" s="8">
        <v>2.5000000000000001E-2</v>
      </c>
      <c r="BH404" s="8">
        <v>2.5000000000000001E-2</v>
      </c>
      <c r="BI404" s="8">
        <v>2.5000000000000001E-2</v>
      </c>
      <c r="BJ404" s="8">
        <v>2.5000000000000001E-2</v>
      </c>
      <c r="BK404" s="8">
        <v>2.5000000000000001E-2</v>
      </c>
      <c r="BL404" s="8">
        <v>2.5000000000000001E-2</v>
      </c>
      <c r="BY404" s="8" t="str">
        <f>+_xlfn.XLOOKUP(Table1[[#This Row],[L4 Code]],KIRMATAŞ!B:B,KIRMATAŞ!B:B,"")</f>
        <v/>
      </c>
      <c r="BZ404" s="8" t="str">
        <f>+_xlfn.XLOOKUP(Table1[[#This Row],[L4 Code]],'SU TEMİNİ'!C:C,'SU TEMİNİ'!C:C,"")</f>
        <v/>
      </c>
      <c r="CA404" s="8" t="str">
        <f>+_xlfn.XLOOKUP(Table1[[#This Row],[L4 Code]],TAŞ!C:C,TAŞ!C:C,"")</f>
        <v/>
      </c>
      <c r="CB404" s="8" t="str">
        <f>Table1[[#This Row],[L4 Code]]&amp;"-"&amp;Table1[[#This Row],[T1 Code]]</f>
        <v>E-04.DNS-04.ZMN-130-1000</v>
      </c>
    </row>
    <row r="405" spans="1:80">
      <c r="A405" s="3" t="s">
        <v>5444</v>
      </c>
      <c r="B405" t="s">
        <v>4237</v>
      </c>
      <c r="D405" t="s">
        <v>4967</v>
      </c>
      <c r="F405" s="77" t="s">
        <v>4973</v>
      </c>
      <c r="H405" s="3" t="s">
        <v>4984</v>
      </c>
      <c r="I405" s="3"/>
      <c r="J405" s="78"/>
      <c r="K405" s="78"/>
      <c r="M405" s="78"/>
      <c r="X405" s="10"/>
      <c r="Y405" s="8">
        <v>2.5000000000000001E-2</v>
      </c>
      <c r="Z405" s="8">
        <v>2.5000000000000001E-2</v>
      </c>
      <c r="AA405" s="8">
        <v>2.5000000000000001E-2</v>
      </c>
      <c r="AB405" s="8">
        <v>2.5000000000000001E-2</v>
      </c>
      <c r="AC405" s="8">
        <v>2.5000000000000001E-2</v>
      </c>
      <c r="AD405" s="8">
        <v>2.5000000000000001E-2</v>
      </c>
      <c r="AE405" s="8">
        <v>2.5000000000000001E-2</v>
      </c>
      <c r="AF405" s="8">
        <v>2.5000000000000001E-2</v>
      </c>
      <c r="AG405" s="8">
        <v>2.5000000000000001E-2</v>
      </c>
      <c r="AH405" s="8">
        <v>2.5000000000000001E-2</v>
      </c>
      <c r="AI405" s="8">
        <v>2.5000000000000001E-2</v>
      </c>
      <c r="AJ405" s="8">
        <v>2.5000000000000001E-2</v>
      </c>
      <c r="AK405" s="8">
        <v>2.5000000000000001E-2</v>
      </c>
      <c r="AL405" s="8">
        <v>2.5000000000000001E-2</v>
      </c>
      <c r="AM405" s="8">
        <v>2.5000000000000001E-2</v>
      </c>
      <c r="AN405" s="8">
        <v>2.5000000000000001E-2</v>
      </c>
      <c r="AO405" s="8">
        <v>2.5000000000000001E-2</v>
      </c>
      <c r="AP405" s="8">
        <v>2.5000000000000001E-2</v>
      </c>
      <c r="AQ405" s="8">
        <v>2.5000000000000001E-2</v>
      </c>
      <c r="AR405" s="8">
        <v>2.5000000000000001E-2</v>
      </c>
      <c r="AS405" s="8">
        <v>2.5000000000000001E-2</v>
      </c>
      <c r="AT405" s="8">
        <v>2.5000000000000001E-2</v>
      </c>
      <c r="AU405" s="8">
        <v>2.5000000000000001E-2</v>
      </c>
      <c r="AV405" s="8">
        <v>2.5000000000000001E-2</v>
      </c>
      <c r="AW405" s="8">
        <v>2.5000000000000001E-2</v>
      </c>
      <c r="AX405" s="8">
        <v>2.5000000000000001E-2</v>
      </c>
      <c r="AY405" s="8">
        <v>2.5000000000000001E-2</v>
      </c>
      <c r="AZ405" s="8">
        <v>2.5000000000000001E-2</v>
      </c>
      <c r="BA405" s="8">
        <v>2.5000000000000001E-2</v>
      </c>
      <c r="BB405" s="8">
        <v>2.5000000000000001E-2</v>
      </c>
      <c r="BC405" s="8">
        <v>2.5000000000000001E-2</v>
      </c>
      <c r="BD405" s="8">
        <v>2.5000000000000001E-2</v>
      </c>
      <c r="BE405" s="8">
        <v>2.5000000000000001E-2</v>
      </c>
      <c r="BF405" s="8">
        <v>2.5000000000000001E-2</v>
      </c>
      <c r="BG405" s="8">
        <v>2.5000000000000001E-2</v>
      </c>
      <c r="BH405" s="8">
        <v>2.5000000000000001E-2</v>
      </c>
      <c r="BI405" s="8">
        <v>2.5000000000000001E-2</v>
      </c>
      <c r="BJ405" s="8">
        <v>2.5000000000000001E-2</v>
      </c>
      <c r="BK405" s="8">
        <v>2.5000000000000001E-2</v>
      </c>
      <c r="BL405" s="8">
        <v>2.5000000000000001E-2</v>
      </c>
      <c r="BY405" s="8" t="str">
        <f>+_xlfn.XLOOKUP(Table1[[#This Row],[L4 Code]],KIRMATAŞ!B:B,KIRMATAŞ!B:B,"")</f>
        <v/>
      </c>
      <c r="BZ405" s="8" t="str">
        <f>+_xlfn.XLOOKUP(Table1[[#This Row],[L4 Code]],'SU TEMİNİ'!C:C,'SU TEMİNİ'!C:C,"")</f>
        <v/>
      </c>
      <c r="CA405" s="8" t="str">
        <f>+_xlfn.XLOOKUP(Table1[[#This Row],[L4 Code]],TAŞ!C:C,TAŞ!C:C,"")</f>
        <v/>
      </c>
      <c r="CB405" s="8" t="str">
        <f>Table1[[#This Row],[L4 Code]]&amp;"-"&amp;Table1[[#This Row],[T1 Code]]</f>
        <v>E-04.DNS-90.DGR-110-1000</v>
      </c>
    </row>
    <row r="406" spans="1:80">
      <c r="A406" s="3" t="s">
        <v>5444</v>
      </c>
      <c r="B406" t="s">
        <v>4239</v>
      </c>
      <c r="D406" t="s">
        <v>4967</v>
      </c>
      <c r="F406" s="77" t="s">
        <v>4973</v>
      </c>
      <c r="H406" s="3" t="s">
        <v>4984</v>
      </c>
      <c r="I406" s="3"/>
      <c r="J406" s="78"/>
      <c r="K406" s="78"/>
      <c r="M406" s="78"/>
      <c r="X406" s="10"/>
      <c r="Y406" s="8">
        <v>2.5000000000000001E-2</v>
      </c>
      <c r="Z406" s="8">
        <v>2.5000000000000001E-2</v>
      </c>
      <c r="AA406" s="8">
        <v>2.5000000000000001E-2</v>
      </c>
      <c r="AB406" s="8">
        <v>2.5000000000000001E-2</v>
      </c>
      <c r="AC406" s="8">
        <v>2.5000000000000001E-2</v>
      </c>
      <c r="AD406" s="8">
        <v>2.5000000000000001E-2</v>
      </c>
      <c r="AE406" s="8">
        <v>2.5000000000000001E-2</v>
      </c>
      <c r="AF406" s="8">
        <v>2.5000000000000001E-2</v>
      </c>
      <c r="AG406" s="8">
        <v>2.5000000000000001E-2</v>
      </c>
      <c r="AH406" s="8">
        <v>2.5000000000000001E-2</v>
      </c>
      <c r="AI406" s="8">
        <v>2.5000000000000001E-2</v>
      </c>
      <c r="AJ406" s="8">
        <v>2.5000000000000001E-2</v>
      </c>
      <c r="AK406" s="8">
        <v>2.5000000000000001E-2</v>
      </c>
      <c r="AL406" s="8">
        <v>2.5000000000000001E-2</v>
      </c>
      <c r="AM406" s="8">
        <v>2.5000000000000001E-2</v>
      </c>
      <c r="AN406" s="8">
        <v>2.5000000000000001E-2</v>
      </c>
      <c r="AO406" s="8">
        <v>2.5000000000000001E-2</v>
      </c>
      <c r="AP406" s="8">
        <v>2.5000000000000001E-2</v>
      </c>
      <c r="AQ406" s="8">
        <v>2.5000000000000001E-2</v>
      </c>
      <c r="AR406" s="8">
        <v>2.5000000000000001E-2</v>
      </c>
      <c r="AS406" s="8">
        <v>2.5000000000000001E-2</v>
      </c>
      <c r="AT406" s="8">
        <v>2.5000000000000001E-2</v>
      </c>
      <c r="AU406" s="8">
        <v>2.5000000000000001E-2</v>
      </c>
      <c r="AV406" s="8">
        <v>2.5000000000000001E-2</v>
      </c>
      <c r="AW406" s="8">
        <v>2.5000000000000001E-2</v>
      </c>
      <c r="AX406" s="8">
        <v>2.5000000000000001E-2</v>
      </c>
      <c r="AY406" s="8">
        <v>2.5000000000000001E-2</v>
      </c>
      <c r="AZ406" s="8">
        <v>2.5000000000000001E-2</v>
      </c>
      <c r="BA406" s="8">
        <v>2.5000000000000001E-2</v>
      </c>
      <c r="BB406" s="8">
        <v>2.5000000000000001E-2</v>
      </c>
      <c r="BC406" s="8">
        <v>2.5000000000000001E-2</v>
      </c>
      <c r="BD406" s="8">
        <v>2.5000000000000001E-2</v>
      </c>
      <c r="BE406" s="8">
        <v>2.5000000000000001E-2</v>
      </c>
      <c r="BF406" s="8">
        <v>2.5000000000000001E-2</v>
      </c>
      <c r="BG406" s="8">
        <v>2.5000000000000001E-2</v>
      </c>
      <c r="BH406" s="8">
        <v>2.5000000000000001E-2</v>
      </c>
      <c r="BI406" s="8">
        <v>2.5000000000000001E-2</v>
      </c>
      <c r="BJ406" s="8">
        <v>2.5000000000000001E-2</v>
      </c>
      <c r="BK406" s="8">
        <v>2.5000000000000001E-2</v>
      </c>
      <c r="BL406" s="8">
        <v>2.5000000000000001E-2</v>
      </c>
      <c r="BY406" s="8" t="str">
        <f>+_xlfn.XLOOKUP(Table1[[#This Row],[L4 Code]],KIRMATAŞ!B:B,KIRMATAŞ!B:B,"")</f>
        <v/>
      </c>
      <c r="BZ406" s="8" t="str">
        <f>+_xlfn.XLOOKUP(Table1[[#This Row],[L4 Code]],'SU TEMİNİ'!C:C,'SU TEMİNİ'!C:C,"")</f>
        <v/>
      </c>
      <c r="CA406" s="8" t="str">
        <f>+_xlfn.XLOOKUP(Table1[[#This Row],[L4 Code]],TAŞ!C:C,TAŞ!C:C,"")</f>
        <v/>
      </c>
      <c r="CB406" s="8" t="str">
        <f>Table1[[#This Row],[L4 Code]]&amp;"-"&amp;Table1[[#This Row],[T1 Code]]</f>
        <v>E-04.DNS-90.DGR-210-1000</v>
      </c>
    </row>
    <row r="407" spans="1:80">
      <c r="A407" s="3" t="s">
        <v>5444</v>
      </c>
      <c r="B407" t="s">
        <v>5217</v>
      </c>
      <c r="D407" t="s">
        <v>4967</v>
      </c>
      <c r="F407" s="77" t="s">
        <v>4973</v>
      </c>
      <c r="H407" s="3" t="s">
        <v>4984</v>
      </c>
      <c r="I407" s="3"/>
      <c r="J407" s="78"/>
      <c r="K407" s="78"/>
      <c r="M407" s="78"/>
      <c r="X407" s="10"/>
      <c r="Y407" s="8">
        <v>2.5000000000000001E-2</v>
      </c>
      <c r="Z407" s="8">
        <v>2.5000000000000001E-2</v>
      </c>
      <c r="AA407" s="8">
        <v>2.5000000000000001E-2</v>
      </c>
      <c r="AB407" s="8">
        <v>2.5000000000000001E-2</v>
      </c>
      <c r="AC407" s="8">
        <v>2.5000000000000001E-2</v>
      </c>
      <c r="AD407" s="8">
        <v>2.5000000000000001E-2</v>
      </c>
      <c r="AE407" s="8">
        <v>2.5000000000000001E-2</v>
      </c>
      <c r="AF407" s="8">
        <v>2.5000000000000001E-2</v>
      </c>
      <c r="AG407" s="8">
        <v>2.5000000000000001E-2</v>
      </c>
      <c r="AH407" s="8">
        <v>2.5000000000000001E-2</v>
      </c>
      <c r="AI407" s="8">
        <v>2.5000000000000001E-2</v>
      </c>
      <c r="AJ407" s="8">
        <v>2.5000000000000001E-2</v>
      </c>
      <c r="AK407" s="8">
        <v>2.5000000000000001E-2</v>
      </c>
      <c r="AL407" s="8">
        <v>2.5000000000000001E-2</v>
      </c>
      <c r="AM407" s="8">
        <v>2.5000000000000001E-2</v>
      </c>
      <c r="AN407" s="8">
        <v>2.5000000000000001E-2</v>
      </c>
      <c r="AO407" s="8">
        <v>2.5000000000000001E-2</v>
      </c>
      <c r="AP407" s="8">
        <v>2.5000000000000001E-2</v>
      </c>
      <c r="AQ407" s="8">
        <v>2.5000000000000001E-2</v>
      </c>
      <c r="AR407" s="8">
        <v>2.5000000000000001E-2</v>
      </c>
      <c r="AS407" s="8">
        <v>2.5000000000000001E-2</v>
      </c>
      <c r="AT407" s="8">
        <v>2.5000000000000001E-2</v>
      </c>
      <c r="AU407" s="8">
        <v>2.5000000000000001E-2</v>
      </c>
      <c r="AV407" s="8">
        <v>2.5000000000000001E-2</v>
      </c>
      <c r="AW407" s="8">
        <v>2.5000000000000001E-2</v>
      </c>
      <c r="AX407" s="8">
        <v>2.5000000000000001E-2</v>
      </c>
      <c r="AY407" s="8">
        <v>2.5000000000000001E-2</v>
      </c>
      <c r="AZ407" s="8">
        <v>2.5000000000000001E-2</v>
      </c>
      <c r="BA407" s="8">
        <v>2.5000000000000001E-2</v>
      </c>
      <c r="BB407" s="8">
        <v>2.5000000000000001E-2</v>
      </c>
      <c r="BC407" s="8">
        <v>2.5000000000000001E-2</v>
      </c>
      <c r="BD407" s="8">
        <v>2.5000000000000001E-2</v>
      </c>
      <c r="BE407" s="8">
        <v>2.5000000000000001E-2</v>
      </c>
      <c r="BF407" s="8">
        <v>2.5000000000000001E-2</v>
      </c>
      <c r="BG407" s="8">
        <v>2.5000000000000001E-2</v>
      </c>
      <c r="BH407" s="8">
        <v>2.5000000000000001E-2</v>
      </c>
      <c r="BI407" s="8">
        <v>2.5000000000000001E-2</v>
      </c>
      <c r="BJ407" s="8">
        <v>2.5000000000000001E-2</v>
      </c>
      <c r="BK407" s="8">
        <v>2.5000000000000001E-2</v>
      </c>
      <c r="BL407" s="8">
        <v>2.5000000000000001E-2</v>
      </c>
      <c r="BY407" s="8" t="str">
        <f>+_xlfn.XLOOKUP(Table1[[#This Row],[L4 Code]],KIRMATAŞ!B:B,KIRMATAŞ!B:B,"")</f>
        <v/>
      </c>
      <c r="BZ407" s="8" t="str">
        <f>+_xlfn.XLOOKUP(Table1[[#This Row],[L4 Code]],'SU TEMİNİ'!C:C,'SU TEMİNİ'!C:C,"")</f>
        <v/>
      </c>
      <c r="CA407" s="8" t="str">
        <f>+_xlfn.XLOOKUP(Table1[[#This Row],[L4 Code]],TAŞ!C:C,TAŞ!C:C,"")</f>
        <v/>
      </c>
      <c r="CB407" s="8" t="str">
        <f>Table1[[#This Row],[L4 Code]]&amp;"-"&amp;Table1[[#This Row],[T1 Code]]</f>
        <v>E-05.GNL-01.YMK-111-1000</v>
      </c>
    </row>
    <row r="408" spans="1:80">
      <c r="A408" s="3" t="s">
        <v>5444</v>
      </c>
      <c r="B408" t="s">
        <v>4266</v>
      </c>
      <c r="D408" t="s">
        <v>4967</v>
      </c>
      <c r="F408" s="77" t="s">
        <v>4973</v>
      </c>
      <c r="H408" s="3" t="s">
        <v>4984</v>
      </c>
      <c r="I408" s="3"/>
      <c r="J408" s="78"/>
      <c r="K408" s="78"/>
      <c r="M408" s="78"/>
      <c r="X408" s="10"/>
      <c r="Y408" s="8">
        <v>2.5000000000000001E-2</v>
      </c>
      <c r="Z408" s="8">
        <v>2.5000000000000001E-2</v>
      </c>
      <c r="AA408" s="8">
        <v>2.5000000000000001E-2</v>
      </c>
      <c r="AB408" s="8">
        <v>2.5000000000000001E-2</v>
      </c>
      <c r="AC408" s="8">
        <v>2.5000000000000001E-2</v>
      </c>
      <c r="AD408" s="8">
        <v>2.5000000000000001E-2</v>
      </c>
      <c r="AE408" s="8">
        <v>2.5000000000000001E-2</v>
      </c>
      <c r="AF408" s="8">
        <v>2.5000000000000001E-2</v>
      </c>
      <c r="AG408" s="8">
        <v>2.5000000000000001E-2</v>
      </c>
      <c r="AH408" s="8">
        <v>2.5000000000000001E-2</v>
      </c>
      <c r="AI408" s="8">
        <v>2.5000000000000001E-2</v>
      </c>
      <c r="AJ408" s="8">
        <v>2.5000000000000001E-2</v>
      </c>
      <c r="AK408" s="8">
        <v>2.5000000000000001E-2</v>
      </c>
      <c r="AL408" s="8">
        <v>2.5000000000000001E-2</v>
      </c>
      <c r="AM408" s="8">
        <v>2.5000000000000001E-2</v>
      </c>
      <c r="AN408" s="8">
        <v>2.5000000000000001E-2</v>
      </c>
      <c r="AO408" s="8">
        <v>2.5000000000000001E-2</v>
      </c>
      <c r="AP408" s="8">
        <v>2.5000000000000001E-2</v>
      </c>
      <c r="AQ408" s="8">
        <v>2.5000000000000001E-2</v>
      </c>
      <c r="AR408" s="8">
        <v>2.5000000000000001E-2</v>
      </c>
      <c r="AS408" s="8">
        <v>2.5000000000000001E-2</v>
      </c>
      <c r="AT408" s="8">
        <v>2.5000000000000001E-2</v>
      </c>
      <c r="AU408" s="8">
        <v>2.5000000000000001E-2</v>
      </c>
      <c r="AV408" s="8">
        <v>2.5000000000000001E-2</v>
      </c>
      <c r="AW408" s="8">
        <v>2.5000000000000001E-2</v>
      </c>
      <c r="AX408" s="8">
        <v>2.5000000000000001E-2</v>
      </c>
      <c r="AY408" s="8">
        <v>2.5000000000000001E-2</v>
      </c>
      <c r="AZ408" s="8">
        <v>2.5000000000000001E-2</v>
      </c>
      <c r="BA408" s="8">
        <v>2.5000000000000001E-2</v>
      </c>
      <c r="BB408" s="8">
        <v>2.5000000000000001E-2</v>
      </c>
      <c r="BC408" s="8">
        <v>2.5000000000000001E-2</v>
      </c>
      <c r="BD408" s="8">
        <v>2.5000000000000001E-2</v>
      </c>
      <c r="BE408" s="8">
        <v>2.5000000000000001E-2</v>
      </c>
      <c r="BF408" s="8">
        <v>2.5000000000000001E-2</v>
      </c>
      <c r="BG408" s="8">
        <v>2.5000000000000001E-2</v>
      </c>
      <c r="BH408" s="8">
        <v>2.5000000000000001E-2</v>
      </c>
      <c r="BI408" s="8">
        <v>2.5000000000000001E-2</v>
      </c>
      <c r="BJ408" s="8">
        <v>2.5000000000000001E-2</v>
      </c>
      <c r="BK408" s="8">
        <v>2.5000000000000001E-2</v>
      </c>
      <c r="BL408" s="8">
        <v>2.5000000000000001E-2</v>
      </c>
      <c r="BY408" s="8" t="str">
        <f>+_xlfn.XLOOKUP(Table1[[#This Row],[L4 Code]],KIRMATAŞ!B:B,KIRMATAŞ!B:B,"")</f>
        <v/>
      </c>
      <c r="BZ408" s="8" t="str">
        <f>+_xlfn.XLOOKUP(Table1[[#This Row],[L4 Code]],'SU TEMİNİ'!C:C,'SU TEMİNİ'!C:C,"")</f>
        <v/>
      </c>
      <c r="CA408" s="8" t="str">
        <f>+_xlfn.XLOOKUP(Table1[[#This Row],[L4 Code]],TAŞ!C:C,TAŞ!C:C,"")</f>
        <v/>
      </c>
      <c r="CB408" s="8" t="str">
        <f>Table1[[#This Row],[L4 Code]]&amp;"-"&amp;Table1[[#This Row],[T1 Code]]</f>
        <v>E-05.GNL-01.YMK-120-1000</v>
      </c>
    </row>
    <row r="409" spans="1:80">
      <c r="A409" s="3" t="s">
        <v>5444</v>
      </c>
      <c r="B409" t="s">
        <v>4268</v>
      </c>
      <c r="D409" t="s">
        <v>4967</v>
      </c>
      <c r="F409" s="77" t="s">
        <v>4973</v>
      </c>
      <c r="H409" s="3" t="s">
        <v>4984</v>
      </c>
      <c r="I409" s="3"/>
      <c r="J409" s="78"/>
      <c r="K409" s="78"/>
      <c r="M409" s="78"/>
      <c r="X409" s="10"/>
      <c r="Y409" s="8">
        <v>2.5000000000000001E-2</v>
      </c>
      <c r="Z409" s="8">
        <v>2.5000000000000001E-2</v>
      </c>
      <c r="AA409" s="8">
        <v>2.5000000000000001E-2</v>
      </c>
      <c r="AB409" s="8">
        <v>2.5000000000000001E-2</v>
      </c>
      <c r="AC409" s="8">
        <v>2.5000000000000001E-2</v>
      </c>
      <c r="AD409" s="8">
        <v>2.5000000000000001E-2</v>
      </c>
      <c r="AE409" s="8">
        <v>2.5000000000000001E-2</v>
      </c>
      <c r="AF409" s="8">
        <v>2.5000000000000001E-2</v>
      </c>
      <c r="AG409" s="8">
        <v>2.5000000000000001E-2</v>
      </c>
      <c r="AH409" s="8">
        <v>2.5000000000000001E-2</v>
      </c>
      <c r="AI409" s="8">
        <v>2.5000000000000001E-2</v>
      </c>
      <c r="AJ409" s="8">
        <v>2.5000000000000001E-2</v>
      </c>
      <c r="AK409" s="8">
        <v>2.5000000000000001E-2</v>
      </c>
      <c r="AL409" s="8">
        <v>2.5000000000000001E-2</v>
      </c>
      <c r="AM409" s="8">
        <v>2.5000000000000001E-2</v>
      </c>
      <c r="AN409" s="8">
        <v>2.5000000000000001E-2</v>
      </c>
      <c r="AO409" s="8">
        <v>2.5000000000000001E-2</v>
      </c>
      <c r="AP409" s="8">
        <v>2.5000000000000001E-2</v>
      </c>
      <c r="AQ409" s="8">
        <v>2.5000000000000001E-2</v>
      </c>
      <c r="AR409" s="8">
        <v>2.5000000000000001E-2</v>
      </c>
      <c r="AS409" s="8">
        <v>2.5000000000000001E-2</v>
      </c>
      <c r="AT409" s="8">
        <v>2.5000000000000001E-2</v>
      </c>
      <c r="AU409" s="8">
        <v>2.5000000000000001E-2</v>
      </c>
      <c r="AV409" s="8">
        <v>2.5000000000000001E-2</v>
      </c>
      <c r="AW409" s="8">
        <v>2.5000000000000001E-2</v>
      </c>
      <c r="AX409" s="8">
        <v>2.5000000000000001E-2</v>
      </c>
      <c r="AY409" s="8">
        <v>2.5000000000000001E-2</v>
      </c>
      <c r="AZ409" s="8">
        <v>2.5000000000000001E-2</v>
      </c>
      <c r="BA409" s="8">
        <v>2.5000000000000001E-2</v>
      </c>
      <c r="BB409" s="8">
        <v>2.5000000000000001E-2</v>
      </c>
      <c r="BC409" s="8">
        <v>2.5000000000000001E-2</v>
      </c>
      <c r="BD409" s="8">
        <v>2.5000000000000001E-2</v>
      </c>
      <c r="BE409" s="8">
        <v>2.5000000000000001E-2</v>
      </c>
      <c r="BF409" s="8">
        <v>2.5000000000000001E-2</v>
      </c>
      <c r="BG409" s="8">
        <v>2.5000000000000001E-2</v>
      </c>
      <c r="BH409" s="8">
        <v>2.5000000000000001E-2</v>
      </c>
      <c r="BI409" s="8">
        <v>2.5000000000000001E-2</v>
      </c>
      <c r="BJ409" s="8">
        <v>2.5000000000000001E-2</v>
      </c>
      <c r="BK409" s="8">
        <v>2.5000000000000001E-2</v>
      </c>
      <c r="BL409" s="8">
        <v>2.5000000000000001E-2</v>
      </c>
      <c r="BY409" s="8" t="str">
        <f>+_xlfn.XLOOKUP(Table1[[#This Row],[L4 Code]],KIRMATAŞ!B:B,KIRMATAŞ!B:B,"")</f>
        <v/>
      </c>
      <c r="BZ409" s="8" t="str">
        <f>+_xlfn.XLOOKUP(Table1[[#This Row],[L4 Code]],'SU TEMİNİ'!C:C,'SU TEMİNİ'!C:C,"")</f>
        <v/>
      </c>
      <c r="CA409" s="8" t="str">
        <f>+_xlfn.XLOOKUP(Table1[[#This Row],[L4 Code]],TAŞ!C:C,TAŞ!C:C,"")</f>
        <v/>
      </c>
      <c r="CB409" s="8" t="str">
        <f>Table1[[#This Row],[L4 Code]]&amp;"-"&amp;Table1[[#This Row],[T1 Code]]</f>
        <v>E-05.GNL-01.YMK-210-1000</v>
      </c>
    </row>
    <row r="410" spans="1:80">
      <c r="A410" s="3" t="s">
        <v>5444</v>
      </c>
      <c r="B410" t="s">
        <v>4272</v>
      </c>
      <c r="D410" t="s">
        <v>4967</v>
      </c>
      <c r="F410" s="77" t="s">
        <v>4973</v>
      </c>
      <c r="H410" s="3" t="s">
        <v>4984</v>
      </c>
      <c r="I410" s="3"/>
      <c r="J410" s="78"/>
      <c r="K410" s="78"/>
      <c r="M410" s="78"/>
      <c r="X410" s="10"/>
      <c r="Y410" s="8">
        <v>2.5000000000000001E-2</v>
      </c>
      <c r="Z410" s="8">
        <v>2.5000000000000001E-2</v>
      </c>
      <c r="AA410" s="8">
        <v>2.5000000000000001E-2</v>
      </c>
      <c r="AB410" s="8">
        <v>2.5000000000000001E-2</v>
      </c>
      <c r="AC410" s="8">
        <v>2.5000000000000001E-2</v>
      </c>
      <c r="AD410" s="8">
        <v>2.5000000000000001E-2</v>
      </c>
      <c r="AE410" s="8">
        <v>2.5000000000000001E-2</v>
      </c>
      <c r="AF410" s="8">
        <v>2.5000000000000001E-2</v>
      </c>
      <c r="AG410" s="8">
        <v>2.5000000000000001E-2</v>
      </c>
      <c r="AH410" s="8">
        <v>2.5000000000000001E-2</v>
      </c>
      <c r="AI410" s="8">
        <v>2.5000000000000001E-2</v>
      </c>
      <c r="AJ410" s="8">
        <v>2.5000000000000001E-2</v>
      </c>
      <c r="AK410" s="8">
        <v>2.5000000000000001E-2</v>
      </c>
      <c r="AL410" s="8">
        <v>2.5000000000000001E-2</v>
      </c>
      <c r="AM410" s="8">
        <v>2.5000000000000001E-2</v>
      </c>
      <c r="AN410" s="8">
        <v>2.5000000000000001E-2</v>
      </c>
      <c r="AO410" s="8">
        <v>2.5000000000000001E-2</v>
      </c>
      <c r="AP410" s="8">
        <v>2.5000000000000001E-2</v>
      </c>
      <c r="AQ410" s="8">
        <v>2.5000000000000001E-2</v>
      </c>
      <c r="AR410" s="8">
        <v>2.5000000000000001E-2</v>
      </c>
      <c r="AS410" s="8">
        <v>2.5000000000000001E-2</v>
      </c>
      <c r="AT410" s="8">
        <v>2.5000000000000001E-2</v>
      </c>
      <c r="AU410" s="8">
        <v>2.5000000000000001E-2</v>
      </c>
      <c r="AV410" s="8">
        <v>2.5000000000000001E-2</v>
      </c>
      <c r="AW410" s="8">
        <v>2.5000000000000001E-2</v>
      </c>
      <c r="AX410" s="8">
        <v>2.5000000000000001E-2</v>
      </c>
      <c r="AY410" s="8">
        <v>2.5000000000000001E-2</v>
      </c>
      <c r="AZ410" s="8">
        <v>2.5000000000000001E-2</v>
      </c>
      <c r="BA410" s="8">
        <v>2.5000000000000001E-2</v>
      </c>
      <c r="BB410" s="8">
        <v>2.5000000000000001E-2</v>
      </c>
      <c r="BC410" s="8">
        <v>2.5000000000000001E-2</v>
      </c>
      <c r="BD410" s="8">
        <v>2.5000000000000001E-2</v>
      </c>
      <c r="BE410" s="8">
        <v>2.5000000000000001E-2</v>
      </c>
      <c r="BF410" s="8">
        <v>2.5000000000000001E-2</v>
      </c>
      <c r="BG410" s="8">
        <v>2.5000000000000001E-2</v>
      </c>
      <c r="BH410" s="8">
        <v>2.5000000000000001E-2</v>
      </c>
      <c r="BI410" s="8">
        <v>2.5000000000000001E-2</v>
      </c>
      <c r="BJ410" s="8">
        <v>2.5000000000000001E-2</v>
      </c>
      <c r="BK410" s="8">
        <v>2.5000000000000001E-2</v>
      </c>
      <c r="BL410" s="8">
        <v>2.5000000000000001E-2</v>
      </c>
      <c r="BY410" s="8" t="str">
        <f>+_xlfn.XLOOKUP(Table1[[#This Row],[L4 Code]],KIRMATAŞ!B:B,KIRMATAŞ!B:B,"")</f>
        <v/>
      </c>
      <c r="BZ410" s="8" t="str">
        <f>+_xlfn.XLOOKUP(Table1[[#This Row],[L4 Code]],'SU TEMİNİ'!C:C,'SU TEMİNİ'!C:C,"")</f>
        <v/>
      </c>
      <c r="CA410" s="8" t="str">
        <f>+_xlfn.XLOOKUP(Table1[[#This Row],[L4 Code]],TAŞ!C:C,TAŞ!C:C,"")</f>
        <v/>
      </c>
      <c r="CB410" s="8" t="str">
        <f>Table1[[#This Row],[L4 Code]]&amp;"-"&amp;Table1[[#This Row],[T1 Code]]</f>
        <v>E-05.GNL-01.YMK-510-1000</v>
      </c>
    </row>
    <row r="411" spans="1:80">
      <c r="A411" s="3" t="s">
        <v>5444</v>
      </c>
      <c r="B411" t="s">
        <v>4279</v>
      </c>
      <c r="D411" t="s">
        <v>4967</v>
      </c>
      <c r="F411" s="77" t="s">
        <v>4973</v>
      </c>
      <c r="H411" s="3" t="s">
        <v>4984</v>
      </c>
      <c r="I411" s="3"/>
      <c r="J411" s="78"/>
      <c r="K411" s="78"/>
      <c r="M411" s="78"/>
      <c r="X411" s="10"/>
      <c r="Y411" s="8">
        <v>2.5000000000000001E-2</v>
      </c>
      <c r="Z411" s="8">
        <v>2.5000000000000001E-2</v>
      </c>
      <c r="AA411" s="8">
        <v>2.5000000000000001E-2</v>
      </c>
      <c r="AB411" s="8">
        <v>2.5000000000000001E-2</v>
      </c>
      <c r="AC411" s="8">
        <v>2.5000000000000001E-2</v>
      </c>
      <c r="AD411" s="8">
        <v>2.5000000000000001E-2</v>
      </c>
      <c r="AE411" s="8">
        <v>2.5000000000000001E-2</v>
      </c>
      <c r="AF411" s="8">
        <v>2.5000000000000001E-2</v>
      </c>
      <c r="AG411" s="8">
        <v>2.5000000000000001E-2</v>
      </c>
      <c r="AH411" s="8">
        <v>2.5000000000000001E-2</v>
      </c>
      <c r="AI411" s="8">
        <v>2.5000000000000001E-2</v>
      </c>
      <c r="AJ411" s="8">
        <v>2.5000000000000001E-2</v>
      </c>
      <c r="AK411" s="8">
        <v>2.5000000000000001E-2</v>
      </c>
      <c r="AL411" s="8">
        <v>2.5000000000000001E-2</v>
      </c>
      <c r="AM411" s="8">
        <v>2.5000000000000001E-2</v>
      </c>
      <c r="AN411" s="8">
        <v>2.5000000000000001E-2</v>
      </c>
      <c r="AO411" s="8">
        <v>2.5000000000000001E-2</v>
      </c>
      <c r="AP411" s="8">
        <v>2.5000000000000001E-2</v>
      </c>
      <c r="AQ411" s="8">
        <v>2.5000000000000001E-2</v>
      </c>
      <c r="AR411" s="8">
        <v>2.5000000000000001E-2</v>
      </c>
      <c r="AS411" s="8">
        <v>2.5000000000000001E-2</v>
      </c>
      <c r="AT411" s="8">
        <v>2.5000000000000001E-2</v>
      </c>
      <c r="AU411" s="8">
        <v>2.5000000000000001E-2</v>
      </c>
      <c r="AV411" s="8">
        <v>2.5000000000000001E-2</v>
      </c>
      <c r="AW411" s="8">
        <v>2.5000000000000001E-2</v>
      </c>
      <c r="AX411" s="8">
        <v>2.5000000000000001E-2</v>
      </c>
      <c r="AY411" s="8">
        <v>2.5000000000000001E-2</v>
      </c>
      <c r="AZ411" s="8">
        <v>2.5000000000000001E-2</v>
      </c>
      <c r="BA411" s="8">
        <v>2.5000000000000001E-2</v>
      </c>
      <c r="BB411" s="8">
        <v>2.5000000000000001E-2</v>
      </c>
      <c r="BC411" s="8">
        <v>2.5000000000000001E-2</v>
      </c>
      <c r="BD411" s="8">
        <v>2.5000000000000001E-2</v>
      </c>
      <c r="BE411" s="8">
        <v>2.5000000000000001E-2</v>
      </c>
      <c r="BF411" s="8">
        <v>2.5000000000000001E-2</v>
      </c>
      <c r="BG411" s="8">
        <v>2.5000000000000001E-2</v>
      </c>
      <c r="BH411" s="8">
        <v>2.5000000000000001E-2</v>
      </c>
      <c r="BI411" s="8">
        <v>2.5000000000000001E-2</v>
      </c>
      <c r="BJ411" s="8">
        <v>2.5000000000000001E-2</v>
      </c>
      <c r="BK411" s="8">
        <v>2.5000000000000001E-2</v>
      </c>
      <c r="BL411" s="8">
        <v>2.5000000000000001E-2</v>
      </c>
      <c r="BY411" s="8" t="str">
        <f>+_xlfn.XLOOKUP(Table1[[#This Row],[L4 Code]],KIRMATAŞ!B:B,KIRMATAŞ!B:B,"")</f>
        <v/>
      </c>
      <c r="BZ411" s="8" t="str">
        <f>+_xlfn.XLOOKUP(Table1[[#This Row],[L4 Code]],'SU TEMİNİ'!C:C,'SU TEMİNİ'!C:C,"")</f>
        <v/>
      </c>
      <c r="CA411" s="8" t="str">
        <f>+_xlfn.XLOOKUP(Table1[[#This Row],[L4 Code]],TAŞ!C:C,TAŞ!C:C,"")</f>
        <v/>
      </c>
      <c r="CB411" s="8" t="str">
        <f>Table1[[#This Row],[L4 Code]]&amp;"-"&amp;Table1[[#This Row],[T1 Code]]</f>
        <v>E-05.GNL-02.TMZ-110-1000</v>
      </c>
    </row>
    <row r="412" spans="1:80">
      <c r="A412" s="3" t="s">
        <v>5444</v>
      </c>
      <c r="B412" t="s">
        <v>5218</v>
      </c>
      <c r="D412" t="s">
        <v>4967</v>
      </c>
      <c r="F412" s="77" t="s">
        <v>4973</v>
      </c>
      <c r="H412" s="3" t="s">
        <v>4984</v>
      </c>
      <c r="I412" s="3"/>
      <c r="J412" s="78"/>
      <c r="K412" s="78"/>
      <c r="M412" s="78"/>
      <c r="X412" s="10"/>
      <c r="Y412" s="8">
        <v>2.5000000000000001E-2</v>
      </c>
      <c r="Z412" s="8">
        <v>2.5000000000000001E-2</v>
      </c>
      <c r="AA412" s="8">
        <v>2.5000000000000001E-2</v>
      </c>
      <c r="AB412" s="8">
        <v>2.5000000000000001E-2</v>
      </c>
      <c r="AC412" s="8">
        <v>2.5000000000000001E-2</v>
      </c>
      <c r="AD412" s="8">
        <v>2.5000000000000001E-2</v>
      </c>
      <c r="AE412" s="8">
        <v>2.5000000000000001E-2</v>
      </c>
      <c r="AF412" s="8">
        <v>2.5000000000000001E-2</v>
      </c>
      <c r="AG412" s="8">
        <v>2.5000000000000001E-2</v>
      </c>
      <c r="AH412" s="8">
        <v>2.5000000000000001E-2</v>
      </c>
      <c r="AI412" s="8">
        <v>2.5000000000000001E-2</v>
      </c>
      <c r="AJ412" s="8">
        <v>2.5000000000000001E-2</v>
      </c>
      <c r="AK412" s="8">
        <v>2.5000000000000001E-2</v>
      </c>
      <c r="AL412" s="8">
        <v>2.5000000000000001E-2</v>
      </c>
      <c r="AM412" s="8">
        <v>2.5000000000000001E-2</v>
      </c>
      <c r="AN412" s="8">
        <v>2.5000000000000001E-2</v>
      </c>
      <c r="AO412" s="8">
        <v>2.5000000000000001E-2</v>
      </c>
      <c r="AP412" s="8">
        <v>2.5000000000000001E-2</v>
      </c>
      <c r="AQ412" s="8">
        <v>2.5000000000000001E-2</v>
      </c>
      <c r="AR412" s="8">
        <v>2.5000000000000001E-2</v>
      </c>
      <c r="AS412" s="8">
        <v>2.5000000000000001E-2</v>
      </c>
      <c r="AT412" s="8">
        <v>2.5000000000000001E-2</v>
      </c>
      <c r="AU412" s="8">
        <v>2.5000000000000001E-2</v>
      </c>
      <c r="AV412" s="8">
        <v>2.5000000000000001E-2</v>
      </c>
      <c r="AW412" s="8">
        <v>2.5000000000000001E-2</v>
      </c>
      <c r="AX412" s="8">
        <v>2.5000000000000001E-2</v>
      </c>
      <c r="AY412" s="8">
        <v>2.5000000000000001E-2</v>
      </c>
      <c r="AZ412" s="8">
        <v>2.5000000000000001E-2</v>
      </c>
      <c r="BA412" s="8">
        <v>2.5000000000000001E-2</v>
      </c>
      <c r="BB412" s="8">
        <v>2.5000000000000001E-2</v>
      </c>
      <c r="BC412" s="8">
        <v>2.5000000000000001E-2</v>
      </c>
      <c r="BD412" s="8">
        <v>2.5000000000000001E-2</v>
      </c>
      <c r="BE412" s="8">
        <v>2.5000000000000001E-2</v>
      </c>
      <c r="BF412" s="8">
        <v>2.5000000000000001E-2</v>
      </c>
      <c r="BG412" s="8">
        <v>2.5000000000000001E-2</v>
      </c>
      <c r="BH412" s="8">
        <v>2.5000000000000001E-2</v>
      </c>
      <c r="BI412" s="8">
        <v>2.5000000000000001E-2</v>
      </c>
      <c r="BJ412" s="8">
        <v>2.5000000000000001E-2</v>
      </c>
      <c r="BK412" s="8">
        <v>2.5000000000000001E-2</v>
      </c>
      <c r="BL412" s="8">
        <v>2.5000000000000001E-2</v>
      </c>
      <c r="BY412" s="8" t="str">
        <f>+_xlfn.XLOOKUP(Table1[[#This Row],[L4 Code]],KIRMATAŞ!B:B,KIRMATAŞ!B:B,"")</f>
        <v/>
      </c>
      <c r="BZ412" s="8" t="str">
        <f>+_xlfn.XLOOKUP(Table1[[#This Row],[L4 Code]],'SU TEMİNİ'!C:C,'SU TEMİNİ'!C:C,"")</f>
        <v/>
      </c>
      <c r="CA412" s="8" t="str">
        <f>+_xlfn.XLOOKUP(Table1[[#This Row],[L4 Code]],TAŞ!C:C,TAŞ!C:C,"")</f>
        <v/>
      </c>
      <c r="CB412" s="8" t="str">
        <f>Table1[[#This Row],[L4 Code]]&amp;"-"&amp;Table1[[#This Row],[T1 Code]]</f>
        <v>E-05.GNL-02.TMZ-111-1000</v>
      </c>
    </row>
    <row r="413" spans="1:80">
      <c r="A413" s="3" t="s">
        <v>5444</v>
      </c>
      <c r="B413" t="s">
        <v>4288</v>
      </c>
      <c r="D413" t="s">
        <v>4967</v>
      </c>
      <c r="F413" s="77" t="s">
        <v>4973</v>
      </c>
      <c r="H413" s="3" t="s">
        <v>4984</v>
      </c>
      <c r="I413" s="3"/>
      <c r="J413" s="78"/>
      <c r="K413" s="78"/>
      <c r="M413" s="78"/>
      <c r="X413" s="10"/>
      <c r="Y413" s="8">
        <v>2.5000000000000001E-2</v>
      </c>
      <c r="Z413" s="8">
        <v>2.5000000000000001E-2</v>
      </c>
      <c r="AA413" s="8">
        <v>2.5000000000000001E-2</v>
      </c>
      <c r="AB413" s="8">
        <v>2.5000000000000001E-2</v>
      </c>
      <c r="AC413" s="8">
        <v>2.5000000000000001E-2</v>
      </c>
      <c r="AD413" s="8">
        <v>2.5000000000000001E-2</v>
      </c>
      <c r="AE413" s="8">
        <v>2.5000000000000001E-2</v>
      </c>
      <c r="AF413" s="8">
        <v>2.5000000000000001E-2</v>
      </c>
      <c r="AG413" s="8">
        <v>2.5000000000000001E-2</v>
      </c>
      <c r="AH413" s="8">
        <v>2.5000000000000001E-2</v>
      </c>
      <c r="AI413" s="8">
        <v>2.5000000000000001E-2</v>
      </c>
      <c r="AJ413" s="8">
        <v>2.5000000000000001E-2</v>
      </c>
      <c r="AK413" s="8">
        <v>2.5000000000000001E-2</v>
      </c>
      <c r="AL413" s="8">
        <v>2.5000000000000001E-2</v>
      </c>
      <c r="AM413" s="8">
        <v>2.5000000000000001E-2</v>
      </c>
      <c r="AN413" s="8">
        <v>2.5000000000000001E-2</v>
      </c>
      <c r="AO413" s="8">
        <v>2.5000000000000001E-2</v>
      </c>
      <c r="AP413" s="8">
        <v>2.5000000000000001E-2</v>
      </c>
      <c r="AQ413" s="8">
        <v>2.5000000000000001E-2</v>
      </c>
      <c r="AR413" s="8">
        <v>2.5000000000000001E-2</v>
      </c>
      <c r="AS413" s="8">
        <v>2.5000000000000001E-2</v>
      </c>
      <c r="AT413" s="8">
        <v>2.5000000000000001E-2</v>
      </c>
      <c r="AU413" s="8">
        <v>2.5000000000000001E-2</v>
      </c>
      <c r="AV413" s="8">
        <v>2.5000000000000001E-2</v>
      </c>
      <c r="AW413" s="8">
        <v>2.5000000000000001E-2</v>
      </c>
      <c r="AX413" s="8">
        <v>2.5000000000000001E-2</v>
      </c>
      <c r="AY413" s="8">
        <v>2.5000000000000001E-2</v>
      </c>
      <c r="AZ413" s="8">
        <v>2.5000000000000001E-2</v>
      </c>
      <c r="BA413" s="8">
        <v>2.5000000000000001E-2</v>
      </c>
      <c r="BB413" s="8">
        <v>2.5000000000000001E-2</v>
      </c>
      <c r="BC413" s="8">
        <v>2.5000000000000001E-2</v>
      </c>
      <c r="BD413" s="8">
        <v>2.5000000000000001E-2</v>
      </c>
      <c r="BE413" s="8">
        <v>2.5000000000000001E-2</v>
      </c>
      <c r="BF413" s="8">
        <v>2.5000000000000001E-2</v>
      </c>
      <c r="BG413" s="8">
        <v>2.5000000000000001E-2</v>
      </c>
      <c r="BH413" s="8">
        <v>2.5000000000000001E-2</v>
      </c>
      <c r="BI413" s="8">
        <v>2.5000000000000001E-2</v>
      </c>
      <c r="BJ413" s="8">
        <v>2.5000000000000001E-2</v>
      </c>
      <c r="BK413" s="8">
        <v>2.5000000000000001E-2</v>
      </c>
      <c r="BL413" s="8">
        <v>2.5000000000000001E-2</v>
      </c>
      <c r="BY413" s="8" t="str">
        <f>+_xlfn.XLOOKUP(Table1[[#This Row],[L4 Code]],KIRMATAŞ!B:B,KIRMATAŞ!B:B,"")</f>
        <v/>
      </c>
      <c r="BZ413" s="8" t="str">
        <f>+_xlfn.XLOOKUP(Table1[[#This Row],[L4 Code]],'SU TEMİNİ'!C:C,'SU TEMİNİ'!C:C,"")</f>
        <v/>
      </c>
      <c r="CA413" s="8" t="str">
        <f>+_xlfn.XLOOKUP(Table1[[#This Row],[L4 Code]],TAŞ!C:C,TAŞ!C:C,"")</f>
        <v/>
      </c>
      <c r="CB413" s="8" t="str">
        <f>Table1[[#This Row],[L4 Code]]&amp;"-"&amp;Table1[[#This Row],[T1 Code]]</f>
        <v>E-05.GNL-03.ISG-210-1000</v>
      </c>
    </row>
    <row r="414" spans="1:80">
      <c r="A414" s="3" t="s">
        <v>5444</v>
      </c>
      <c r="B414" t="s">
        <v>4290</v>
      </c>
      <c r="D414" t="s">
        <v>4967</v>
      </c>
      <c r="F414" s="77" t="s">
        <v>4973</v>
      </c>
      <c r="H414" s="3" t="s">
        <v>4984</v>
      </c>
      <c r="I414" s="3"/>
      <c r="J414" s="78"/>
      <c r="K414" s="78"/>
      <c r="M414" s="78"/>
      <c r="X414" s="10"/>
      <c r="Y414" s="8">
        <v>2.5000000000000001E-2</v>
      </c>
      <c r="Z414" s="8">
        <v>2.5000000000000001E-2</v>
      </c>
      <c r="AA414" s="8">
        <v>2.5000000000000001E-2</v>
      </c>
      <c r="AB414" s="8">
        <v>2.5000000000000001E-2</v>
      </c>
      <c r="AC414" s="8">
        <v>2.5000000000000001E-2</v>
      </c>
      <c r="AD414" s="8">
        <v>2.5000000000000001E-2</v>
      </c>
      <c r="AE414" s="8">
        <v>2.5000000000000001E-2</v>
      </c>
      <c r="AF414" s="8">
        <v>2.5000000000000001E-2</v>
      </c>
      <c r="AG414" s="8">
        <v>2.5000000000000001E-2</v>
      </c>
      <c r="AH414" s="8">
        <v>2.5000000000000001E-2</v>
      </c>
      <c r="AI414" s="8">
        <v>2.5000000000000001E-2</v>
      </c>
      <c r="AJ414" s="8">
        <v>2.5000000000000001E-2</v>
      </c>
      <c r="AK414" s="8">
        <v>2.5000000000000001E-2</v>
      </c>
      <c r="AL414" s="8">
        <v>2.5000000000000001E-2</v>
      </c>
      <c r="AM414" s="8">
        <v>2.5000000000000001E-2</v>
      </c>
      <c r="AN414" s="8">
        <v>2.5000000000000001E-2</v>
      </c>
      <c r="AO414" s="8">
        <v>2.5000000000000001E-2</v>
      </c>
      <c r="AP414" s="8">
        <v>2.5000000000000001E-2</v>
      </c>
      <c r="AQ414" s="8">
        <v>2.5000000000000001E-2</v>
      </c>
      <c r="AR414" s="8">
        <v>2.5000000000000001E-2</v>
      </c>
      <c r="AS414" s="8">
        <v>2.5000000000000001E-2</v>
      </c>
      <c r="AT414" s="8">
        <v>2.5000000000000001E-2</v>
      </c>
      <c r="AU414" s="8">
        <v>2.5000000000000001E-2</v>
      </c>
      <c r="AV414" s="8">
        <v>2.5000000000000001E-2</v>
      </c>
      <c r="AW414" s="8">
        <v>2.5000000000000001E-2</v>
      </c>
      <c r="AX414" s="8">
        <v>2.5000000000000001E-2</v>
      </c>
      <c r="AY414" s="8">
        <v>2.5000000000000001E-2</v>
      </c>
      <c r="AZ414" s="8">
        <v>2.5000000000000001E-2</v>
      </c>
      <c r="BA414" s="8">
        <v>2.5000000000000001E-2</v>
      </c>
      <c r="BB414" s="8">
        <v>2.5000000000000001E-2</v>
      </c>
      <c r="BC414" s="8">
        <v>2.5000000000000001E-2</v>
      </c>
      <c r="BD414" s="8">
        <v>2.5000000000000001E-2</v>
      </c>
      <c r="BE414" s="8">
        <v>2.5000000000000001E-2</v>
      </c>
      <c r="BF414" s="8">
        <v>2.5000000000000001E-2</v>
      </c>
      <c r="BG414" s="8">
        <v>2.5000000000000001E-2</v>
      </c>
      <c r="BH414" s="8">
        <v>2.5000000000000001E-2</v>
      </c>
      <c r="BI414" s="8">
        <v>2.5000000000000001E-2</v>
      </c>
      <c r="BJ414" s="8">
        <v>2.5000000000000001E-2</v>
      </c>
      <c r="BK414" s="8">
        <v>2.5000000000000001E-2</v>
      </c>
      <c r="BL414" s="8">
        <v>2.5000000000000001E-2</v>
      </c>
      <c r="BY414" s="8" t="str">
        <f>+_xlfn.XLOOKUP(Table1[[#This Row],[L4 Code]],KIRMATAŞ!B:B,KIRMATAŞ!B:B,"")</f>
        <v/>
      </c>
      <c r="BZ414" s="8" t="str">
        <f>+_xlfn.XLOOKUP(Table1[[#This Row],[L4 Code]],'SU TEMİNİ'!C:C,'SU TEMİNİ'!C:C,"")</f>
        <v/>
      </c>
      <c r="CA414" s="8" t="str">
        <f>+_xlfn.XLOOKUP(Table1[[#This Row],[L4 Code]],TAŞ!C:C,TAŞ!C:C,"")</f>
        <v/>
      </c>
      <c r="CB414" s="8" t="str">
        <f>Table1[[#This Row],[L4 Code]]&amp;"-"&amp;Table1[[#This Row],[T1 Code]]</f>
        <v>E-05.GNL-03.ISG-215-1000</v>
      </c>
    </row>
    <row r="415" spans="1:80">
      <c r="A415" s="3" t="s">
        <v>5444</v>
      </c>
      <c r="B415" t="s">
        <v>4292</v>
      </c>
      <c r="D415" t="s">
        <v>4967</v>
      </c>
      <c r="F415" s="77" t="s">
        <v>4973</v>
      </c>
      <c r="H415" s="3" t="s">
        <v>4984</v>
      </c>
      <c r="I415" s="3"/>
      <c r="J415" s="78"/>
      <c r="K415" s="78"/>
      <c r="M415" s="78"/>
      <c r="X415" s="10"/>
      <c r="Y415" s="8">
        <v>2.5000000000000001E-2</v>
      </c>
      <c r="Z415" s="8">
        <v>2.5000000000000001E-2</v>
      </c>
      <c r="AA415" s="8">
        <v>2.5000000000000001E-2</v>
      </c>
      <c r="AB415" s="8">
        <v>2.5000000000000001E-2</v>
      </c>
      <c r="AC415" s="8">
        <v>2.5000000000000001E-2</v>
      </c>
      <c r="AD415" s="8">
        <v>2.5000000000000001E-2</v>
      </c>
      <c r="AE415" s="8">
        <v>2.5000000000000001E-2</v>
      </c>
      <c r="AF415" s="8">
        <v>2.5000000000000001E-2</v>
      </c>
      <c r="AG415" s="8">
        <v>2.5000000000000001E-2</v>
      </c>
      <c r="AH415" s="8">
        <v>2.5000000000000001E-2</v>
      </c>
      <c r="AI415" s="8">
        <v>2.5000000000000001E-2</v>
      </c>
      <c r="AJ415" s="8">
        <v>2.5000000000000001E-2</v>
      </c>
      <c r="AK415" s="8">
        <v>2.5000000000000001E-2</v>
      </c>
      <c r="AL415" s="8">
        <v>2.5000000000000001E-2</v>
      </c>
      <c r="AM415" s="8">
        <v>2.5000000000000001E-2</v>
      </c>
      <c r="AN415" s="8">
        <v>2.5000000000000001E-2</v>
      </c>
      <c r="AO415" s="8">
        <v>2.5000000000000001E-2</v>
      </c>
      <c r="AP415" s="8">
        <v>2.5000000000000001E-2</v>
      </c>
      <c r="AQ415" s="8">
        <v>2.5000000000000001E-2</v>
      </c>
      <c r="AR415" s="8">
        <v>2.5000000000000001E-2</v>
      </c>
      <c r="AS415" s="8">
        <v>2.5000000000000001E-2</v>
      </c>
      <c r="AT415" s="8">
        <v>2.5000000000000001E-2</v>
      </c>
      <c r="AU415" s="8">
        <v>2.5000000000000001E-2</v>
      </c>
      <c r="AV415" s="8">
        <v>2.5000000000000001E-2</v>
      </c>
      <c r="AW415" s="8">
        <v>2.5000000000000001E-2</v>
      </c>
      <c r="AX415" s="8">
        <v>2.5000000000000001E-2</v>
      </c>
      <c r="AY415" s="8">
        <v>2.5000000000000001E-2</v>
      </c>
      <c r="AZ415" s="8">
        <v>2.5000000000000001E-2</v>
      </c>
      <c r="BA415" s="8">
        <v>2.5000000000000001E-2</v>
      </c>
      <c r="BB415" s="8">
        <v>2.5000000000000001E-2</v>
      </c>
      <c r="BC415" s="8">
        <v>2.5000000000000001E-2</v>
      </c>
      <c r="BD415" s="8">
        <v>2.5000000000000001E-2</v>
      </c>
      <c r="BE415" s="8">
        <v>2.5000000000000001E-2</v>
      </c>
      <c r="BF415" s="8">
        <v>2.5000000000000001E-2</v>
      </c>
      <c r="BG415" s="8">
        <v>2.5000000000000001E-2</v>
      </c>
      <c r="BH415" s="8">
        <v>2.5000000000000001E-2</v>
      </c>
      <c r="BI415" s="8">
        <v>2.5000000000000001E-2</v>
      </c>
      <c r="BJ415" s="8">
        <v>2.5000000000000001E-2</v>
      </c>
      <c r="BK415" s="8">
        <v>2.5000000000000001E-2</v>
      </c>
      <c r="BL415" s="8">
        <v>2.5000000000000001E-2</v>
      </c>
      <c r="BY415" s="8" t="str">
        <f>+_xlfn.XLOOKUP(Table1[[#This Row],[L4 Code]],KIRMATAŞ!B:B,KIRMATAŞ!B:B,"")</f>
        <v/>
      </c>
      <c r="BZ415" s="8" t="str">
        <f>+_xlfn.XLOOKUP(Table1[[#This Row],[L4 Code]],'SU TEMİNİ'!C:C,'SU TEMİNİ'!C:C,"")</f>
        <v/>
      </c>
      <c r="CA415" s="8" t="str">
        <f>+_xlfn.XLOOKUP(Table1[[#This Row],[L4 Code]],TAŞ!C:C,TAŞ!C:C,"")</f>
        <v/>
      </c>
      <c r="CB415" s="8" t="str">
        <f>Table1[[#This Row],[L4 Code]]&amp;"-"&amp;Table1[[#This Row],[T1 Code]]</f>
        <v>E-05.GNL-03.ISG-310-1000</v>
      </c>
    </row>
    <row r="416" spans="1:80">
      <c r="A416" s="3" t="s">
        <v>5444</v>
      </c>
      <c r="B416" t="s">
        <v>4294</v>
      </c>
      <c r="D416" t="s">
        <v>4967</v>
      </c>
      <c r="F416" s="77" t="s">
        <v>4973</v>
      </c>
      <c r="H416" s="3" t="s">
        <v>4984</v>
      </c>
      <c r="I416" s="3"/>
      <c r="J416" s="78"/>
      <c r="K416" s="78"/>
      <c r="M416" s="78"/>
      <c r="X416" s="10"/>
      <c r="Y416" s="8">
        <v>2.5000000000000001E-2</v>
      </c>
      <c r="Z416" s="8">
        <v>2.5000000000000001E-2</v>
      </c>
      <c r="AA416" s="8">
        <v>2.5000000000000001E-2</v>
      </c>
      <c r="AB416" s="8">
        <v>2.5000000000000001E-2</v>
      </c>
      <c r="AC416" s="8">
        <v>2.5000000000000001E-2</v>
      </c>
      <c r="AD416" s="8">
        <v>2.5000000000000001E-2</v>
      </c>
      <c r="AE416" s="8">
        <v>2.5000000000000001E-2</v>
      </c>
      <c r="AF416" s="8">
        <v>2.5000000000000001E-2</v>
      </c>
      <c r="AG416" s="8">
        <v>2.5000000000000001E-2</v>
      </c>
      <c r="AH416" s="8">
        <v>2.5000000000000001E-2</v>
      </c>
      <c r="AI416" s="8">
        <v>2.5000000000000001E-2</v>
      </c>
      <c r="AJ416" s="8">
        <v>2.5000000000000001E-2</v>
      </c>
      <c r="AK416" s="8">
        <v>2.5000000000000001E-2</v>
      </c>
      <c r="AL416" s="8">
        <v>2.5000000000000001E-2</v>
      </c>
      <c r="AM416" s="8">
        <v>2.5000000000000001E-2</v>
      </c>
      <c r="AN416" s="8">
        <v>2.5000000000000001E-2</v>
      </c>
      <c r="AO416" s="8">
        <v>2.5000000000000001E-2</v>
      </c>
      <c r="AP416" s="8">
        <v>2.5000000000000001E-2</v>
      </c>
      <c r="AQ416" s="8">
        <v>2.5000000000000001E-2</v>
      </c>
      <c r="AR416" s="8">
        <v>2.5000000000000001E-2</v>
      </c>
      <c r="AS416" s="8">
        <v>2.5000000000000001E-2</v>
      </c>
      <c r="AT416" s="8">
        <v>2.5000000000000001E-2</v>
      </c>
      <c r="AU416" s="8">
        <v>2.5000000000000001E-2</v>
      </c>
      <c r="AV416" s="8">
        <v>2.5000000000000001E-2</v>
      </c>
      <c r="AW416" s="8">
        <v>2.5000000000000001E-2</v>
      </c>
      <c r="AX416" s="8">
        <v>2.5000000000000001E-2</v>
      </c>
      <c r="AY416" s="8">
        <v>2.5000000000000001E-2</v>
      </c>
      <c r="AZ416" s="8">
        <v>2.5000000000000001E-2</v>
      </c>
      <c r="BA416" s="8">
        <v>2.5000000000000001E-2</v>
      </c>
      <c r="BB416" s="8">
        <v>2.5000000000000001E-2</v>
      </c>
      <c r="BC416" s="8">
        <v>2.5000000000000001E-2</v>
      </c>
      <c r="BD416" s="8">
        <v>2.5000000000000001E-2</v>
      </c>
      <c r="BE416" s="8">
        <v>2.5000000000000001E-2</v>
      </c>
      <c r="BF416" s="8">
        <v>2.5000000000000001E-2</v>
      </c>
      <c r="BG416" s="8">
        <v>2.5000000000000001E-2</v>
      </c>
      <c r="BH416" s="8">
        <v>2.5000000000000001E-2</v>
      </c>
      <c r="BI416" s="8">
        <v>2.5000000000000001E-2</v>
      </c>
      <c r="BJ416" s="8">
        <v>2.5000000000000001E-2</v>
      </c>
      <c r="BK416" s="8">
        <v>2.5000000000000001E-2</v>
      </c>
      <c r="BL416" s="8">
        <v>2.5000000000000001E-2</v>
      </c>
      <c r="BY416" s="8" t="str">
        <f>+_xlfn.XLOOKUP(Table1[[#This Row],[L4 Code]],KIRMATAŞ!B:B,KIRMATAŞ!B:B,"")</f>
        <v/>
      </c>
      <c r="BZ416" s="8" t="str">
        <f>+_xlfn.XLOOKUP(Table1[[#This Row],[L4 Code]],'SU TEMİNİ'!C:C,'SU TEMİNİ'!C:C,"")</f>
        <v/>
      </c>
      <c r="CA416" s="8" t="str">
        <f>+_xlfn.XLOOKUP(Table1[[#This Row],[L4 Code]],TAŞ!C:C,TAŞ!C:C,"")</f>
        <v/>
      </c>
      <c r="CB416" s="8" t="str">
        <f>Table1[[#This Row],[L4 Code]]&amp;"-"&amp;Table1[[#This Row],[T1 Code]]</f>
        <v>E-05.GNL-03.ISG-410-1000</v>
      </c>
    </row>
    <row r="417" spans="1:80">
      <c r="A417" s="3" t="s">
        <v>5444</v>
      </c>
      <c r="B417" t="s">
        <v>5219</v>
      </c>
      <c r="D417" t="s">
        <v>4967</v>
      </c>
      <c r="F417" s="77" t="s">
        <v>4973</v>
      </c>
      <c r="H417" s="3" t="s">
        <v>4984</v>
      </c>
      <c r="I417" s="3"/>
      <c r="J417" s="78"/>
      <c r="K417" s="78"/>
      <c r="M417" s="78"/>
      <c r="X417" s="10"/>
      <c r="Y417" s="8">
        <v>2.5000000000000001E-2</v>
      </c>
      <c r="Z417" s="8">
        <v>2.5000000000000001E-2</v>
      </c>
      <c r="AA417" s="8">
        <v>2.5000000000000001E-2</v>
      </c>
      <c r="AB417" s="8">
        <v>2.5000000000000001E-2</v>
      </c>
      <c r="AC417" s="8">
        <v>2.5000000000000001E-2</v>
      </c>
      <c r="AD417" s="8">
        <v>2.5000000000000001E-2</v>
      </c>
      <c r="AE417" s="8">
        <v>2.5000000000000001E-2</v>
      </c>
      <c r="AF417" s="8">
        <v>2.5000000000000001E-2</v>
      </c>
      <c r="AG417" s="8">
        <v>2.5000000000000001E-2</v>
      </c>
      <c r="AH417" s="8">
        <v>2.5000000000000001E-2</v>
      </c>
      <c r="AI417" s="8">
        <v>2.5000000000000001E-2</v>
      </c>
      <c r="AJ417" s="8">
        <v>2.5000000000000001E-2</v>
      </c>
      <c r="AK417" s="8">
        <v>2.5000000000000001E-2</v>
      </c>
      <c r="AL417" s="8">
        <v>2.5000000000000001E-2</v>
      </c>
      <c r="AM417" s="8">
        <v>2.5000000000000001E-2</v>
      </c>
      <c r="AN417" s="8">
        <v>2.5000000000000001E-2</v>
      </c>
      <c r="AO417" s="8">
        <v>2.5000000000000001E-2</v>
      </c>
      <c r="AP417" s="8">
        <v>2.5000000000000001E-2</v>
      </c>
      <c r="AQ417" s="8">
        <v>2.5000000000000001E-2</v>
      </c>
      <c r="AR417" s="8">
        <v>2.5000000000000001E-2</v>
      </c>
      <c r="AS417" s="8">
        <v>2.5000000000000001E-2</v>
      </c>
      <c r="AT417" s="8">
        <v>2.5000000000000001E-2</v>
      </c>
      <c r="AU417" s="8">
        <v>2.5000000000000001E-2</v>
      </c>
      <c r="AV417" s="8">
        <v>2.5000000000000001E-2</v>
      </c>
      <c r="AW417" s="8">
        <v>2.5000000000000001E-2</v>
      </c>
      <c r="AX417" s="8">
        <v>2.5000000000000001E-2</v>
      </c>
      <c r="AY417" s="8">
        <v>2.5000000000000001E-2</v>
      </c>
      <c r="AZ417" s="8">
        <v>2.5000000000000001E-2</v>
      </c>
      <c r="BA417" s="8">
        <v>2.5000000000000001E-2</v>
      </c>
      <c r="BB417" s="8">
        <v>2.5000000000000001E-2</v>
      </c>
      <c r="BC417" s="8">
        <v>2.5000000000000001E-2</v>
      </c>
      <c r="BD417" s="8">
        <v>2.5000000000000001E-2</v>
      </c>
      <c r="BE417" s="8">
        <v>2.5000000000000001E-2</v>
      </c>
      <c r="BF417" s="8">
        <v>2.5000000000000001E-2</v>
      </c>
      <c r="BG417" s="8">
        <v>2.5000000000000001E-2</v>
      </c>
      <c r="BH417" s="8">
        <v>2.5000000000000001E-2</v>
      </c>
      <c r="BI417" s="8">
        <v>2.5000000000000001E-2</v>
      </c>
      <c r="BJ417" s="8">
        <v>2.5000000000000001E-2</v>
      </c>
      <c r="BK417" s="8">
        <v>2.5000000000000001E-2</v>
      </c>
      <c r="BL417" s="8">
        <v>2.5000000000000001E-2</v>
      </c>
      <c r="BY417" s="8" t="str">
        <f>+_xlfn.XLOOKUP(Table1[[#This Row],[L4 Code]],KIRMATAŞ!B:B,KIRMATAŞ!B:B,"")</f>
        <v/>
      </c>
      <c r="BZ417" s="8" t="str">
        <f>+_xlfn.XLOOKUP(Table1[[#This Row],[L4 Code]],'SU TEMİNİ'!C:C,'SU TEMİNİ'!C:C,"")</f>
        <v/>
      </c>
      <c r="CA417" s="8" t="str">
        <f>+_xlfn.XLOOKUP(Table1[[#This Row],[L4 Code]],TAŞ!C:C,TAŞ!C:C,"")</f>
        <v/>
      </c>
      <c r="CB417" s="8" t="str">
        <f>Table1[[#This Row],[L4 Code]]&amp;"-"&amp;Table1[[#This Row],[T1 Code]]</f>
        <v>E-05.GNL-03.ISG-411-1000</v>
      </c>
    </row>
    <row r="418" spans="1:80">
      <c r="A418" s="3" t="s">
        <v>5444</v>
      </c>
      <c r="B418" t="s">
        <v>4296</v>
      </c>
      <c r="D418" t="s">
        <v>4967</v>
      </c>
      <c r="F418" s="77" t="s">
        <v>4973</v>
      </c>
      <c r="H418" s="3" t="s">
        <v>4984</v>
      </c>
      <c r="I418" s="3"/>
      <c r="J418" s="78"/>
      <c r="K418" s="78"/>
      <c r="M418" s="78"/>
      <c r="X418" s="10"/>
      <c r="Y418" s="8">
        <v>2.5000000000000001E-2</v>
      </c>
      <c r="Z418" s="8">
        <v>2.5000000000000001E-2</v>
      </c>
      <c r="AA418" s="8">
        <v>2.5000000000000001E-2</v>
      </c>
      <c r="AB418" s="8">
        <v>2.5000000000000001E-2</v>
      </c>
      <c r="AC418" s="8">
        <v>2.5000000000000001E-2</v>
      </c>
      <c r="AD418" s="8">
        <v>2.5000000000000001E-2</v>
      </c>
      <c r="AE418" s="8">
        <v>2.5000000000000001E-2</v>
      </c>
      <c r="AF418" s="8">
        <v>2.5000000000000001E-2</v>
      </c>
      <c r="AG418" s="8">
        <v>2.5000000000000001E-2</v>
      </c>
      <c r="AH418" s="8">
        <v>2.5000000000000001E-2</v>
      </c>
      <c r="AI418" s="8">
        <v>2.5000000000000001E-2</v>
      </c>
      <c r="AJ418" s="8">
        <v>2.5000000000000001E-2</v>
      </c>
      <c r="AK418" s="8">
        <v>2.5000000000000001E-2</v>
      </c>
      <c r="AL418" s="8">
        <v>2.5000000000000001E-2</v>
      </c>
      <c r="AM418" s="8">
        <v>2.5000000000000001E-2</v>
      </c>
      <c r="AN418" s="8">
        <v>2.5000000000000001E-2</v>
      </c>
      <c r="AO418" s="8">
        <v>2.5000000000000001E-2</v>
      </c>
      <c r="AP418" s="8">
        <v>2.5000000000000001E-2</v>
      </c>
      <c r="AQ418" s="8">
        <v>2.5000000000000001E-2</v>
      </c>
      <c r="AR418" s="8">
        <v>2.5000000000000001E-2</v>
      </c>
      <c r="AS418" s="8">
        <v>2.5000000000000001E-2</v>
      </c>
      <c r="AT418" s="8">
        <v>2.5000000000000001E-2</v>
      </c>
      <c r="AU418" s="8">
        <v>2.5000000000000001E-2</v>
      </c>
      <c r="AV418" s="8">
        <v>2.5000000000000001E-2</v>
      </c>
      <c r="AW418" s="8">
        <v>2.5000000000000001E-2</v>
      </c>
      <c r="AX418" s="8">
        <v>2.5000000000000001E-2</v>
      </c>
      <c r="AY418" s="8">
        <v>2.5000000000000001E-2</v>
      </c>
      <c r="AZ418" s="8">
        <v>2.5000000000000001E-2</v>
      </c>
      <c r="BA418" s="8">
        <v>2.5000000000000001E-2</v>
      </c>
      <c r="BB418" s="8">
        <v>2.5000000000000001E-2</v>
      </c>
      <c r="BC418" s="8">
        <v>2.5000000000000001E-2</v>
      </c>
      <c r="BD418" s="8">
        <v>2.5000000000000001E-2</v>
      </c>
      <c r="BE418" s="8">
        <v>2.5000000000000001E-2</v>
      </c>
      <c r="BF418" s="8">
        <v>2.5000000000000001E-2</v>
      </c>
      <c r="BG418" s="8">
        <v>2.5000000000000001E-2</v>
      </c>
      <c r="BH418" s="8">
        <v>2.5000000000000001E-2</v>
      </c>
      <c r="BI418" s="8">
        <v>2.5000000000000001E-2</v>
      </c>
      <c r="BJ418" s="8">
        <v>2.5000000000000001E-2</v>
      </c>
      <c r="BK418" s="8">
        <v>2.5000000000000001E-2</v>
      </c>
      <c r="BL418" s="8">
        <v>2.5000000000000001E-2</v>
      </c>
      <c r="BY418" s="8" t="str">
        <f>+_xlfn.XLOOKUP(Table1[[#This Row],[L4 Code]],KIRMATAŞ!B:B,KIRMATAŞ!B:B,"")</f>
        <v/>
      </c>
      <c r="BZ418" s="8" t="str">
        <f>+_xlfn.XLOOKUP(Table1[[#This Row],[L4 Code]],'SU TEMİNİ'!C:C,'SU TEMİNİ'!C:C,"")</f>
        <v/>
      </c>
      <c r="CA418" s="8" t="str">
        <f>+_xlfn.XLOOKUP(Table1[[#This Row],[L4 Code]],TAŞ!C:C,TAŞ!C:C,"")</f>
        <v/>
      </c>
      <c r="CB418" s="8" t="str">
        <f>Table1[[#This Row],[L4 Code]]&amp;"-"&amp;Table1[[#This Row],[T1 Code]]</f>
        <v>E-05.GNL-03.ISG-420-1000</v>
      </c>
    </row>
    <row r="419" spans="1:80">
      <c r="A419" s="3" t="s">
        <v>5444</v>
      </c>
      <c r="B419" t="s">
        <v>4298</v>
      </c>
      <c r="D419" t="s">
        <v>4967</v>
      </c>
      <c r="F419" s="77" t="s">
        <v>4973</v>
      </c>
      <c r="H419" s="3" t="s">
        <v>4984</v>
      </c>
      <c r="I419" s="3"/>
      <c r="J419" s="78"/>
      <c r="K419" s="78"/>
      <c r="M419" s="78"/>
      <c r="X419" s="10"/>
      <c r="Y419" s="8">
        <v>2.5000000000000001E-2</v>
      </c>
      <c r="Z419" s="8">
        <v>2.5000000000000001E-2</v>
      </c>
      <c r="AA419" s="8">
        <v>2.5000000000000001E-2</v>
      </c>
      <c r="AB419" s="8">
        <v>2.5000000000000001E-2</v>
      </c>
      <c r="AC419" s="8">
        <v>2.5000000000000001E-2</v>
      </c>
      <c r="AD419" s="8">
        <v>2.5000000000000001E-2</v>
      </c>
      <c r="AE419" s="8">
        <v>2.5000000000000001E-2</v>
      </c>
      <c r="AF419" s="8">
        <v>2.5000000000000001E-2</v>
      </c>
      <c r="AG419" s="8">
        <v>2.5000000000000001E-2</v>
      </c>
      <c r="AH419" s="8">
        <v>2.5000000000000001E-2</v>
      </c>
      <c r="AI419" s="8">
        <v>2.5000000000000001E-2</v>
      </c>
      <c r="AJ419" s="8">
        <v>2.5000000000000001E-2</v>
      </c>
      <c r="AK419" s="8">
        <v>2.5000000000000001E-2</v>
      </c>
      <c r="AL419" s="8">
        <v>2.5000000000000001E-2</v>
      </c>
      <c r="AM419" s="8">
        <v>2.5000000000000001E-2</v>
      </c>
      <c r="AN419" s="8">
        <v>2.5000000000000001E-2</v>
      </c>
      <c r="AO419" s="8">
        <v>2.5000000000000001E-2</v>
      </c>
      <c r="AP419" s="8">
        <v>2.5000000000000001E-2</v>
      </c>
      <c r="AQ419" s="8">
        <v>2.5000000000000001E-2</v>
      </c>
      <c r="AR419" s="8">
        <v>2.5000000000000001E-2</v>
      </c>
      <c r="AS419" s="8">
        <v>2.5000000000000001E-2</v>
      </c>
      <c r="AT419" s="8">
        <v>2.5000000000000001E-2</v>
      </c>
      <c r="AU419" s="8">
        <v>2.5000000000000001E-2</v>
      </c>
      <c r="AV419" s="8">
        <v>2.5000000000000001E-2</v>
      </c>
      <c r="AW419" s="8">
        <v>2.5000000000000001E-2</v>
      </c>
      <c r="AX419" s="8">
        <v>2.5000000000000001E-2</v>
      </c>
      <c r="AY419" s="8">
        <v>2.5000000000000001E-2</v>
      </c>
      <c r="AZ419" s="8">
        <v>2.5000000000000001E-2</v>
      </c>
      <c r="BA419" s="8">
        <v>2.5000000000000001E-2</v>
      </c>
      <c r="BB419" s="8">
        <v>2.5000000000000001E-2</v>
      </c>
      <c r="BC419" s="8">
        <v>2.5000000000000001E-2</v>
      </c>
      <c r="BD419" s="8">
        <v>2.5000000000000001E-2</v>
      </c>
      <c r="BE419" s="8">
        <v>2.5000000000000001E-2</v>
      </c>
      <c r="BF419" s="8">
        <v>2.5000000000000001E-2</v>
      </c>
      <c r="BG419" s="8">
        <v>2.5000000000000001E-2</v>
      </c>
      <c r="BH419" s="8">
        <v>2.5000000000000001E-2</v>
      </c>
      <c r="BI419" s="8">
        <v>2.5000000000000001E-2</v>
      </c>
      <c r="BJ419" s="8">
        <v>2.5000000000000001E-2</v>
      </c>
      <c r="BK419" s="8">
        <v>2.5000000000000001E-2</v>
      </c>
      <c r="BL419" s="8">
        <v>2.5000000000000001E-2</v>
      </c>
      <c r="BY419" s="8" t="str">
        <f>+_xlfn.XLOOKUP(Table1[[#This Row],[L4 Code]],KIRMATAŞ!B:B,KIRMATAŞ!B:B,"")</f>
        <v/>
      </c>
      <c r="BZ419" s="8" t="str">
        <f>+_xlfn.XLOOKUP(Table1[[#This Row],[L4 Code]],'SU TEMİNİ'!C:C,'SU TEMİNİ'!C:C,"")</f>
        <v/>
      </c>
      <c r="CA419" s="8" t="str">
        <f>+_xlfn.XLOOKUP(Table1[[#This Row],[L4 Code]],TAŞ!C:C,TAŞ!C:C,"")</f>
        <v/>
      </c>
      <c r="CB419" s="8" t="str">
        <f>Table1[[#This Row],[L4 Code]]&amp;"-"&amp;Table1[[#This Row],[T1 Code]]</f>
        <v>E-05.GNL-03.ISG-430-1000</v>
      </c>
    </row>
    <row r="420" spans="1:80">
      <c r="A420" s="3" t="s">
        <v>5444</v>
      </c>
      <c r="B420" t="s">
        <v>4301</v>
      </c>
      <c r="D420" t="s">
        <v>4967</v>
      </c>
      <c r="F420" s="77" t="s">
        <v>4973</v>
      </c>
      <c r="H420" s="3" t="s">
        <v>4984</v>
      </c>
      <c r="I420" s="3"/>
      <c r="J420" s="78"/>
      <c r="K420" s="78"/>
      <c r="M420" s="78"/>
      <c r="X420" s="10"/>
      <c r="Y420" s="8">
        <v>2.5000000000000001E-2</v>
      </c>
      <c r="Z420" s="8">
        <v>2.5000000000000001E-2</v>
      </c>
      <c r="AA420" s="8">
        <v>2.5000000000000001E-2</v>
      </c>
      <c r="AB420" s="8">
        <v>2.5000000000000001E-2</v>
      </c>
      <c r="AC420" s="8">
        <v>2.5000000000000001E-2</v>
      </c>
      <c r="AD420" s="8">
        <v>2.5000000000000001E-2</v>
      </c>
      <c r="AE420" s="8">
        <v>2.5000000000000001E-2</v>
      </c>
      <c r="AF420" s="8">
        <v>2.5000000000000001E-2</v>
      </c>
      <c r="AG420" s="8">
        <v>2.5000000000000001E-2</v>
      </c>
      <c r="AH420" s="8">
        <v>2.5000000000000001E-2</v>
      </c>
      <c r="AI420" s="8">
        <v>2.5000000000000001E-2</v>
      </c>
      <c r="AJ420" s="8">
        <v>2.5000000000000001E-2</v>
      </c>
      <c r="AK420" s="8">
        <v>2.5000000000000001E-2</v>
      </c>
      <c r="AL420" s="8">
        <v>2.5000000000000001E-2</v>
      </c>
      <c r="AM420" s="8">
        <v>2.5000000000000001E-2</v>
      </c>
      <c r="AN420" s="8">
        <v>2.5000000000000001E-2</v>
      </c>
      <c r="AO420" s="8">
        <v>2.5000000000000001E-2</v>
      </c>
      <c r="AP420" s="8">
        <v>2.5000000000000001E-2</v>
      </c>
      <c r="AQ420" s="8">
        <v>2.5000000000000001E-2</v>
      </c>
      <c r="AR420" s="8">
        <v>2.5000000000000001E-2</v>
      </c>
      <c r="AS420" s="8">
        <v>2.5000000000000001E-2</v>
      </c>
      <c r="AT420" s="8">
        <v>2.5000000000000001E-2</v>
      </c>
      <c r="AU420" s="8">
        <v>2.5000000000000001E-2</v>
      </c>
      <c r="AV420" s="8">
        <v>2.5000000000000001E-2</v>
      </c>
      <c r="AW420" s="8">
        <v>2.5000000000000001E-2</v>
      </c>
      <c r="AX420" s="8">
        <v>2.5000000000000001E-2</v>
      </c>
      <c r="AY420" s="8">
        <v>2.5000000000000001E-2</v>
      </c>
      <c r="AZ420" s="8">
        <v>2.5000000000000001E-2</v>
      </c>
      <c r="BA420" s="8">
        <v>2.5000000000000001E-2</v>
      </c>
      <c r="BB420" s="8">
        <v>2.5000000000000001E-2</v>
      </c>
      <c r="BC420" s="8">
        <v>2.5000000000000001E-2</v>
      </c>
      <c r="BD420" s="8">
        <v>2.5000000000000001E-2</v>
      </c>
      <c r="BE420" s="8">
        <v>2.5000000000000001E-2</v>
      </c>
      <c r="BF420" s="8">
        <v>2.5000000000000001E-2</v>
      </c>
      <c r="BG420" s="8">
        <v>2.5000000000000001E-2</v>
      </c>
      <c r="BH420" s="8">
        <v>2.5000000000000001E-2</v>
      </c>
      <c r="BI420" s="8">
        <v>2.5000000000000001E-2</v>
      </c>
      <c r="BJ420" s="8">
        <v>2.5000000000000001E-2</v>
      </c>
      <c r="BK420" s="8">
        <v>2.5000000000000001E-2</v>
      </c>
      <c r="BL420" s="8">
        <v>2.5000000000000001E-2</v>
      </c>
      <c r="BY420" s="8" t="str">
        <f>+_xlfn.XLOOKUP(Table1[[#This Row],[L4 Code]],KIRMATAŞ!B:B,KIRMATAŞ!B:B,"")</f>
        <v/>
      </c>
      <c r="BZ420" s="8" t="str">
        <f>+_xlfn.XLOOKUP(Table1[[#This Row],[L4 Code]],'SU TEMİNİ'!C:C,'SU TEMİNİ'!C:C,"")</f>
        <v/>
      </c>
      <c r="CA420" s="8" t="str">
        <f>+_xlfn.XLOOKUP(Table1[[#This Row],[L4 Code]],TAŞ!C:C,TAŞ!C:C,"")</f>
        <v/>
      </c>
      <c r="CB420" s="8" t="str">
        <f>Table1[[#This Row],[L4 Code]]&amp;"-"&amp;Table1[[#This Row],[T1 Code]]</f>
        <v>E-05.GNL-03.ISG-440-1000</v>
      </c>
    </row>
    <row r="421" spans="1:80">
      <c r="A421" s="3" t="s">
        <v>5444</v>
      </c>
      <c r="B421" t="s">
        <v>4304</v>
      </c>
      <c r="D421" t="s">
        <v>4967</v>
      </c>
      <c r="F421" s="77" t="s">
        <v>4973</v>
      </c>
      <c r="H421" s="3" t="s">
        <v>4984</v>
      </c>
      <c r="I421" s="3"/>
      <c r="J421" s="78"/>
      <c r="K421" s="78"/>
      <c r="M421" s="78"/>
      <c r="X421" s="10"/>
      <c r="Y421" s="8">
        <v>2.5000000000000001E-2</v>
      </c>
      <c r="Z421" s="8">
        <v>2.5000000000000001E-2</v>
      </c>
      <c r="AA421" s="8">
        <v>2.5000000000000001E-2</v>
      </c>
      <c r="AB421" s="8">
        <v>2.5000000000000001E-2</v>
      </c>
      <c r="AC421" s="8">
        <v>2.5000000000000001E-2</v>
      </c>
      <c r="AD421" s="8">
        <v>2.5000000000000001E-2</v>
      </c>
      <c r="AE421" s="8">
        <v>2.5000000000000001E-2</v>
      </c>
      <c r="AF421" s="8">
        <v>2.5000000000000001E-2</v>
      </c>
      <c r="AG421" s="8">
        <v>2.5000000000000001E-2</v>
      </c>
      <c r="AH421" s="8">
        <v>2.5000000000000001E-2</v>
      </c>
      <c r="AI421" s="8">
        <v>2.5000000000000001E-2</v>
      </c>
      <c r="AJ421" s="8">
        <v>2.5000000000000001E-2</v>
      </c>
      <c r="AK421" s="8">
        <v>2.5000000000000001E-2</v>
      </c>
      <c r="AL421" s="8">
        <v>2.5000000000000001E-2</v>
      </c>
      <c r="AM421" s="8">
        <v>2.5000000000000001E-2</v>
      </c>
      <c r="AN421" s="8">
        <v>2.5000000000000001E-2</v>
      </c>
      <c r="AO421" s="8">
        <v>2.5000000000000001E-2</v>
      </c>
      <c r="AP421" s="8">
        <v>2.5000000000000001E-2</v>
      </c>
      <c r="AQ421" s="8">
        <v>2.5000000000000001E-2</v>
      </c>
      <c r="AR421" s="8">
        <v>2.5000000000000001E-2</v>
      </c>
      <c r="AS421" s="8">
        <v>2.5000000000000001E-2</v>
      </c>
      <c r="AT421" s="8">
        <v>2.5000000000000001E-2</v>
      </c>
      <c r="AU421" s="8">
        <v>2.5000000000000001E-2</v>
      </c>
      <c r="AV421" s="8">
        <v>2.5000000000000001E-2</v>
      </c>
      <c r="AW421" s="8">
        <v>2.5000000000000001E-2</v>
      </c>
      <c r="AX421" s="8">
        <v>2.5000000000000001E-2</v>
      </c>
      <c r="AY421" s="8">
        <v>2.5000000000000001E-2</v>
      </c>
      <c r="AZ421" s="8">
        <v>2.5000000000000001E-2</v>
      </c>
      <c r="BA421" s="8">
        <v>2.5000000000000001E-2</v>
      </c>
      <c r="BB421" s="8">
        <v>2.5000000000000001E-2</v>
      </c>
      <c r="BC421" s="8">
        <v>2.5000000000000001E-2</v>
      </c>
      <c r="BD421" s="8">
        <v>2.5000000000000001E-2</v>
      </c>
      <c r="BE421" s="8">
        <v>2.5000000000000001E-2</v>
      </c>
      <c r="BF421" s="8">
        <v>2.5000000000000001E-2</v>
      </c>
      <c r="BG421" s="8">
        <v>2.5000000000000001E-2</v>
      </c>
      <c r="BH421" s="8">
        <v>2.5000000000000001E-2</v>
      </c>
      <c r="BI421" s="8">
        <v>2.5000000000000001E-2</v>
      </c>
      <c r="BJ421" s="8">
        <v>2.5000000000000001E-2</v>
      </c>
      <c r="BK421" s="8">
        <v>2.5000000000000001E-2</v>
      </c>
      <c r="BL421" s="8">
        <v>2.5000000000000001E-2</v>
      </c>
      <c r="BY421" s="8" t="str">
        <f>+_xlfn.XLOOKUP(Table1[[#This Row],[L4 Code]],KIRMATAŞ!B:B,KIRMATAŞ!B:B,"")</f>
        <v/>
      </c>
      <c r="BZ421" s="8" t="str">
        <f>+_xlfn.XLOOKUP(Table1[[#This Row],[L4 Code]],'SU TEMİNİ'!C:C,'SU TEMİNİ'!C:C,"")</f>
        <v/>
      </c>
      <c r="CA421" s="8" t="str">
        <f>+_xlfn.XLOOKUP(Table1[[#This Row],[L4 Code]],TAŞ!C:C,TAŞ!C:C,"")</f>
        <v/>
      </c>
      <c r="CB421" s="8" t="str">
        <f>Table1[[#This Row],[L4 Code]]&amp;"-"&amp;Table1[[#This Row],[T1 Code]]</f>
        <v>E-05.GNL-03.ISG-450-1000</v>
      </c>
    </row>
    <row r="422" spans="1:80">
      <c r="A422" s="3" t="s">
        <v>5444</v>
      </c>
      <c r="B422" t="s">
        <v>4307</v>
      </c>
      <c r="D422" t="s">
        <v>4967</v>
      </c>
      <c r="F422" s="77" t="s">
        <v>4973</v>
      </c>
      <c r="H422" s="3" t="s">
        <v>4984</v>
      </c>
      <c r="I422" s="3"/>
      <c r="J422" s="78"/>
      <c r="K422" s="78"/>
      <c r="M422" s="78"/>
      <c r="X422" s="10"/>
      <c r="Y422" s="8">
        <v>2.5000000000000001E-2</v>
      </c>
      <c r="Z422" s="8">
        <v>2.5000000000000001E-2</v>
      </c>
      <c r="AA422" s="8">
        <v>2.5000000000000001E-2</v>
      </c>
      <c r="AB422" s="8">
        <v>2.5000000000000001E-2</v>
      </c>
      <c r="AC422" s="8">
        <v>2.5000000000000001E-2</v>
      </c>
      <c r="AD422" s="8">
        <v>2.5000000000000001E-2</v>
      </c>
      <c r="AE422" s="8">
        <v>2.5000000000000001E-2</v>
      </c>
      <c r="AF422" s="8">
        <v>2.5000000000000001E-2</v>
      </c>
      <c r="AG422" s="8">
        <v>2.5000000000000001E-2</v>
      </c>
      <c r="AH422" s="8">
        <v>2.5000000000000001E-2</v>
      </c>
      <c r="AI422" s="8">
        <v>2.5000000000000001E-2</v>
      </c>
      <c r="AJ422" s="8">
        <v>2.5000000000000001E-2</v>
      </c>
      <c r="AK422" s="8">
        <v>2.5000000000000001E-2</v>
      </c>
      <c r="AL422" s="8">
        <v>2.5000000000000001E-2</v>
      </c>
      <c r="AM422" s="8">
        <v>2.5000000000000001E-2</v>
      </c>
      <c r="AN422" s="8">
        <v>2.5000000000000001E-2</v>
      </c>
      <c r="AO422" s="8">
        <v>2.5000000000000001E-2</v>
      </c>
      <c r="AP422" s="8">
        <v>2.5000000000000001E-2</v>
      </c>
      <c r="AQ422" s="8">
        <v>2.5000000000000001E-2</v>
      </c>
      <c r="AR422" s="8">
        <v>2.5000000000000001E-2</v>
      </c>
      <c r="AS422" s="8">
        <v>2.5000000000000001E-2</v>
      </c>
      <c r="AT422" s="8">
        <v>2.5000000000000001E-2</v>
      </c>
      <c r="AU422" s="8">
        <v>2.5000000000000001E-2</v>
      </c>
      <c r="AV422" s="8">
        <v>2.5000000000000001E-2</v>
      </c>
      <c r="AW422" s="8">
        <v>2.5000000000000001E-2</v>
      </c>
      <c r="AX422" s="8">
        <v>2.5000000000000001E-2</v>
      </c>
      <c r="AY422" s="8">
        <v>2.5000000000000001E-2</v>
      </c>
      <c r="AZ422" s="8">
        <v>2.5000000000000001E-2</v>
      </c>
      <c r="BA422" s="8">
        <v>2.5000000000000001E-2</v>
      </c>
      <c r="BB422" s="8">
        <v>2.5000000000000001E-2</v>
      </c>
      <c r="BC422" s="8">
        <v>2.5000000000000001E-2</v>
      </c>
      <c r="BD422" s="8">
        <v>2.5000000000000001E-2</v>
      </c>
      <c r="BE422" s="8">
        <v>2.5000000000000001E-2</v>
      </c>
      <c r="BF422" s="8">
        <v>2.5000000000000001E-2</v>
      </c>
      <c r="BG422" s="8">
        <v>2.5000000000000001E-2</v>
      </c>
      <c r="BH422" s="8">
        <v>2.5000000000000001E-2</v>
      </c>
      <c r="BI422" s="8">
        <v>2.5000000000000001E-2</v>
      </c>
      <c r="BJ422" s="8">
        <v>2.5000000000000001E-2</v>
      </c>
      <c r="BK422" s="8">
        <v>2.5000000000000001E-2</v>
      </c>
      <c r="BL422" s="8">
        <v>2.5000000000000001E-2</v>
      </c>
      <c r="BY422" s="8" t="str">
        <f>+_xlfn.XLOOKUP(Table1[[#This Row],[L4 Code]],KIRMATAŞ!B:B,KIRMATAŞ!B:B,"")</f>
        <v/>
      </c>
      <c r="BZ422" s="8" t="str">
        <f>+_xlfn.XLOOKUP(Table1[[#This Row],[L4 Code]],'SU TEMİNİ'!C:C,'SU TEMİNİ'!C:C,"")</f>
        <v/>
      </c>
      <c r="CA422" s="8" t="str">
        <f>+_xlfn.XLOOKUP(Table1[[#This Row],[L4 Code]],TAŞ!C:C,TAŞ!C:C,"")</f>
        <v/>
      </c>
      <c r="CB422" s="8" t="str">
        <f>Table1[[#This Row],[L4 Code]]&amp;"-"&amp;Table1[[#This Row],[T1 Code]]</f>
        <v>E-05.GNL-03.ISG-460-1000</v>
      </c>
    </row>
    <row r="423" spans="1:80">
      <c r="A423" s="3" t="s">
        <v>5444</v>
      </c>
      <c r="B423" t="s">
        <v>4310</v>
      </c>
      <c r="D423" t="s">
        <v>4967</v>
      </c>
      <c r="F423" s="77" t="s">
        <v>4973</v>
      </c>
      <c r="H423" s="3" t="s">
        <v>4984</v>
      </c>
      <c r="I423" s="3"/>
      <c r="J423" s="78"/>
      <c r="K423" s="78"/>
      <c r="M423" s="78"/>
      <c r="X423" s="10"/>
      <c r="Y423" s="8">
        <v>2.5000000000000001E-2</v>
      </c>
      <c r="Z423" s="8">
        <v>2.5000000000000001E-2</v>
      </c>
      <c r="AA423" s="8">
        <v>2.5000000000000001E-2</v>
      </c>
      <c r="AB423" s="8">
        <v>2.5000000000000001E-2</v>
      </c>
      <c r="AC423" s="8">
        <v>2.5000000000000001E-2</v>
      </c>
      <c r="AD423" s="8">
        <v>2.5000000000000001E-2</v>
      </c>
      <c r="AE423" s="8">
        <v>2.5000000000000001E-2</v>
      </c>
      <c r="AF423" s="8">
        <v>2.5000000000000001E-2</v>
      </c>
      <c r="AG423" s="8">
        <v>2.5000000000000001E-2</v>
      </c>
      <c r="AH423" s="8">
        <v>2.5000000000000001E-2</v>
      </c>
      <c r="AI423" s="8">
        <v>2.5000000000000001E-2</v>
      </c>
      <c r="AJ423" s="8">
        <v>2.5000000000000001E-2</v>
      </c>
      <c r="AK423" s="8">
        <v>2.5000000000000001E-2</v>
      </c>
      <c r="AL423" s="8">
        <v>2.5000000000000001E-2</v>
      </c>
      <c r="AM423" s="8">
        <v>2.5000000000000001E-2</v>
      </c>
      <c r="AN423" s="8">
        <v>2.5000000000000001E-2</v>
      </c>
      <c r="AO423" s="8">
        <v>2.5000000000000001E-2</v>
      </c>
      <c r="AP423" s="8">
        <v>2.5000000000000001E-2</v>
      </c>
      <c r="AQ423" s="8">
        <v>2.5000000000000001E-2</v>
      </c>
      <c r="AR423" s="8">
        <v>2.5000000000000001E-2</v>
      </c>
      <c r="AS423" s="8">
        <v>2.5000000000000001E-2</v>
      </c>
      <c r="AT423" s="8">
        <v>2.5000000000000001E-2</v>
      </c>
      <c r="AU423" s="8">
        <v>2.5000000000000001E-2</v>
      </c>
      <c r="AV423" s="8">
        <v>2.5000000000000001E-2</v>
      </c>
      <c r="AW423" s="8">
        <v>2.5000000000000001E-2</v>
      </c>
      <c r="AX423" s="8">
        <v>2.5000000000000001E-2</v>
      </c>
      <c r="AY423" s="8">
        <v>2.5000000000000001E-2</v>
      </c>
      <c r="AZ423" s="8">
        <v>2.5000000000000001E-2</v>
      </c>
      <c r="BA423" s="8">
        <v>2.5000000000000001E-2</v>
      </c>
      <c r="BB423" s="8">
        <v>2.5000000000000001E-2</v>
      </c>
      <c r="BC423" s="8">
        <v>2.5000000000000001E-2</v>
      </c>
      <c r="BD423" s="8">
        <v>2.5000000000000001E-2</v>
      </c>
      <c r="BE423" s="8">
        <v>2.5000000000000001E-2</v>
      </c>
      <c r="BF423" s="8">
        <v>2.5000000000000001E-2</v>
      </c>
      <c r="BG423" s="8">
        <v>2.5000000000000001E-2</v>
      </c>
      <c r="BH423" s="8">
        <v>2.5000000000000001E-2</v>
      </c>
      <c r="BI423" s="8">
        <v>2.5000000000000001E-2</v>
      </c>
      <c r="BJ423" s="8">
        <v>2.5000000000000001E-2</v>
      </c>
      <c r="BK423" s="8">
        <v>2.5000000000000001E-2</v>
      </c>
      <c r="BL423" s="8">
        <v>2.5000000000000001E-2</v>
      </c>
      <c r="BY423" s="8" t="str">
        <f>+_xlfn.XLOOKUP(Table1[[#This Row],[L4 Code]],KIRMATAŞ!B:B,KIRMATAŞ!B:B,"")</f>
        <v/>
      </c>
      <c r="BZ423" s="8" t="str">
        <f>+_xlfn.XLOOKUP(Table1[[#This Row],[L4 Code]],'SU TEMİNİ'!C:C,'SU TEMİNİ'!C:C,"")</f>
        <v/>
      </c>
      <c r="CA423" s="8" t="str">
        <f>+_xlfn.XLOOKUP(Table1[[#This Row],[L4 Code]],TAŞ!C:C,TAŞ!C:C,"")</f>
        <v/>
      </c>
      <c r="CB423" s="8" t="str">
        <f>Table1[[#This Row],[L4 Code]]&amp;"-"&amp;Table1[[#This Row],[T1 Code]]</f>
        <v>E-05.GNL-03.ISG-480-1000</v>
      </c>
    </row>
    <row r="424" spans="1:80">
      <c r="A424" s="3" t="s">
        <v>5444</v>
      </c>
      <c r="B424" t="s">
        <v>4313</v>
      </c>
      <c r="D424" t="s">
        <v>4967</v>
      </c>
      <c r="F424" s="77" t="s">
        <v>4973</v>
      </c>
      <c r="H424" s="3" t="s">
        <v>4984</v>
      </c>
      <c r="I424" s="3"/>
      <c r="J424" s="78"/>
      <c r="K424" s="78"/>
      <c r="M424" s="78"/>
      <c r="X424" s="10"/>
      <c r="Y424" s="8">
        <v>2.5000000000000001E-2</v>
      </c>
      <c r="Z424" s="8">
        <v>2.5000000000000001E-2</v>
      </c>
      <c r="AA424" s="8">
        <v>2.5000000000000001E-2</v>
      </c>
      <c r="AB424" s="8">
        <v>2.5000000000000001E-2</v>
      </c>
      <c r="AC424" s="8">
        <v>2.5000000000000001E-2</v>
      </c>
      <c r="AD424" s="8">
        <v>2.5000000000000001E-2</v>
      </c>
      <c r="AE424" s="8">
        <v>2.5000000000000001E-2</v>
      </c>
      <c r="AF424" s="8">
        <v>2.5000000000000001E-2</v>
      </c>
      <c r="AG424" s="8">
        <v>2.5000000000000001E-2</v>
      </c>
      <c r="AH424" s="8">
        <v>2.5000000000000001E-2</v>
      </c>
      <c r="AI424" s="8">
        <v>2.5000000000000001E-2</v>
      </c>
      <c r="AJ424" s="8">
        <v>2.5000000000000001E-2</v>
      </c>
      <c r="AK424" s="8">
        <v>2.5000000000000001E-2</v>
      </c>
      <c r="AL424" s="8">
        <v>2.5000000000000001E-2</v>
      </c>
      <c r="AM424" s="8">
        <v>2.5000000000000001E-2</v>
      </c>
      <c r="AN424" s="8">
        <v>2.5000000000000001E-2</v>
      </c>
      <c r="AO424" s="8">
        <v>2.5000000000000001E-2</v>
      </c>
      <c r="AP424" s="8">
        <v>2.5000000000000001E-2</v>
      </c>
      <c r="AQ424" s="8">
        <v>2.5000000000000001E-2</v>
      </c>
      <c r="AR424" s="8">
        <v>2.5000000000000001E-2</v>
      </c>
      <c r="AS424" s="8">
        <v>2.5000000000000001E-2</v>
      </c>
      <c r="AT424" s="8">
        <v>2.5000000000000001E-2</v>
      </c>
      <c r="AU424" s="8">
        <v>2.5000000000000001E-2</v>
      </c>
      <c r="AV424" s="8">
        <v>2.5000000000000001E-2</v>
      </c>
      <c r="AW424" s="8">
        <v>2.5000000000000001E-2</v>
      </c>
      <c r="AX424" s="8">
        <v>2.5000000000000001E-2</v>
      </c>
      <c r="AY424" s="8">
        <v>2.5000000000000001E-2</v>
      </c>
      <c r="AZ424" s="8">
        <v>2.5000000000000001E-2</v>
      </c>
      <c r="BA424" s="8">
        <v>2.5000000000000001E-2</v>
      </c>
      <c r="BB424" s="8">
        <v>2.5000000000000001E-2</v>
      </c>
      <c r="BC424" s="8">
        <v>2.5000000000000001E-2</v>
      </c>
      <c r="BD424" s="8">
        <v>2.5000000000000001E-2</v>
      </c>
      <c r="BE424" s="8">
        <v>2.5000000000000001E-2</v>
      </c>
      <c r="BF424" s="8">
        <v>2.5000000000000001E-2</v>
      </c>
      <c r="BG424" s="8">
        <v>2.5000000000000001E-2</v>
      </c>
      <c r="BH424" s="8">
        <v>2.5000000000000001E-2</v>
      </c>
      <c r="BI424" s="8">
        <v>2.5000000000000001E-2</v>
      </c>
      <c r="BJ424" s="8">
        <v>2.5000000000000001E-2</v>
      </c>
      <c r="BK424" s="8">
        <v>2.5000000000000001E-2</v>
      </c>
      <c r="BL424" s="8">
        <v>2.5000000000000001E-2</v>
      </c>
      <c r="BY424" s="8" t="str">
        <f>+_xlfn.XLOOKUP(Table1[[#This Row],[L4 Code]],KIRMATAŞ!B:B,KIRMATAŞ!B:B,"")</f>
        <v/>
      </c>
      <c r="BZ424" s="8" t="str">
        <f>+_xlfn.XLOOKUP(Table1[[#This Row],[L4 Code]],'SU TEMİNİ'!C:C,'SU TEMİNİ'!C:C,"")</f>
        <v/>
      </c>
      <c r="CA424" s="8" t="str">
        <f>+_xlfn.XLOOKUP(Table1[[#This Row],[L4 Code]],TAŞ!C:C,TAŞ!C:C,"")</f>
        <v/>
      </c>
      <c r="CB424" s="8" t="str">
        <f>Table1[[#This Row],[L4 Code]]&amp;"-"&amp;Table1[[#This Row],[T1 Code]]</f>
        <v>E-05.GNL-03.ISG-490-1000</v>
      </c>
    </row>
    <row r="425" spans="1:80">
      <c r="A425" s="3" t="s">
        <v>5444</v>
      </c>
      <c r="B425" t="s">
        <v>4316</v>
      </c>
      <c r="D425" t="s">
        <v>4967</v>
      </c>
      <c r="F425" s="77" t="s">
        <v>4973</v>
      </c>
      <c r="H425" s="3" t="s">
        <v>4984</v>
      </c>
      <c r="I425" s="3"/>
      <c r="J425" s="78"/>
      <c r="K425" s="78"/>
      <c r="M425" s="78"/>
      <c r="X425" s="10"/>
      <c r="Y425" s="8">
        <v>2.5000000000000001E-2</v>
      </c>
      <c r="Z425" s="8">
        <v>2.5000000000000001E-2</v>
      </c>
      <c r="AA425" s="8">
        <v>2.5000000000000001E-2</v>
      </c>
      <c r="AB425" s="8">
        <v>2.5000000000000001E-2</v>
      </c>
      <c r="AC425" s="8">
        <v>2.5000000000000001E-2</v>
      </c>
      <c r="AD425" s="8">
        <v>2.5000000000000001E-2</v>
      </c>
      <c r="AE425" s="8">
        <v>2.5000000000000001E-2</v>
      </c>
      <c r="AF425" s="8">
        <v>2.5000000000000001E-2</v>
      </c>
      <c r="AG425" s="8">
        <v>2.5000000000000001E-2</v>
      </c>
      <c r="AH425" s="8">
        <v>2.5000000000000001E-2</v>
      </c>
      <c r="AI425" s="8">
        <v>2.5000000000000001E-2</v>
      </c>
      <c r="AJ425" s="8">
        <v>2.5000000000000001E-2</v>
      </c>
      <c r="AK425" s="8">
        <v>2.5000000000000001E-2</v>
      </c>
      <c r="AL425" s="8">
        <v>2.5000000000000001E-2</v>
      </c>
      <c r="AM425" s="8">
        <v>2.5000000000000001E-2</v>
      </c>
      <c r="AN425" s="8">
        <v>2.5000000000000001E-2</v>
      </c>
      <c r="AO425" s="8">
        <v>2.5000000000000001E-2</v>
      </c>
      <c r="AP425" s="8">
        <v>2.5000000000000001E-2</v>
      </c>
      <c r="AQ425" s="8">
        <v>2.5000000000000001E-2</v>
      </c>
      <c r="AR425" s="8">
        <v>2.5000000000000001E-2</v>
      </c>
      <c r="AS425" s="8">
        <v>2.5000000000000001E-2</v>
      </c>
      <c r="AT425" s="8">
        <v>2.5000000000000001E-2</v>
      </c>
      <c r="AU425" s="8">
        <v>2.5000000000000001E-2</v>
      </c>
      <c r="AV425" s="8">
        <v>2.5000000000000001E-2</v>
      </c>
      <c r="AW425" s="8">
        <v>2.5000000000000001E-2</v>
      </c>
      <c r="AX425" s="8">
        <v>2.5000000000000001E-2</v>
      </c>
      <c r="AY425" s="8">
        <v>2.5000000000000001E-2</v>
      </c>
      <c r="AZ425" s="8">
        <v>2.5000000000000001E-2</v>
      </c>
      <c r="BA425" s="8">
        <v>2.5000000000000001E-2</v>
      </c>
      <c r="BB425" s="8">
        <v>2.5000000000000001E-2</v>
      </c>
      <c r="BC425" s="8">
        <v>2.5000000000000001E-2</v>
      </c>
      <c r="BD425" s="8">
        <v>2.5000000000000001E-2</v>
      </c>
      <c r="BE425" s="8">
        <v>2.5000000000000001E-2</v>
      </c>
      <c r="BF425" s="8">
        <v>2.5000000000000001E-2</v>
      </c>
      <c r="BG425" s="8">
        <v>2.5000000000000001E-2</v>
      </c>
      <c r="BH425" s="8">
        <v>2.5000000000000001E-2</v>
      </c>
      <c r="BI425" s="8">
        <v>2.5000000000000001E-2</v>
      </c>
      <c r="BJ425" s="8">
        <v>2.5000000000000001E-2</v>
      </c>
      <c r="BK425" s="8">
        <v>2.5000000000000001E-2</v>
      </c>
      <c r="BL425" s="8">
        <v>2.5000000000000001E-2</v>
      </c>
      <c r="BY425" s="8" t="str">
        <f>+_xlfn.XLOOKUP(Table1[[#This Row],[L4 Code]],KIRMATAŞ!B:B,KIRMATAŞ!B:B,"")</f>
        <v/>
      </c>
      <c r="BZ425" s="8" t="str">
        <f>+_xlfn.XLOOKUP(Table1[[#This Row],[L4 Code]],'SU TEMİNİ'!C:C,'SU TEMİNİ'!C:C,"")</f>
        <v/>
      </c>
      <c r="CA425" s="8" t="str">
        <f>+_xlfn.XLOOKUP(Table1[[#This Row],[L4 Code]],TAŞ!C:C,TAŞ!C:C,"")</f>
        <v/>
      </c>
      <c r="CB425" s="8" t="str">
        <f>Table1[[#This Row],[L4 Code]]&amp;"-"&amp;Table1[[#This Row],[T1 Code]]</f>
        <v>E-05.GNL-03.ISG-510-1000</v>
      </c>
    </row>
    <row r="426" spans="1:80">
      <c r="A426" s="3" t="s">
        <v>5444</v>
      </c>
      <c r="B426" t="s">
        <v>4318</v>
      </c>
      <c r="D426" t="s">
        <v>4967</v>
      </c>
      <c r="F426" s="77" t="s">
        <v>4973</v>
      </c>
      <c r="H426" s="3" t="s">
        <v>4984</v>
      </c>
      <c r="I426" s="3"/>
      <c r="J426" s="78"/>
      <c r="K426" s="78"/>
      <c r="M426" s="78"/>
      <c r="X426" s="10"/>
      <c r="Y426" s="8">
        <v>2.5000000000000001E-2</v>
      </c>
      <c r="Z426" s="8">
        <v>2.5000000000000001E-2</v>
      </c>
      <c r="AA426" s="8">
        <v>2.5000000000000001E-2</v>
      </c>
      <c r="AB426" s="8">
        <v>2.5000000000000001E-2</v>
      </c>
      <c r="AC426" s="8">
        <v>2.5000000000000001E-2</v>
      </c>
      <c r="AD426" s="8">
        <v>2.5000000000000001E-2</v>
      </c>
      <c r="AE426" s="8">
        <v>2.5000000000000001E-2</v>
      </c>
      <c r="AF426" s="8">
        <v>2.5000000000000001E-2</v>
      </c>
      <c r="AG426" s="8">
        <v>2.5000000000000001E-2</v>
      </c>
      <c r="AH426" s="8">
        <v>2.5000000000000001E-2</v>
      </c>
      <c r="AI426" s="8">
        <v>2.5000000000000001E-2</v>
      </c>
      <c r="AJ426" s="8">
        <v>2.5000000000000001E-2</v>
      </c>
      <c r="AK426" s="8">
        <v>2.5000000000000001E-2</v>
      </c>
      <c r="AL426" s="8">
        <v>2.5000000000000001E-2</v>
      </c>
      <c r="AM426" s="8">
        <v>2.5000000000000001E-2</v>
      </c>
      <c r="AN426" s="8">
        <v>2.5000000000000001E-2</v>
      </c>
      <c r="AO426" s="8">
        <v>2.5000000000000001E-2</v>
      </c>
      <c r="AP426" s="8">
        <v>2.5000000000000001E-2</v>
      </c>
      <c r="AQ426" s="8">
        <v>2.5000000000000001E-2</v>
      </c>
      <c r="AR426" s="8">
        <v>2.5000000000000001E-2</v>
      </c>
      <c r="AS426" s="8">
        <v>2.5000000000000001E-2</v>
      </c>
      <c r="AT426" s="8">
        <v>2.5000000000000001E-2</v>
      </c>
      <c r="AU426" s="8">
        <v>2.5000000000000001E-2</v>
      </c>
      <c r="AV426" s="8">
        <v>2.5000000000000001E-2</v>
      </c>
      <c r="AW426" s="8">
        <v>2.5000000000000001E-2</v>
      </c>
      <c r="AX426" s="8">
        <v>2.5000000000000001E-2</v>
      </c>
      <c r="AY426" s="8">
        <v>2.5000000000000001E-2</v>
      </c>
      <c r="AZ426" s="8">
        <v>2.5000000000000001E-2</v>
      </c>
      <c r="BA426" s="8">
        <v>2.5000000000000001E-2</v>
      </c>
      <c r="BB426" s="8">
        <v>2.5000000000000001E-2</v>
      </c>
      <c r="BC426" s="8">
        <v>2.5000000000000001E-2</v>
      </c>
      <c r="BD426" s="8">
        <v>2.5000000000000001E-2</v>
      </c>
      <c r="BE426" s="8">
        <v>2.5000000000000001E-2</v>
      </c>
      <c r="BF426" s="8">
        <v>2.5000000000000001E-2</v>
      </c>
      <c r="BG426" s="8">
        <v>2.5000000000000001E-2</v>
      </c>
      <c r="BH426" s="8">
        <v>2.5000000000000001E-2</v>
      </c>
      <c r="BI426" s="8">
        <v>2.5000000000000001E-2</v>
      </c>
      <c r="BJ426" s="8">
        <v>2.5000000000000001E-2</v>
      </c>
      <c r="BK426" s="8">
        <v>2.5000000000000001E-2</v>
      </c>
      <c r="BL426" s="8">
        <v>2.5000000000000001E-2</v>
      </c>
      <c r="BY426" s="8" t="str">
        <f>+_xlfn.XLOOKUP(Table1[[#This Row],[L4 Code]],KIRMATAŞ!B:B,KIRMATAŞ!B:B,"")</f>
        <v/>
      </c>
      <c r="BZ426" s="8" t="str">
        <f>+_xlfn.XLOOKUP(Table1[[#This Row],[L4 Code]],'SU TEMİNİ'!C:C,'SU TEMİNİ'!C:C,"")</f>
        <v/>
      </c>
      <c r="CA426" s="8" t="str">
        <f>+_xlfn.XLOOKUP(Table1[[#This Row],[L4 Code]],TAŞ!C:C,TAŞ!C:C,"")</f>
        <v/>
      </c>
      <c r="CB426" s="8" t="str">
        <f>Table1[[#This Row],[L4 Code]]&amp;"-"&amp;Table1[[#This Row],[T1 Code]]</f>
        <v>E-05.GNL-03.ISG-520-1000</v>
      </c>
    </row>
    <row r="427" spans="1:80">
      <c r="A427" s="3" t="s">
        <v>5444</v>
      </c>
      <c r="B427" t="s">
        <v>4320</v>
      </c>
      <c r="D427" t="s">
        <v>4967</v>
      </c>
      <c r="F427" s="77" t="s">
        <v>4973</v>
      </c>
      <c r="H427" s="3" t="s">
        <v>4984</v>
      </c>
      <c r="I427" s="3"/>
      <c r="J427" s="78"/>
      <c r="K427" s="78"/>
      <c r="M427" s="78"/>
      <c r="X427" s="10"/>
      <c r="Y427" s="8">
        <v>2.5000000000000001E-2</v>
      </c>
      <c r="Z427" s="8">
        <v>2.5000000000000001E-2</v>
      </c>
      <c r="AA427" s="8">
        <v>2.5000000000000001E-2</v>
      </c>
      <c r="AB427" s="8">
        <v>2.5000000000000001E-2</v>
      </c>
      <c r="AC427" s="8">
        <v>2.5000000000000001E-2</v>
      </c>
      <c r="AD427" s="8">
        <v>2.5000000000000001E-2</v>
      </c>
      <c r="AE427" s="8">
        <v>2.5000000000000001E-2</v>
      </c>
      <c r="AF427" s="8">
        <v>2.5000000000000001E-2</v>
      </c>
      <c r="AG427" s="8">
        <v>2.5000000000000001E-2</v>
      </c>
      <c r="AH427" s="8">
        <v>2.5000000000000001E-2</v>
      </c>
      <c r="AI427" s="8">
        <v>2.5000000000000001E-2</v>
      </c>
      <c r="AJ427" s="8">
        <v>2.5000000000000001E-2</v>
      </c>
      <c r="AK427" s="8">
        <v>2.5000000000000001E-2</v>
      </c>
      <c r="AL427" s="8">
        <v>2.5000000000000001E-2</v>
      </c>
      <c r="AM427" s="8">
        <v>2.5000000000000001E-2</v>
      </c>
      <c r="AN427" s="8">
        <v>2.5000000000000001E-2</v>
      </c>
      <c r="AO427" s="8">
        <v>2.5000000000000001E-2</v>
      </c>
      <c r="AP427" s="8">
        <v>2.5000000000000001E-2</v>
      </c>
      <c r="AQ427" s="8">
        <v>2.5000000000000001E-2</v>
      </c>
      <c r="AR427" s="8">
        <v>2.5000000000000001E-2</v>
      </c>
      <c r="AS427" s="8">
        <v>2.5000000000000001E-2</v>
      </c>
      <c r="AT427" s="8">
        <v>2.5000000000000001E-2</v>
      </c>
      <c r="AU427" s="8">
        <v>2.5000000000000001E-2</v>
      </c>
      <c r="AV427" s="8">
        <v>2.5000000000000001E-2</v>
      </c>
      <c r="AW427" s="8">
        <v>2.5000000000000001E-2</v>
      </c>
      <c r="AX427" s="8">
        <v>2.5000000000000001E-2</v>
      </c>
      <c r="AY427" s="8">
        <v>2.5000000000000001E-2</v>
      </c>
      <c r="AZ427" s="8">
        <v>2.5000000000000001E-2</v>
      </c>
      <c r="BA427" s="8">
        <v>2.5000000000000001E-2</v>
      </c>
      <c r="BB427" s="8">
        <v>2.5000000000000001E-2</v>
      </c>
      <c r="BC427" s="8">
        <v>2.5000000000000001E-2</v>
      </c>
      <c r="BD427" s="8">
        <v>2.5000000000000001E-2</v>
      </c>
      <c r="BE427" s="8">
        <v>2.5000000000000001E-2</v>
      </c>
      <c r="BF427" s="8">
        <v>2.5000000000000001E-2</v>
      </c>
      <c r="BG427" s="8">
        <v>2.5000000000000001E-2</v>
      </c>
      <c r="BH427" s="8">
        <v>2.5000000000000001E-2</v>
      </c>
      <c r="BI427" s="8">
        <v>2.5000000000000001E-2</v>
      </c>
      <c r="BJ427" s="8">
        <v>2.5000000000000001E-2</v>
      </c>
      <c r="BK427" s="8">
        <v>2.5000000000000001E-2</v>
      </c>
      <c r="BL427" s="8">
        <v>2.5000000000000001E-2</v>
      </c>
      <c r="BY427" s="8" t="str">
        <f>+_xlfn.XLOOKUP(Table1[[#This Row],[L4 Code]],KIRMATAŞ!B:B,KIRMATAŞ!B:B,"")</f>
        <v/>
      </c>
      <c r="BZ427" s="8" t="str">
        <f>+_xlfn.XLOOKUP(Table1[[#This Row],[L4 Code]],'SU TEMİNİ'!C:C,'SU TEMİNİ'!C:C,"")</f>
        <v/>
      </c>
      <c r="CA427" s="8" t="str">
        <f>+_xlfn.XLOOKUP(Table1[[#This Row],[L4 Code]],TAŞ!C:C,TAŞ!C:C,"")</f>
        <v/>
      </c>
      <c r="CB427" s="8" t="str">
        <f>Table1[[#This Row],[L4 Code]]&amp;"-"&amp;Table1[[#This Row],[T1 Code]]</f>
        <v>E-05.GNL-03.ISG-530-1000</v>
      </c>
    </row>
    <row r="428" spans="1:80">
      <c r="A428" s="3" t="s">
        <v>5444</v>
      </c>
      <c r="B428" t="s">
        <v>4322</v>
      </c>
      <c r="D428" t="s">
        <v>4967</v>
      </c>
      <c r="F428" s="77" t="s">
        <v>4973</v>
      </c>
      <c r="H428" s="3" t="s">
        <v>4984</v>
      </c>
      <c r="I428" s="3"/>
      <c r="J428" s="78"/>
      <c r="K428" s="78"/>
      <c r="M428" s="78"/>
      <c r="X428" s="10"/>
      <c r="Y428" s="8">
        <v>2.5000000000000001E-2</v>
      </c>
      <c r="Z428" s="8">
        <v>2.5000000000000001E-2</v>
      </c>
      <c r="AA428" s="8">
        <v>2.5000000000000001E-2</v>
      </c>
      <c r="AB428" s="8">
        <v>2.5000000000000001E-2</v>
      </c>
      <c r="AC428" s="8">
        <v>2.5000000000000001E-2</v>
      </c>
      <c r="AD428" s="8">
        <v>2.5000000000000001E-2</v>
      </c>
      <c r="AE428" s="8">
        <v>2.5000000000000001E-2</v>
      </c>
      <c r="AF428" s="8">
        <v>2.5000000000000001E-2</v>
      </c>
      <c r="AG428" s="8">
        <v>2.5000000000000001E-2</v>
      </c>
      <c r="AH428" s="8">
        <v>2.5000000000000001E-2</v>
      </c>
      <c r="AI428" s="8">
        <v>2.5000000000000001E-2</v>
      </c>
      <c r="AJ428" s="8">
        <v>2.5000000000000001E-2</v>
      </c>
      <c r="AK428" s="8">
        <v>2.5000000000000001E-2</v>
      </c>
      <c r="AL428" s="8">
        <v>2.5000000000000001E-2</v>
      </c>
      <c r="AM428" s="8">
        <v>2.5000000000000001E-2</v>
      </c>
      <c r="AN428" s="8">
        <v>2.5000000000000001E-2</v>
      </c>
      <c r="AO428" s="8">
        <v>2.5000000000000001E-2</v>
      </c>
      <c r="AP428" s="8">
        <v>2.5000000000000001E-2</v>
      </c>
      <c r="AQ428" s="8">
        <v>2.5000000000000001E-2</v>
      </c>
      <c r="AR428" s="8">
        <v>2.5000000000000001E-2</v>
      </c>
      <c r="AS428" s="8">
        <v>2.5000000000000001E-2</v>
      </c>
      <c r="AT428" s="8">
        <v>2.5000000000000001E-2</v>
      </c>
      <c r="AU428" s="8">
        <v>2.5000000000000001E-2</v>
      </c>
      <c r="AV428" s="8">
        <v>2.5000000000000001E-2</v>
      </c>
      <c r="AW428" s="8">
        <v>2.5000000000000001E-2</v>
      </c>
      <c r="AX428" s="8">
        <v>2.5000000000000001E-2</v>
      </c>
      <c r="AY428" s="8">
        <v>2.5000000000000001E-2</v>
      </c>
      <c r="AZ428" s="8">
        <v>2.5000000000000001E-2</v>
      </c>
      <c r="BA428" s="8">
        <v>2.5000000000000001E-2</v>
      </c>
      <c r="BB428" s="8">
        <v>2.5000000000000001E-2</v>
      </c>
      <c r="BC428" s="8">
        <v>2.5000000000000001E-2</v>
      </c>
      <c r="BD428" s="8">
        <v>2.5000000000000001E-2</v>
      </c>
      <c r="BE428" s="8">
        <v>2.5000000000000001E-2</v>
      </c>
      <c r="BF428" s="8">
        <v>2.5000000000000001E-2</v>
      </c>
      <c r="BG428" s="8">
        <v>2.5000000000000001E-2</v>
      </c>
      <c r="BH428" s="8">
        <v>2.5000000000000001E-2</v>
      </c>
      <c r="BI428" s="8">
        <v>2.5000000000000001E-2</v>
      </c>
      <c r="BJ428" s="8">
        <v>2.5000000000000001E-2</v>
      </c>
      <c r="BK428" s="8">
        <v>2.5000000000000001E-2</v>
      </c>
      <c r="BL428" s="8">
        <v>2.5000000000000001E-2</v>
      </c>
      <c r="BY428" s="8" t="str">
        <f>+_xlfn.XLOOKUP(Table1[[#This Row],[L4 Code]],KIRMATAŞ!B:B,KIRMATAŞ!B:B,"")</f>
        <v/>
      </c>
      <c r="BZ428" s="8" t="str">
        <f>+_xlfn.XLOOKUP(Table1[[#This Row],[L4 Code]],'SU TEMİNİ'!C:C,'SU TEMİNİ'!C:C,"")</f>
        <v/>
      </c>
      <c r="CA428" s="8" t="str">
        <f>+_xlfn.XLOOKUP(Table1[[#This Row],[L4 Code]],TAŞ!C:C,TAŞ!C:C,"")</f>
        <v/>
      </c>
      <c r="CB428" s="8" t="str">
        <f>Table1[[#This Row],[L4 Code]]&amp;"-"&amp;Table1[[#This Row],[T1 Code]]</f>
        <v>E-05.GNL-03.ISG-540-1000</v>
      </c>
    </row>
    <row r="429" spans="1:80">
      <c r="A429" s="3" t="s">
        <v>5444</v>
      </c>
      <c r="B429" t="s">
        <v>4327</v>
      </c>
      <c r="D429" t="s">
        <v>4967</v>
      </c>
      <c r="F429" s="77" t="s">
        <v>4973</v>
      </c>
      <c r="H429" s="3" t="s">
        <v>4984</v>
      </c>
      <c r="I429" s="3"/>
      <c r="J429" s="78"/>
      <c r="K429" s="78"/>
      <c r="M429" s="78"/>
      <c r="X429" s="10"/>
      <c r="Y429" s="8">
        <v>2.5000000000000001E-2</v>
      </c>
      <c r="Z429" s="8">
        <v>2.5000000000000001E-2</v>
      </c>
      <c r="AA429" s="8">
        <v>2.5000000000000001E-2</v>
      </c>
      <c r="AB429" s="8">
        <v>2.5000000000000001E-2</v>
      </c>
      <c r="AC429" s="8">
        <v>2.5000000000000001E-2</v>
      </c>
      <c r="AD429" s="8">
        <v>2.5000000000000001E-2</v>
      </c>
      <c r="AE429" s="8">
        <v>2.5000000000000001E-2</v>
      </c>
      <c r="AF429" s="8">
        <v>2.5000000000000001E-2</v>
      </c>
      <c r="AG429" s="8">
        <v>2.5000000000000001E-2</v>
      </c>
      <c r="AH429" s="8">
        <v>2.5000000000000001E-2</v>
      </c>
      <c r="AI429" s="8">
        <v>2.5000000000000001E-2</v>
      </c>
      <c r="AJ429" s="8">
        <v>2.5000000000000001E-2</v>
      </c>
      <c r="AK429" s="8">
        <v>2.5000000000000001E-2</v>
      </c>
      <c r="AL429" s="8">
        <v>2.5000000000000001E-2</v>
      </c>
      <c r="AM429" s="8">
        <v>2.5000000000000001E-2</v>
      </c>
      <c r="AN429" s="8">
        <v>2.5000000000000001E-2</v>
      </c>
      <c r="AO429" s="8">
        <v>2.5000000000000001E-2</v>
      </c>
      <c r="AP429" s="8">
        <v>2.5000000000000001E-2</v>
      </c>
      <c r="AQ429" s="8">
        <v>2.5000000000000001E-2</v>
      </c>
      <c r="AR429" s="8">
        <v>2.5000000000000001E-2</v>
      </c>
      <c r="AS429" s="8">
        <v>2.5000000000000001E-2</v>
      </c>
      <c r="AT429" s="8">
        <v>2.5000000000000001E-2</v>
      </c>
      <c r="AU429" s="8">
        <v>2.5000000000000001E-2</v>
      </c>
      <c r="AV429" s="8">
        <v>2.5000000000000001E-2</v>
      </c>
      <c r="AW429" s="8">
        <v>2.5000000000000001E-2</v>
      </c>
      <c r="AX429" s="8">
        <v>2.5000000000000001E-2</v>
      </c>
      <c r="AY429" s="8">
        <v>2.5000000000000001E-2</v>
      </c>
      <c r="AZ429" s="8">
        <v>2.5000000000000001E-2</v>
      </c>
      <c r="BA429" s="8">
        <v>2.5000000000000001E-2</v>
      </c>
      <c r="BB429" s="8">
        <v>2.5000000000000001E-2</v>
      </c>
      <c r="BC429" s="8">
        <v>2.5000000000000001E-2</v>
      </c>
      <c r="BD429" s="8">
        <v>2.5000000000000001E-2</v>
      </c>
      <c r="BE429" s="8">
        <v>2.5000000000000001E-2</v>
      </c>
      <c r="BF429" s="8">
        <v>2.5000000000000001E-2</v>
      </c>
      <c r="BG429" s="8">
        <v>2.5000000000000001E-2</v>
      </c>
      <c r="BH429" s="8">
        <v>2.5000000000000001E-2</v>
      </c>
      <c r="BI429" s="8">
        <v>2.5000000000000001E-2</v>
      </c>
      <c r="BJ429" s="8">
        <v>2.5000000000000001E-2</v>
      </c>
      <c r="BK429" s="8">
        <v>2.5000000000000001E-2</v>
      </c>
      <c r="BL429" s="8">
        <v>2.5000000000000001E-2</v>
      </c>
      <c r="BY429" s="8" t="str">
        <f>+_xlfn.XLOOKUP(Table1[[#This Row],[L4 Code]],KIRMATAŞ!B:B,KIRMATAŞ!B:B,"")</f>
        <v/>
      </c>
      <c r="BZ429" s="8" t="str">
        <f>+_xlfn.XLOOKUP(Table1[[#This Row],[L4 Code]],'SU TEMİNİ'!C:C,'SU TEMİNİ'!C:C,"")</f>
        <v/>
      </c>
      <c r="CA429" s="8" t="str">
        <f>+_xlfn.XLOOKUP(Table1[[#This Row],[L4 Code]],TAŞ!C:C,TAŞ!C:C,"")</f>
        <v/>
      </c>
      <c r="CB429" s="8" t="str">
        <f>Table1[[#This Row],[L4 Code]]&amp;"-"&amp;Table1[[#This Row],[T1 Code]]</f>
        <v>E-05.GNL-03.ISG-620-1000</v>
      </c>
    </row>
    <row r="430" spans="1:80">
      <c r="A430" s="3" t="s">
        <v>5444</v>
      </c>
      <c r="B430" t="s">
        <v>4343</v>
      </c>
      <c r="D430" t="s">
        <v>4967</v>
      </c>
      <c r="F430" s="77" t="s">
        <v>4973</v>
      </c>
      <c r="H430" s="3" t="s">
        <v>4984</v>
      </c>
      <c r="I430" s="3"/>
      <c r="J430" s="78"/>
      <c r="K430" s="78"/>
      <c r="M430" s="78"/>
      <c r="X430" s="10"/>
      <c r="Y430" s="8">
        <v>2.5000000000000001E-2</v>
      </c>
      <c r="Z430" s="8">
        <v>2.5000000000000001E-2</v>
      </c>
      <c r="AA430" s="8">
        <v>2.5000000000000001E-2</v>
      </c>
      <c r="AB430" s="8">
        <v>2.5000000000000001E-2</v>
      </c>
      <c r="AC430" s="8">
        <v>2.5000000000000001E-2</v>
      </c>
      <c r="AD430" s="8">
        <v>2.5000000000000001E-2</v>
      </c>
      <c r="AE430" s="8">
        <v>2.5000000000000001E-2</v>
      </c>
      <c r="AF430" s="8">
        <v>2.5000000000000001E-2</v>
      </c>
      <c r="AG430" s="8">
        <v>2.5000000000000001E-2</v>
      </c>
      <c r="AH430" s="8">
        <v>2.5000000000000001E-2</v>
      </c>
      <c r="AI430" s="8">
        <v>2.5000000000000001E-2</v>
      </c>
      <c r="AJ430" s="8">
        <v>2.5000000000000001E-2</v>
      </c>
      <c r="AK430" s="8">
        <v>2.5000000000000001E-2</v>
      </c>
      <c r="AL430" s="8">
        <v>2.5000000000000001E-2</v>
      </c>
      <c r="AM430" s="8">
        <v>2.5000000000000001E-2</v>
      </c>
      <c r="AN430" s="8">
        <v>2.5000000000000001E-2</v>
      </c>
      <c r="AO430" s="8">
        <v>2.5000000000000001E-2</v>
      </c>
      <c r="AP430" s="8">
        <v>2.5000000000000001E-2</v>
      </c>
      <c r="AQ430" s="8">
        <v>2.5000000000000001E-2</v>
      </c>
      <c r="AR430" s="8">
        <v>2.5000000000000001E-2</v>
      </c>
      <c r="AS430" s="8">
        <v>2.5000000000000001E-2</v>
      </c>
      <c r="AT430" s="8">
        <v>2.5000000000000001E-2</v>
      </c>
      <c r="AU430" s="8">
        <v>2.5000000000000001E-2</v>
      </c>
      <c r="AV430" s="8">
        <v>2.5000000000000001E-2</v>
      </c>
      <c r="AW430" s="8">
        <v>2.5000000000000001E-2</v>
      </c>
      <c r="AX430" s="8">
        <v>2.5000000000000001E-2</v>
      </c>
      <c r="AY430" s="8">
        <v>2.5000000000000001E-2</v>
      </c>
      <c r="AZ430" s="8">
        <v>2.5000000000000001E-2</v>
      </c>
      <c r="BA430" s="8">
        <v>2.5000000000000001E-2</v>
      </c>
      <c r="BB430" s="8">
        <v>2.5000000000000001E-2</v>
      </c>
      <c r="BC430" s="8">
        <v>2.5000000000000001E-2</v>
      </c>
      <c r="BD430" s="8">
        <v>2.5000000000000001E-2</v>
      </c>
      <c r="BE430" s="8">
        <v>2.5000000000000001E-2</v>
      </c>
      <c r="BF430" s="8">
        <v>2.5000000000000001E-2</v>
      </c>
      <c r="BG430" s="8">
        <v>2.5000000000000001E-2</v>
      </c>
      <c r="BH430" s="8">
        <v>2.5000000000000001E-2</v>
      </c>
      <c r="BI430" s="8">
        <v>2.5000000000000001E-2</v>
      </c>
      <c r="BJ430" s="8">
        <v>2.5000000000000001E-2</v>
      </c>
      <c r="BK430" s="8">
        <v>2.5000000000000001E-2</v>
      </c>
      <c r="BL430" s="8">
        <v>2.5000000000000001E-2</v>
      </c>
      <c r="BY430" s="8" t="str">
        <f>+_xlfn.XLOOKUP(Table1[[#This Row],[L4 Code]],KIRMATAŞ!B:B,KIRMATAŞ!B:B,"")</f>
        <v/>
      </c>
      <c r="BZ430" s="8" t="str">
        <f>+_xlfn.XLOOKUP(Table1[[#This Row],[L4 Code]],'SU TEMİNİ'!C:C,'SU TEMİNİ'!C:C,"")</f>
        <v/>
      </c>
      <c r="CA430" s="8" t="str">
        <f>+_xlfn.XLOOKUP(Table1[[#This Row],[L4 Code]],TAŞ!C:C,TAŞ!C:C,"")</f>
        <v/>
      </c>
      <c r="CB430" s="8" t="str">
        <f>Table1[[#This Row],[L4 Code]]&amp;"-"&amp;Table1[[#This Row],[T1 Code]]</f>
        <v>E-05.GNL-05.ISI-110-1000</v>
      </c>
    </row>
    <row r="431" spans="1:80">
      <c r="A431" s="3" t="s">
        <v>5444</v>
      </c>
      <c r="B431" t="s">
        <v>5216</v>
      </c>
      <c r="D431" t="s">
        <v>4967</v>
      </c>
      <c r="F431" s="77" t="s">
        <v>4973</v>
      </c>
      <c r="H431" s="3" t="s">
        <v>4984</v>
      </c>
      <c r="I431" s="3"/>
      <c r="J431" s="78"/>
      <c r="K431" s="78"/>
      <c r="M431" s="78"/>
      <c r="X431" s="10"/>
      <c r="Y431" s="8">
        <v>2.5000000000000001E-2</v>
      </c>
      <c r="Z431" s="8">
        <v>2.5000000000000001E-2</v>
      </c>
      <c r="AA431" s="8">
        <v>2.5000000000000001E-2</v>
      </c>
      <c r="AB431" s="8">
        <v>2.5000000000000001E-2</v>
      </c>
      <c r="AC431" s="8">
        <v>2.5000000000000001E-2</v>
      </c>
      <c r="AD431" s="8">
        <v>2.5000000000000001E-2</v>
      </c>
      <c r="AE431" s="8">
        <v>2.5000000000000001E-2</v>
      </c>
      <c r="AF431" s="8">
        <v>2.5000000000000001E-2</v>
      </c>
      <c r="AG431" s="8">
        <v>2.5000000000000001E-2</v>
      </c>
      <c r="AH431" s="8">
        <v>2.5000000000000001E-2</v>
      </c>
      <c r="AI431" s="8">
        <v>2.5000000000000001E-2</v>
      </c>
      <c r="AJ431" s="8">
        <v>2.5000000000000001E-2</v>
      </c>
      <c r="AK431" s="8">
        <v>2.5000000000000001E-2</v>
      </c>
      <c r="AL431" s="8">
        <v>2.5000000000000001E-2</v>
      </c>
      <c r="AM431" s="8">
        <v>2.5000000000000001E-2</v>
      </c>
      <c r="AN431" s="8">
        <v>2.5000000000000001E-2</v>
      </c>
      <c r="AO431" s="8">
        <v>2.5000000000000001E-2</v>
      </c>
      <c r="AP431" s="8">
        <v>2.5000000000000001E-2</v>
      </c>
      <c r="AQ431" s="8">
        <v>2.5000000000000001E-2</v>
      </c>
      <c r="AR431" s="8">
        <v>2.5000000000000001E-2</v>
      </c>
      <c r="AS431" s="8">
        <v>2.5000000000000001E-2</v>
      </c>
      <c r="AT431" s="8">
        <v>2.5000000000000001E-2</v>
      </c>
      <c r="AU431" s="8">
        <v>2.5000000000000001E-2</v>
      </c>
      <c r="AV431" s="8">
        <v>2.5000000000000001E-2</v>
      </c>
      <c r="AW431" s="8">
        <v>2.5000000000000001E-2</v>
      </c>
      <c r="AX431" s="8">
        <v>2.5000000000000001E-2</v>
      </c>
      <c r="AY431" s="8">
        <v>2.5000000000000001E-2</v>
      </c>
      <c r="AZ431" s="8">
        <v>2.5000000000000001E-2</v>
      </c>
      <c r="BA431" s="8">
        <v>2.5000000000000001E-2</v>
      </c>
      <c r="BB431" s="8">
        <v>2.5000000000000001E-2</v>
      </c>
      <c r="BC431" s="8">
        <v>2.5000000000000001E-2</v>
      </c>
      <c r="BD431" s="8">
        <v>2.5000000000000001E-2</v>
      </c>
      <c r="BE431" s="8">
        <v>2.5000000000000001E-2</v>
      </c>
      <c r="BF431" s="8">
        <v>2.5000000000000001E-2</v>
      </c>
      <c r="BG431" s="8">
        <v>2.5000000000000001E-2</v>
      </c>
      <c r="BH431" s="8">
        <v>2.5000000000000001E-2</v>
      </c>
      <c r="BI431" s="8">
        <v>2.5000000000000001E-2</v>
      </c>
      <c r="BJ431" s="8">
        <v>2.5000000000000001E-2</v>
      </c>
      <c r="BK431" s="8">
        <v>2.5000000000000001E-2</v>
      </c>
      <c r="BL431" s="8">
        <v>2.5000000000000001E-2</v>
      </c>
      <c r="BY431" s="8" t="str">
        <f>+_xlfn.XLOOKUP(Table1[[#This Row],[L4 Code]],KIRMATAŞ!B:B,KIRMATAŞ!B:B,"")</f>
        <v/>
      </c>
      <c r="BZ431" s="8" t="str">
        <f>+_xlfn.XLOOKUP(Table1[[#This Row],[L4 Code]],'SU TEMİNİ'!C:C,'SU TEMİNİ'!C:C,"")</f>
        <v/>
      </c>
      <c r="CA431" s="8" t="str">
        <f>+_xlfn.XLOOKUP(Table1[[#This Row],[L4 Code]],TAŞ!C:C,TAŞ!C:C,"")</f>
        <v/>
      </c>
      <c r="CB431" s="8" t="str">
        <f>Table1[[#This Row],[L4 Code]]&amp;"-"&amp;Table1[[#This Row],[T1 Code]]</f>
        <v>E-05.GNL-05.ISI-111-1000</v>
      </c>
    </row>
    <row r="432" spans="1:80">
      <c r="A432" s="3" t="s">
        <v>5444</v>
      </c>
      <c r="B432" t="s">
        <v>4349</v>
      </c>
      <c r="D432" t="s">
        <v>4967</v>
      </c>
      <c r="F432" s="77" t="s">
        <v>4973</v>
      </c>
      <c r="H432" s="3" t="s">
        <v>4984</v>
      </c>
      <c r="I432" s="3"/>
      <c r="J432" s="78"/>
      <c r="K432" s="78"/>
      <c r="M432" s="78"/>
      <c r="X432" s="10"/>
      <c r="Y432" s="8">
        <v>2.5000000000000001E-2</v>
      </c>
      <c r="Z432" s="8">
        <v>2.5000000000000001E-2</v>
      </c>
      <c r="AA432" s="8">
        <v>2.5000000000000001E-2</v>
      </c>
      <c r="AB432" s="8">
        <v>2.5000000000000001E-2</v>
      </c>
      <c r="AC432" s="8">
        <v>2.5000000000000001E-2</v>
      </c>
      <c r="AD432" s="8">
        <v>2.5000000000000001E-2</v>
      </c>
      <c r="AE432" s="8">
        <v>2.5000000000000001E-2</v>
      </c>
      <c r="AF432" s="8">
        <v>2.5000000000000001E-2</v>
      </c>
      <c r="AG432" s="8">
        <v>2.5000000000000001E-2</v>
      </c>
      <c r="AH432" s="8">
        <v>2.5000000000000001E-2</v>
      </c>
      <c r="AI432" s="8">
        <v>2.5000000000000001E-2</v>
      </c>
      <c r="AJ432" s="8">
        <v>2.5000000000000001E-2</v>
      </c>
      <c r="AK432" s="8">
        <v>2.5000000000000001E-2</v>
      </c>
      <c r="AL432" s="8">
        <v>2.5000000000000001E-2</v>
      </c>
      <c r="AM432" s="8">
        <v>2.5000000000000001E-2</v>
      </c>
      <c r="AN432" s="8">
        <v>2.5000000000000001E-2</v>
      </c>
      <c r="AO432" s="8">
        <v>2.5000000000000001E-2</v>
      </c>
      <c r="AP432" s="8">
        <v>2.5000000000000001E-2</v>
      </c>
      <c r="AQ432" s="8">
        <v>2.5000000000000001E-2</v>
      </c>
      <c r="AR432" s="8">
        <v>2.5000000000000001E-2</v>
      </c>
      <c r="AS432" s="8">
        <v>2.5000000000000001E-2</v>
      </c>
      <c r="AT432" s="8">
        <v>2.5000000000000001E-2</v>
      </c>
      <c r="AU432" s="8">
        <v>2.5000000000000001E-2</v>
      </c>
      <c r="AV432" s="8">
        <v>2.5000000000000001E-2</v>
      </c>
      <c r="AW432" s="8">
        <v>2.5000000000000001E-2</v>
      </c>
      <c r="AX432" s="8">
        <v>2.5000000000000001E-2</v>
      </c>
      <c r="AY432" s="8">
        <v>2.5000000000000001E-2</v>
      </c>
      <c r="AZ432" s="8">
        <v>2.5000000000000001E-2</v>
      </c>
      <c r="BA432" s="8">
        <v>2.5000000000000001E-2</v>
      </c>
      <c r="BB432" s="8">
        <v>2.5000000000000001E-2</v>
      </c>
      <c r="BC432" s="8">
        <v>2.5000000000000001E-2</v>
      </c>
      <c r="BD432" s="8">
        <v>2.5000000000000001E-2</v>
      </c>
      <c r="BE432" s="8">
        <v>2.5000000000000001E-2</v>
      </c>
      <c r="BF432" s="8">
        <v>2.5000000000000001E-2</v>
      </c>
      <c r="BG432" s="8">
        <v>2.5000000000000001E-2</v>
      </c>
      <c r="BH432" s="8">
        <v>2.5000000000000001E-2</v>
      </c>
      <c r="BI432" s="8">
        <v>2.5000000000000001E-2</v>
      </c>
      <c r="BJ432" s="8">
        <v>2.5000000000000001E-2</v>
      </c>
      <c r="BK432" s="8">
        <v>2.5000000000000001E-2</v>
      </c>
      <c r="BL432" s="8">
        <v>2.5000000000000001E-2</v>
      </c>
      <c r="BY432" s="8" t="str">
        <f>+_xlfn.XLOOKUP(Table1[[#This Row],[L4 Code]],KIRMATAŞ!B:B,KIRMATAŞ!B:B,"")</f>
        <v/>
      </c>
      <c r="BZ432" s="8" t="str">
        <f>+_xlfn.XLOOKUP(Table1[[#This Row],[L4 Code]],'SU TEMİNİ'!C:C,'SU TEMİNİ'!C:C,"")</f>
        <v/>
      </c>
      <c r="CA432" s="8" t="str">
        <f>+_xlfn.XLOOKUP(Table1[[#This Row],[L4 Code]],TAŞ!C:C,TAŞ!C:C,"")</f>
        <v/>
      </c>
      <c r="CB432" s="8" t="str">
        <f>Table1[[#This Row],[L4 Code]]&amp;"-"&amp;Table1[[#This Row],[T1 Code]]</f>
        <v>E-05.GNL-06.ESU-110-1000</v>
      </c>
    </row>
    <row r="433" spans="1:80">
      <c r="A433" s="3" t="s">
        <v>5444</v>
      </c>
      <c r="B433" t="s">
        <v>4351</v>
      </c>
      <c r="D433" t="s">
        <v>4967</v>
      </c>
      <c r="F433" s="77" t="s">
        <v>4973</v>
      </c>
      <c r="H433" s="3" t="s">
        <v>4984</v>
      </c>
      <c r="I433" s="3"/>
      <c r="J433" s="78"/>
      <c r="K433" s="78"/>
      <c r="M433" s="78"/>
      <c r="X433" s="10"/>
      <c r="Y433" s="8">
        <v>2.5000000000000001E-2</v>
      </c>
      <c r="Z433" s="8">
        <v>2.5000000000000001E-2</v>
      </c>
      <c r="AA433" s="8">
        <v>2.5000000000000001E-2</v>
      </c>
      <c r="AB433" s="8">
        <v>2.5000000000000001E-2</v>
      </c>
      <c r="AC433" s="8">
        <v>2.5000000000000001E-2</v>
      </c>
      <c r="AD433" s="8">
        <v>2.5000000000000001E-2</v>
      </c>
      <c r="AE433" s="8">
        <v>2.5000000000000001E-2</v>
      </c>
      <c r="AF433" s="8">
        <v>2.5000000000000001E-2</v>
      </c>
      <c r="AG433" s="8">
        <v>2.5000000000000001E-2</v>
      </c>
      <c r="AH433" s="8">
        <v>2.5000000000000001E-2</v>
      </c>
      <c r="AI433" s="8">
        <v>2.5000000000000001E-2</v>
      </c>
      <c r="AJ433" s="8">
        <v>2.5000000000000001E-2</v>
      </c>
      <c r="AK433" s="8">
        <v>2.5000000000000001E-2</v>
      </c>
      <c r="AL433" s="8">
        <v>2.5000000000000001E-2</v>
      </c>
      <c r="AM433" s="8">
        <v>2.5000000000000001E-2</v>
      </c>
      <c r="AN433" s="8">
        <v>2.5000000000000001E-2</v>
      </c>
      <c r="AO433" s="8">
        <v>2.5000000000000001E-2</v>
      </c>
      <c r="AP433" s="8">
        <v>2.5000000000000001E-2</v>
      </c>
      <c r="AQ433" s="8">
        <v>2.5000000000000001E-2</v>
      </c>
      <c r="AR433" s="8">
        <v>2.5000000000000001E-2</v>
      </c>
      <c r="AS433" s="8">
        <v>2.5000000000000001E-2</v>
      </c>
      <c r="AT433" s="8">
        <v>2.5000000000000001E-2</v>
      </c>
      <c r="AU433" s="8">
        <v>2.5000000000000001E-2</v>
      </c>
      <c r="AV433" s="8">
        <v>2.5000000000000001E-2</v>
      </c>
      <c r="AW433" s="8">
        <v>2.5000000000000001E-2</v>
      </c>
      <c r="AX433" s="8">
        <v>2.5000000000000001E-2</v>
      </c>
      <c r="AY433" s="8">
        <v>2.5000000000000001E-2</v>
      </c>
      <c r="AZ433" s="8">
        <v>2.5000000000000001E-2</v>
      </c>
      <c r="BA433" s="8">
        <v>2.5000000000000001E-2</v>
      </c>
      <c r="BB433" s="8">
        <v>2.5000000000000001E-2</v>
      </c>
      <c r="BC433" s="8">
        <v>2.5000000000000001E-2</v>
      </c>
      <c r="BD433" s="8">
        <v>2.5000000000000001E-2</v>
      </c>
      <c r="BE433" s="8">
        <v>2.5000000000000001E-2</v>
      </c>
      <c r="BF433" s="8">
        <v>2.5000000000000001E-2</v>
      </c>
      <c r="BG433" s="8">
        <v>2.5000000000000001E-2</v>
      </c>
      <c r="BH433" s="8">
        <v>2.5000000000000001E-2</v>
      </c>
      <c r="BI433" s="8">
        <v>2.5000000000000001E-2</v>
      </c>
      <c r="BJ433" s="8">
        <v>2.5000000000000001E-2</v>
      </c>
      <c r="BK433" s="8">
        <v>2.5000000000000001E-2</v>
      </c>
      <c r="BL433" s="8">
        <v>2.5000000000000001E-2</v>
      </c>
      <c r="BY433" s="8" t="str">
        <f>+_xlfn.XLOOKUP(Table1[[#This Row],[L4 Code]],KIRMATAŞ!B:B,KIRMATAŞ!B:B,"")</f>
        <v/>
      </c>
      <c r="BZ433" s="8" t="str">
        <f>+_xlfn.XLOOKUP(Table1[[#This Row],[L4 Code]],'SU TEMİNİ'!C:C,'SU TEMİNİ'!C:C,"")</f>
        <v/>
      </c>
      <c r="CA433" s="8" t="str">
        <f>+_xlfn.XLOOKUP(Table1[[#This Row],[L4 Code]],TAŞ!C:C,TAŞ!C:C,"")</f>
        <v/>
      </c>
      <c r="CB433" s="8" t="str">
        <f>Table1[[#This Row],[L4 Code]]&amp;"-"&amp;Table1[[#This Row],[T1 Code]]</f>
        <v>E-05.GNL-06.ESU-120-1000</v>
      </c>
    </row>
    <row r="434" spans="1:80">
      <c r="A434" s="3" t="s">
        <v>5444</v>
      </c>
      <c r="B434" t="s">
        <v>4353</v>
      </c>
      <c r="D434" t="s">
        <v>4967</v>
      </c>
      <c r="F434" s="77" t="s">
        <v>4973</v>
      </c>
      <c r="H434" s="3" t="s">
        <v>4984</v>
      </c>
      <c r="I434" s="3"/>
      <c r="J434" s="78"/>
      <c r="K434" s="78"/>
      <c r="M434" s="78"/>
      <c r="X434" s="10"/>
      <c r="Y434" s="8">
        <v>2.5000000000000001E-2</v>
      </c>
      <c r="Z434" s="8">
        <v>2.5000000000000001E-2</v>
      </c>
      <c r="AA434" s="8">
        <v>2.5000000000000001E-2</v>
      </c>
      <c r="AB434" s="8">
        <v>2.5000000000000001E-2</v>
      </c>
      <c r="AC434" s="8">
        <v>2.5000000000000001E-2</v>
      </c>
      <c r="AD434" s="8">
        <v>2.5000000000000001E-2</v>
      </c>
      <c r="AE434" s="8">
        <v>2.5000000000000001E-2</v>
      </c>
      <c r="AF434" s="8">
        <v>2.5000000000000001E-2</v>
      </c>
      <c r="AG434" s="8">
        <v>2.5000000000000001E-2</v>
      </c>
      <c r="AH434" s="8">
        <v>2.5000000000000001E-2</v>
      </c>
      <c r="AI434" s="8">
        <v>2.5000000000000001E-2</v>
      </c>
      <c r="AJ434" s="8">
        <v>2.5000000000000001E-2</v>
      </c>
      <c r="AK434" s="8">
        <v>2.5000000000000001E-2</v>
      </c>
      <c r="AL434" s="8">
        <v>2.5000000000000001E-2</v>
      </c>
      <c r="AM434" s="8">
        <v>2.5000000000000001E-2</v>
      </c>
      <c r="AN434" s="8">
        <v>2.5000000000000001E-2</v>
      </c>
      <c r="AO434" s="8">
        <v>2.5000000000000001E-2</v>
      </c>
      <c r="AP434" s="8">
        <v>2.5000000000000001E-2</v>
      </c>
      <c r="AQ434" s="8">
        <v>2.5000000000000001E-2</v>
      </c>
      <c r="AR434" s="8">
        <v>2.5000000000000001E-2</v>
      </c>
      <c r="AS434" s="8">
        <v>2.5000000000000001E-2</v>
      </c>
      <c r="AT434" s="8">
        <v>2.5000000000000001E-2</v>
      </c>
      <c r="AU434" s="8">
        <v>2.5000000000000001E-2</v>
      </c>
      <c r="AV434" s="8">
        <v>2.5000000000000001E-2</v>
      </c>
      <c r="AW434" s="8">
        <v>2.5000000000000001E-2</v>
      </c>
      <c r="AX434" s="8">
        <v>2.5000000000000001E-2</v>
      </c>
      <c r="AY434" s="8">
        <v>2.5000000000000001E-2</v>
      </c>
      <c r="AZ434" s="8">
        <v>2.5000000000000001E-2</v>
      </c>
      <c r="BA434" s="8">
        <v>2.5000000000000001E-2</v>
      </c>
      <c r="BB434" s="8">
        <v>2.5000000000000001E-2</v>
      </c>
      <c r="BC434" s="8">
        <v>2.5000000000000001E-2</v>
      </c>
      <c r="BD434" s="8">
        <v>2.5000000000000001E-2</v>
      </c>
      <c r="BE434" s="8">
        <v>2.5000000000000001E-2</v>
      </c>
      <c r="BF434" s="8">
        <v>2.5000000000000001E-2</v>
      </c>
      <c r="BG434" s="8">
        <v>2.5000000000000001E-2</v>
      </c>
      <c r="BH434" s="8">
        <v>2.5000000000000001E-2</v>
      </c>
      <c r="BI434" s="8">
        <v>2.5000000000000001E-2</v>
      </c>
      <c r="BJ434" s="8">
        <v>2.5000000000000001E-2</v>
      </c>
      <c r="BK434" s="8">
        <v>2.5000000000000001E-2</v>
      </c>
      <c r="BL434" s="8">
        <v>2.5000000000000001E-2</v>
      </c>
      <c r="BY434" s="8" t="str">
        <f>+_xlfn.XLOOKUP(Table1[[#This Row],[L4 Code]],KIRMATAŞ!B:B,KIRMATAŞ!B:B,"")</f>
        <v/>
      </c>
      <c r="BZ434" s="8" t="str">
        <f>+_xlfn.XLOOKUP(Table1[[#This Row],[L4 Code]],'SU TEMİNİ'!C:C,'SU TEMİNİ'!C:C,"")</f>
        <v/>
      </c>
      <c r="CA434" s="8" t="str">
        <f>+_xlfn.XLOOKUP(Table1[[#This Row],[L4 Code]],TAŞ!C:C,TAŞ!C:C,"")</f>
        <v/>
      </c>
      <c r="CB434" s="8" t="str">
        <f>Table1[[#This Row],[L4 Code]]&amp;"-"&amp;Table1[[#This Row],[T1 Code]]</f>
        <v>E-05.GNL-06.ESU-210-1000</v>
      </c>
    </row>
    <row r="435" spans="1:80">
      <c r="A435" s="3" t="s">
        <v>5444</v>
      </c>
      <c r="B435" t="s">
        <v>4355</v>
      </c>
      <c r="D435" t="s">
        <v>4967</v>
      </c>
      <c r="F435" s="77" t="s">
        <v>4973</v>
      </c>
      <c r="H435" s="3" t="s">
        <v>4984</v>
      </c>
      <c r="I435" s="3"/>
      <c r="J435" s="78"/>
      <c r="K435" s="78"/>
      <c r="M435" s="78"/>
      <c r="X435" s="10"/>
      <c r="Y435" s="8">
        <v>2.5000000000000001E-2</v>
      </c>
      <c r="Z435" s="8">
        <v>2.5000000000000001E-2</v>
      </c>
      <c r="AA435" s="8">
        <v>2.5000000000000001E-2</v>
      </c>
      <c r="AB435" s="8">
        <v>2.5000000000000001E-2</v>
      </c>
      <c r="AC435" s="8">
        <v>2.5000000000000001E-2</v>
      </c>
      <c r="AD435" s="8">
        <v>2.5000000000000001E-2</v>
      </c>
      <c r="AE435" s="8">
        <v>2.5000000000000001E-2</v>
      </c>
      <c r="AF435" s="8">
        <v>2.5000000000000001E-2</v>
      </c>
      <c r="AG435" s="8">
        <v>2.5000000000000001E-2</v>
      </c>
      <c r="AH435" s="8">
        <v>2.5000000000000001E-2</v>
      </c>
      <c r="AI435" s="8">
        <v>2.5000000000000001E-2</v>
      </c>
      <c r="AJ435" s="8">
        <v>2.5000000000000001E-2</v>
      </c>
      <c r="AK435" s="8">
        <v>2.5000000000000001E-2</v>
      </c>
      <c r="AL435" s="8">
        <v>2.5000000000000001E-2</v>
      </c>
      <c r="AM435" s="8">
        <v>2.5000000000000001E-2</v>
      </c>
      <c r="AN435" s="8">
        <v>2.5000000000000001E-2</v>
      </c>
      <c r="AO435" s="8">
        <v>2.5000000000000001E-2</v>
      </c>
      <c r="AP435" s="8">
        <v>2.5000000000000001E-2</v>
      </c>
      <c r="AQ435" s="8">
        <v>2.5000000000000001E-2</v>
      </c>
      <c r="AR435" s="8">
        <v>2.5000000000000001E-2</v>
      </c>
      <c r="AS435" s="8">
        <v>2.5000000000000001E-2</v>
      </c>
      <c r="AT435" s="8">
        <v>2.5000000000000001E-2</v>
      </c>
      <c r="AU435" s="8">
        <v>2.5000000000000001E-2</v>
      </c>
      <c r="AV435" s="8">
        <v>2.5000000000000001E-2</v>
      </c>
      <c r="AW435" s="8">
        <v>2.5000000000000001E-2</v>
      </c>
      <c r="AX435" s="8">
        <v>2.5000000000000001E-2</v>
      </c>
      <c r="AY435" s="8">
        <v>2.5000000000000001E-2</v>
      </c>
      <c r="AZ435" s="8">
        <v>2.5000000000000001E-2</v>
      </c>
      <c r="BA435" s="8">
        <v>2.5000000000000001E-2</v>
      </c>
      <c r="BB435" s="8">
        <v>2.5000000000000001E-2</v>
      </c>
      <c r="BC435" s="8">
        <v>2.5000000000000001E-2</v>
      </c>
      <c r="BD435" s="8">
        <v>2.5000000000000001E-2</v>
      </c>
      <c r="BE435" s="8">
        <v>2.5000000000000001E-2</v>
      </c>
      <c r="BF435" s="8">
        <v>2.5000000000000001E-2</v>
      </c>
      <c r="BG435" s="8">
        <v>2.5000000000000001E-2</v>
      </c>
      <c r="BH435" s="8">
        <v>2.5000000000000001E-2</v>
      </c>
      <c r="BI435" s="8">
        <v>2.5000000000000001E-2</v>
      </c>
      <c r="BJ435" s="8">
        <v>2.5000000000000001E-2</v>
      </c>
      <c r="BK435" s="8">
        <v>2.5000000000000001E-2</v>
      </c>
      <c r="BL435" s="8">
        <v>2.5000000000000001E-2</v>
      </c>
      <c r="BY435" s="8" t="str">
        <f>+_xlfn.XLOOKUP(Table1[[#This Row],[L4 Code]],KIRMATAŞ!B:B,KIRMATAŞ!B:B,"")</f>
        <v/>
      </c>
      <c r="BZ435" s="8" t="str">
        <f>+_xlfn.XLOOKUP(Table1[[#This Row],[L4 Code]],'SU TEMİNİ'!C:C,'SU TEMİNİ'!C:C,"")</f>
        <v/>
      </c>
      <c r="CA435" s="8" t="str">
        <f>+_xlfn.XLOOKUP(Table1[[#This Row],[L4 Code]],TAŞ!C:C,TAŞ!C:C,"")</f>
        <v/>
      </c>
      <c r="CB435" s="8" t="str">
        <f>Table1[[#This Row],[L4 Code]]&amp;"-"&amp;Table1[[#This Row],[T1 Code]]</f>
        <v>E-05.GNL-06.ESU-510-1000</v>
      </c>
    </row>
    <row r="436" spans="1:80">
      <c r="A436" s="3" t="s">
        <v>5444</v>
      </c>
      <c r="B436" t="s">
        <v>4368</v>
      </c>
      <c r="D436" t="s">
        <v>4967</v>
      </c>
      <c r="F436" s="77" t="s">
        <v>4973</v>
      </c>
      <c r="H436" s="3" t="s">
        <v>4984</v>
      </c>
      <c r="I436" s="3"/>
      <c r="J436" s="78"/>
      <c r="K436" s="78"/>
      <c r="M436" s="78"/>
      <c r="X436" s="10"/>
      <c r="Y436" s="8">
        <v>2.5000000000000001E-2</v>
      </c>
      <c r="Z436" s="8">
        <v>2.5000000000000001E-2</v>
      </c>
      <c r="AA436" s="8">
        <v>2.5000000000000001E-2</v>
      </c>
      <c r="AB436" s="8">
        <v>2.5000000000000001E-2</v>
      </c>
      <c r="AC436" s="8">
        <v>2.5000000000000001E-2</v>
      </c>
      <c r="AD436" s="8">
        <v>2.5000000000000001E-2</v>
      </c>
      <c r="AE436" s="8">
        <v>2.5000000000000001E-2</v>
      </c>
      <c r="AF436" s="8">
        <v>2.5000000000000001E-2</v>
      </c>
      <c r="AG436" s="8">
        <v>2.5000000000000001E-2</v>
      </c>
      <c r="AH436" s="8">
        <v>2.5000000000000001E-2</v>
      </c>
      <c r="AI436" s="8">
        <v>2.5000000000000001E-2</v>
      </c>
      <c r="AJ436" s="8">
        <v>2.5000000000000001E-2</v>
      </c>
      <c r="AK436" s="8">
        <v>2.5000000000000001E-2</v>
      </c>
      <c r="AL436" s="8">
        <v>2.5000000000000001E-2</v>
      </c>
      <c r="AM436" s="8">
        <v>2.5000000000000001E-2</v>
      </c>
      <c r="AN436" s="8">
        <v>2.5000000000000001E-2</v>
      </c>
      <c r="AO436" s="8">
        <v>2.5000000000000001E-2</v>
      </c>
      <c r="AP436" s="8">
        <v>2.5000000000000001E-2</v>
      </c>
      <c r="AQ436" s="8">
        <v>2.5000000000000001E-2</v>
      </c>
      <c r="AR436" s="8">
        <v>2.5000000000000001E-2</v>
      </c>
      <c r="AS436" s="8">
        <v>2.5000000000000001E-2</v>
      </c>
      <c r="AT436" s="8">
        <v>2.5000000000000001E-2</v>
      </c>
      <c r="AU436" s="8">
        <v>2.5000000000000001E-2</v>
      </c>
      <c r="AV436" s="8">
        <v>2.5000000000000001E-2</v>
      </c>
      <c r="AW436" s="8">
        <v>2.5000000000000001E-2</v>
      </c>
      <c r="AX436" s="8">
        <v>2.5000000000000001E-2</v>
      </c>
      <c r="AY436" s="8">
        <v>2.5000000000000001E-2</v>
      </c>
      <c r="AZ436" s="8">
        <v>2.5000000000000001E-2</v>
      </c>
      <c r="BA436" s="8">
        <v>2.5000000000000001E-2</v>
      </c>
      <c r="BB436" s="8">
        <v>2.5000000000000001E-2</v>
      </c>
      <c r="BC436" s="8">
        <v>2.5000000000000001E-2</v>
      </c>
      <c r="BD436" s="8">
        <v>2.5000000000000001E-2</v>
      </c>
      <c r="BE436" s="8">
        <v>2.5000000000000001E-2</v>
      </c>
      <c r="BF436" s="8">
        <v>2.5000000000000001E-2</v>
      </c>
      <c r="BG436" s="8">
        <v>2.5000000000000001E-2</v>
      </c>
      <c r="BH436" s="8">
        <v>2.5000000000000001E-2</v>
      </c>
      <c r="BI436" s="8">
        <v>2.5000000000000001E-2</v>
      </c>
      <c r="BJ436" s="8">
        <v>2.5000000000000001E-2</v>
      </c>
      <c r="BK436" s="8">
        <v>2.5000000000000001E-2</v>
      </c>
      <c r="BL436" s="8">
        <v>2.5000000000000001E-2</v>
      </c>
      <c r="BY436" s="8" t="str">
        <f>+_xlfn.XLOOKUP(Table1[[#This Row],[L4 Code]],KIRMATAŞ!B:B,KIRMATAŞ!B:B,"")</f>
        <v/>
      </c>
      <c r="BZ436" s="8" t="str">
        <f>+_xlfn.XLOOKUP(Table1[[#This Row],[L4 Code]],'SU TEMİNİ'!C:C,'SU TEMİNİ'!C:C,"")</f>
        <v/>
      </c>
      <c r="CA436" s="8" t="str">
        <f>+_xlfn.XLOOKUP(Table1[[#This Row],[L4 Code]],TAŞ!C:C,TAŞ!C:C,"")</f>
        <v/>
      </c>
      <c r="CB436" s="8" t="str">
        <f>Table1[[#This Row],[L4 Code]]&amp;"-"&amp;Table1[[#This Row],[T1 Code]]</f>
        <v>E-05.GNL-08.ILT-110-1000</v>
      </c>
    </row>
    <row r="437" spans="1:80">
      <c r="A437" s="3" t="s">
        <v>5444</v>
      </c>
      <c r="B437" t="s">
        <v>4371</v>
      </c>
      <c r="D437" t="s">
        <v>4967</v>
      </c>
      <c r="F437" s="77" t="s">
        <v>4973</v>
      </c>
      <c r="H437" s="3" t="s">
        <v>4984</v>
      </c>
      <c r="I437" s="3"/>
      <c r="J437" s="78"/>
      <c r="K437" s="78"/>
      <c r="M437" s="78"/>
      <c r="X437" s="10"/>
      <c r="Y437" s="8">
        <v>2.5000000000000001E-2</v>
      </c>
      <c r="Z437" s="8">
        <v>2.5000000000000001E-2</v>
      </c>
      <c r="AA437" s="8">
        <v>2.5000000000000001E-2</v>
      </c>
      <c r="AB437" s="8">
        <v>2.5000000000000001E-2</v>
      </c>
      <c r="AC437" s="8">
        <v>2.5000000000000001E-2</v>
      </c>
      <c r="AD437" s="8">
        <v>2.5000000000000001E-2</v>
      </c>
      <c r="AE437" s="8">
        <v>2.5000000000000001E-2</v>
      </c>
      <c r="AF437" s="8">
        <v>2.5000000000000001E-2</v>
      </c>
      <c r="AG437" s="8">
        <v>2.5000000000000001E-2</v>
      </c>
      <c r="AH437" s="8">
        <v>2.5000000000000001E-2</v>
      </c>
      <c r="AI437" s="8">
        <v>2.5000000000000001E-2</v>
      </c>
      <c r="AJ437" s="8">
        <v>2.5000000000000001E-2</v>
      </c>
      <c r="AK437" s="8">
        <v>2.5000000000000001E-2</v>
      </c>
      <c r="AL437" s="8">
        <v>2.5000000000000001E-2</v>
      </c>
      <c r="AM437" s="8">
        <v>2.5000000000000001E-2</v>
      </c>
      <c r="AN437" s="8">
        <v>2.5000000000000001E-2</v>
      </c>
      <c r="AO437" s="8">
        <v>2.5000000000000001E-2</v>
      </c>
      <c r="AP437" s="8">
        <v>2.5000000000000001E-2</v>
      </c>
      <c r="AQ437" s="8">
        <v>2.5000000000000001E-2</v>
      </c>
      <c r="AR437" s="8">
        <v>2.5000000000000001E-2</v>
      </c>
      <c r="AS437" s="8">
        <v>2.5000000000000001E-2</v>
      </c>
      <c r="AT437" s="8">
        <v>2.5000000000000001E-2</v>
      </c>
      <c r="AU437" s="8">
        <v>2.5000000000000001E-2</v>
      </c>
      <c r="AV437" s="8">
        <v>2.5000000000000001E-2</v>
      </c>
      <c r="AW437" s="8">
        <v>2.5000000000000001E-2</v>
      </c>
      <c r="AX437" s="8">
        <v>2.5000000000000001E-2</v>
      </c>
      <c r="AY437" s="8">
        <v>2.5000000000000001E-2</v>
      </c>
      <c r="AZ437" s="8">
        <v>2.5000000000000001E-2</v>
      </c>
      <c r="BA437" s="8">
        <v>2.5000000000000001E-2</v>
      </c>
      <c r="BB437" s="8">
        <v>2.5000000000000001E-2</v>
      </c>
      <c r="BC437" s="8">
        <v>2.5000000000000001E-2</v>
      </c>
      <c r="BD437" s="8">
        <v>2.5000000000000001E-2</v>
      </c>
      <c r="BE437" s="8">
        <v>2.5000000000000001E-2</v>
      </c>
      <c r="BF437" s="8">
        <v>2.5000000000000001E-2</v>
      </c>
      <c r="BG437" s="8">
        <v>2.5000000000000001E-2</v>
      </c>
      <c r="BH437" s="8">
        <v>2.5000000000000001E-2</v>
      </c>
      <c r="BI437" s="8">
        <v>2.5000000000000001E-2</v>
      </c>
      <c r="BJ437" s="8">
        <v>2.5000000000000001E-2</v>
      </c>
      <c r="BK437" s="8">
        <v>2.5000000000000001E-2</v>
      </c>
      <c r="BL437" s="8">
        <v>2.5000000000000001E-2</v>
      </c>
      <c r="BY437" s="8" t="str">
        <f>+_xlfn.XLOOKUP(Table1[[#This Row],[L4 Code]],KIRMATAŞ!B:B,KIRMATAŞ!B:B,"")</f>
        <v/>
      </c>
      <c r="BZ437" s="8" t="str">
        <f>+_xlfn.XLOOKUP(Table1[[#This Row],[L4 Code]],'SU TEMİNİ'!C:C,'SU TEMİNİ'!C:C,"")</f>
        <v/>
      </c>
      <c r="CA437" s="8" t="str">
        <f>+_xlfn.XLOOKUP(Table1[[#This Row],[L4 Code]],TAŞ!C:C,TAŞ!C:C,"")</f>
        <v/>
      </c>
      <c r="CB437" s="8" t="str">
        <f>Table1[[#This Row],[L4 Code]]&amp;"-"&amp;Table1[[#This Row],[T1 Code]]</f>
        <v>E-05.GNL-08.ILT-120-1000</v>
      </c>
    </row>
    <row r="438" spans="1:80">
      <c r="A438" s="3" t="s">
        <v>5444</v>
      </c>
      <c r="B438" t="s">
        <v>4376</v>
      </c>
      <c r="D438" t="s">
        <v>4967</v>
      </c>
      <c r="F438" s="77" t="s">
        <v>4973</v>
      </c>
      <c r="H438" s="3" t="s">
        <v>4984</v>
      </c>
      <c r="I438" s="3"/>
      <c r="J438" s="78"/>
      <c r="K438" s="78"/>
      <c r="M438" s="78"/>
      <c r="X438" s="10"/>
      <c r="Y438" s="8">
        <v>2.5000000000000001E-2</v>
      </c>
      <c r="Z438" s="8">
        <v>2.5000000000000001E-2</v>
      </c>
      <c r="AA438" s="8">
        <v>2.5000000000000001E-2</v>
      </c>
      <c r="AB438" s="8">
        <v>2.5000000000000001E-2</v>
      </c>
      <c r="AC438" s="8">
        <v>2.5000000000000001E-2</v>
      </c>
      <c r="AD438" s="8">
        <v>2.5000000000000001E-2</v>
      </c>
      <c r="AE438" s="8">
        <v>2.5000000000000001E-2</v>
      </c>
      <c r="AF438" s="8">
        <v>2.5000000000000001E-2</v>
      </c>
      <c r="AG438" s="8">
        <v>2.5000000000000001E-2</v>
      </c>
      <c r="AH438" s="8">
        <v>2.5000000000000001E-2</v>
      </c>
      <c r="AI438" s="8">
        <v>2.5000000000000001E-2</v>
      </c>
      <c r="AJ438" s="8">
        <v>2.5000000000000001E-2</v>
      </c>
      <c r="AK438" s="8">
        <v>2.5000000000000001E-2</v>
      </c>
      <c r="AL438" s="8">
        <v>2.5000000000000001E-2</v>
      </c>
      <c r="AM438" s="8">
        <v>2.5000000000000001E-2</v>
      </c>
      <c r="AN438" s="8">
        <v>2.5000000000000001E-2</v>
      </c>
      <c r="AO438" s="8">
        <v>2.5000000000000001E-2</v>
      </c>
      <c r="AP438" s="8">
        <v>2.5000000000000001E-2</v>
      </c>
      <c r="AQ438" s="8">
        <v>2.5000000000000001E-2</v>
      </c>
      <c r="AR438" s="8">
        <v>2.5000000000000001E-2</v>
      </c>
      <c r="AS438" s="8">
        <v>2.5000000000000001E-2</v>
      </c>
      <c r="AT438" s="8">
        <v>2.5000000000000001E-2</v>
      </c>
      <c r="AU438" s="8">
        <v>2.5000000000000001E-2</v>
      </c>
      <c r="AV438" s="8">
        <v>2.5000000000000001E-2</v>
      </c>
      <c r="AW438" s="8">
        <v>2.5000000000000001E-2</v>
      </c>
      <c r="AX438" s="8">
        <v>2.5000000000000001E-2</v>
      </c>
      <c r="AY438" s="8">
        <v>2.5000000000000001E-2</v>
      </c>
      <c r="AZ438" s="8">
        <v>2.5000000000000001E-2</v>
      </c>
      <c r="BA438" s="8">
        <v>2.5000000000000001E-2</v>
      </c>
      <c r="BB438" s="8">
        <v>2.5000000000000001E-2</v>
      </c>
      <c r="BC438" s="8">
        <v>2.5000000000000001E-2</v>
      </c>
      <c r="BD438" s="8">
        <v>2.5000000000000001E-2</v>
      </c>
      <c r="BE438" s="8">
        <v>2.5000000000000001E-2</v>
      </c>
      <c r="BF438" s="8">
        <v>2.5000000000000001E-2</v>
      </c>
      <c r="BG438" s="8">
        <v>2.5000000000000001E-2</v>
      </c>
      <c r="BH438" s="8">
        <v>2.5000000000000001E-2</v>
      </c>
      <c r="BI438" s="8">
        <v>2.5000000000000001E-2</v>
      </c>
      <c r="BJ438" s="8">
        <v>2.5000000000000001E-2</v>
      </c>
      <c r="BK438" s="8">
        <v>2.5000000000000001E-2</v>
      </c>
      <c r="BL438" s="8">
        <v>2.5000000000000001E-2</v>
      </c>
      <c r="BY438" s="8" t="str">
        <f>+_xlfn.XLOOKUP(Table1[[#This Row],[L4 Code]],KIRMATAŞ!B:B,KIRMATAŞ!B:B,"")</f>
        <v/>
      </c>
      <c r="BZ438" s="8" t="str">
        <f>+_xlfn.XLOOKUP(Table1[[#This Row],[L4 Code]],'SU TEMİNİ'!C:C,'SU TEMİNİ'!C:C,"")</f>
        <v/>
      </c>
      <c r="CA438" s="8" t="str">
        <f>+_xlfn.XLOOKUP(Table1[[#This Row],[L4 Code]],TAŞ!C:C,TAŞ!C:C,"")</f>
        <v/>
      </c>
      <c r="CB438" s="8" t="str">
        <f>Table1[[#This Row],[L4 Code]]&amp;"-"&amp;Table1[[#This Row],[T1 Code]]</f>
        <v>E-05.GNL-10.KRT-110-1000</v>
      </c>
    </row>
    <row r="439" spans="1:80">
      <c r="A439" s="3" t="s">
        <v>5444</v>
      </c>
      <c r="B439" t="s">
        <v>4386</v>
      </c>
      <c r="D439" t="s">
        <v>4967</v>
      </c>
      <c r="F439" s="77" t="s">
        <v>4973</v>
      </c>
      <c r="H439" s="3" t="s">
        <v>4984</v>
      </c>
      <c r="I439" s="3"/>
      <c r="J439" s="78"/>
      <c r="K439" s="78"/>
      <c r="M439" s="78"/>
      <c r="X439" s="10"/>
      <c r="Y439" s="8">
        <v>2.5000000000000001E-2</v>
      </c>
      <c r="Z439" s="8">
        <v>2.5000000000000001E-2</v>
      </c>
      <c r="AA439" s="8">
        <v>2.5000000000000001E-2</v>
      </c>
      <c r="AB439" s="8">
        <v>2.5000000000000001E-2</v>
      </c>
      <c r="AC439" s="8">
        <v>2.5000000000000001E-2</v>
      </c>
      <c r="AD439" s="8">
        <v>2.5000000000000001E-2</v>
      </c>
      <c r="AE439" s="8">
        <v>2.5000000000000001E-2</v>
      </c>
      <c r="AF439" s="8">
        <v>2.5000000000000001E-2</v>
      </c>
      <c r="AG439" s="8">
        <v>2.5000000000000001E-2</v>
      </c>
      <c r="AH439" s="8">
        <v>2.5000000000000001E-2</v>
      </c>
      <c r="AI439" s="8">
        <v>2.5000000000000001E-2</v>
      </c>
      <c r="AJ439" s="8">
        <v>2.5000000000000001E-2</v>
      </c>
      <c r="AK439" s="8">
        <v>2.5000000000000001E-2</v>
      </c>
      <c r="AL439" s="8">
        <v>2.5000000000000001E-2</v>
      </c>
      <c r="AM439" s="8">
        <v>2.5000000000000001E-2</v>
      </c>
      <c r="AN439" s="8">
        <v>2.5000000000000001E-2</v>
      </c>
      <c r="AO439" s="8">
        <v>2.5000000000000001E-2</v>
      </c>
      <c r="AP439" s="8">
        <v>2.5000000000000001E-2</v>
      </c>
      <c r="AQ439" s="8">
        <v>2.5000000000000001E-2</v>
      </c>
      <c r="AR439" s="8">
        <v>2.5000000000000001E-2</v>
      </c>
      <c r="AS439" s="8">
        <v>2.5000000000000001E-2</v>
      </c>
      <c r="AT439" s="8">
        <v>2.5000000000000001E-2</v>
      </c>
      <c r="AU439" s="8">
        <v>2.5000000000000001E-2</v>
      </c>
      <c r="AV439" s="8">
        <v>2.5000000000000001E-2</v>
      </c>
      <c r="AW439" s="8">
        <v>2.5000000000000001E-2</v>
      </c>
      <c r="AX439" s="8">
        <v>2.5000000000000001E-2</v>
      </c>
      <c r="AY439" s="8">
        <v>2.5000000000000001E-2</v>
      </c>
      <c r="AZ439" s="8">
        <v>2.5000000000000001E-2</v>
      </c>
      <c r="BA439" s="8">
        <v>2.5000000000000001E-2</v>
      </c>
      <c r="BB439" s="8">
        <v>2.5000000000000001E-2</v>
      </c>
      <c r="BC439" s="8">
        <v>2.5000000000000001E-2</v>
      </c>
      <c r="BD439" s="8">
        <v>2.5000000000000001E-2</v>
      </c>
      <c r="BE439" s="8">
        <v>2.5000000000000001E-2</v>
      </c>
      <c r="BF439" s="8">
        <v>2.5000000000000001E-2</v>
      </c>
      <c r="BG439" s="8">
        <v>2.5000000000000001E-2</v>
      </c>
      <c r="BH439" s="8">
        <v>2.5000000000000001E-2</v>
      </c>
      <c r="BI439" s="8">
        <v>2.5000000000000001E-2</v>
      </c>
      <c r="BJ439" s="8">
        <v>2.5000000000000001E-2</v>
      </c>
      <c r="BK439" s="8">
        <v>2.5000000000000001E-2</v>
      </c>
      <c r="BL439" s="8">
        <v>2.5000000000000001E-2</v>
      </c>
      <c r="BY439" s="8" t="str">
        <f>+_xlfn.XLOOKUP(Table1[[#This Row],[L4 Code]],KIRMATAŞ!B:B,KIRMATAŞ!B:B,"")</f>
        <v/>
      </c>
      <c r="BZ439" s="8" t="str">
        <f>+_xlfn.XLOOKUP(Table1[[#This Row],[L4 Code]],'SU TEMİNİ'!C:C,'SU TEMİNİ'!C:C,"")</f>
        <v/>
      </c>
      <c r="CA439" s="8" t="str">
        <f>+_xlfn.XLOOKUP(Table1[[#This Row],[L4 Code]],TAŞ!C:C,TAŞ!C:C,"")</f>
        <v/>
      </c>
      <c r="CB439" s="8" t="str">
        <f>Table1[[#This Row],[L4 Code]]&amp;"-"&amp;Table1[[#This Row],[T1 Code]]</f>
        <v>E-05.GNL-11.YLC-110-1000</v>
      </c>
    </row>
    <row r="440" spans="1:80">
      <c r="A440" s="3" t="s">
        <v>5444</v>
      </c>
      <c r="B440" t="s">
        <v>4396</v>
      </c>
      <c r="D440" t="s">
        <v>4967</v>
      </c>
      <c r="F440" s="77" t="s">
        <v>4973</v>
      </c>
      <c r="H440" s="3" t="s">
        <v>4984</v>
      </c>
      <c r="I440" s="3"/>
      <c r="J440" s="78"/>
      <c r="K440" s="78"/>
      <c r="M440" s="78"/>
      <c r="X440" s="10"/>
      <c r="Y440" s="8">
        <v>2.5000000000000001E-2</v>
      </c>
      <c r="Z440" s="8">
        <v>2.5000000000000001E-2</v>
      </c>
      <c r="AA440" s="8">
        <v>2.5000000000000001E-2</v>
      </c>
      <c r="AB440" s="8">
        <v>2.5000000000000001E-2</v>
      </c>
      <c r="AC440" s="8">
        <v>2.5000000000000001E-2</v>
      </c>
      <c r="AD440" s="8">
        <v>2.5000000000000001E-2</v>
      </c>
      <c r="AE440" s="8">
        <v>2.5000000000000001E-2</v>
      </c>
      <c r="AF440" s="8">
        <v>2.5000000000000001E-2</v>
      </c>
      <c r="AG440" s="8">
        <v>2.5000000000000001E-2</v>
      </c>
      <c r="AH440" s="8">
        <v>2.5000000000000001E-2</v>
      </c>
      <c r="AI440" s="8">
        <v>2.5000000000000001E-2</v>
      </c>
      <c r="AJ440" s="8">
        <v>2.5000000000000001E-2</v>
      </c>
      <c r="AK440" s="8">
        <v>2.5000000000000001E-2</v>
      </c>
      <c r="AL440" s="8">
        <v>2.5000000000000001E-2</v>
      </c>
      <c r="AM440" s="8">
        <v>2.5000000000000001E-2</v>
      </c>
      <c r="AN440" s="8">
        <v>2.5000000000000001E-2</v>
      </c>
      <c r="AO440" s="8">
        <v>2.5000000000000001E-2</v>
      </c>
      <c r="AP440" s="8">
        <v>2.5000000000000001E-2</v>
      </c>
      <c r="AQ440" s="8">
        <v>2.5000000000000001E-2</v>
      </c>
      <c r="AR440" s="8">
        <v>2.5000000000000001E-2</v>
      </c>
      <c r="AS440" s="8">
        <v>2.5000000000000001E-2</v>
      </c>
      <c r="AT440" s="8">
        <v>2.5000000000000001E-2</v>
      </c>
      <c r="AU440" s="8">
        <v>2.5000000000000001E-2</v>
      </c>
      <c r="AV440" s="8">
        <v>2.5000000000000001E-2</v>
      </c>
      <c r="AW440" s="8">
        <v>2.5000000000000001E-2</v>
      </c>
      <c r="AX440" s="8">
        <v>2.5000000000000001E-2</v>
      </c>
      <c r="AY440" s="8">
        <v>2.5000000000000001E-2</v>
      </c>
      <c r="AZ440" s="8">
        <v>2.5000000000000001E-2</v>
      </c>
      <c r="BA440" s="8">
        <v>2.5000000000000001E-2</v>
      </c>
      <c r="BB440" s="8">
        <v>2.5000000000000001E-2</v>
      </c>
      <c r="BC440" s="8">
        <v>2.5000000000000001E-2</v>
      </c>
      <c r="BD440" s="8">
        <v>2.5000000000000001E-2</v>
      </c>
      <c r="BE440" s="8">
        <v>2.5000000000000001E-2</v>
      </c>
      <c r="BF440" s="8">
        <v>2.5000000000000001E-2</v>
      </c>
      <c r="BG440" s="8">
        <v>2.5000000000000001E-2</v>
      </c>
      <c r="BH440" s="8">
        <v>2.5000000000000001E-2</v>
      </c>
      <c r="BI440" s="8">
        <v>2.5000000000000001E-2</v>
      </c>
      <c r="BJ440" s="8">
        <v>2.5000000000000001E-2</v>
      </c>
      <c r="BK440" s="8">
        <v>2.5000000000000001E-2</v>
      </c>
      <c r="BL440" s="8">
        <v>2.5000000000000001E-2</v>
      </c>
      <c r="BY440" s="8" t="str">
        <f>+_xlfn.XLOOKUP(Table1[[#This Row],[L4 Code]],KIRMATAŞ!B:B,KIRMATAŞ!B:B,"")</f>
        <v/>
      </c>
      <c r="BZ440" s="8" t="str">
        <f>+_xlfn.XLOOKUP(Table1[[#This Row],[L4 Code]],'SU TEMİNİ'!C:C,'SU TEMİNİ'!C:C,"")</f>
        <v/>
      </c>
      <c r="CA440" s="8" t="str">
        <f>+_xlfn.XLOOKUP(Table1[[#This Row],[L4 Code]],TAŞ!C:C,TAŞ!C:C,"")</f>
        <v/>
      </c>
      <c r="CB440" s="8" t="str">
        <f>Table1[[#This Row],[L4 Code]]&amp;"-"&amp;Table1[[#This Row],[T1 Code]]</f>
        <v>E-05.GNL-11.YLC-520-1000</v>
      </c>
    </row>
    <row r="441" spans="1:80">
      <c r="A441" s="3" t="s">
        <v>5444</v>
      </c>
      <c r="B441" t="s">
        <v>4401</v>
      </c>
      <c r="D441" t="s">
        <v>4967</v>
      </c>
      <c r="F441" s="77" t="s">
        <v>4973</v>
      </c>
      <c r="H441" s="3" t="s">
        <v>4984</v>
      </c>
      <c r="I441" s="3"/>
      <c r="J441" s="78"/>
      <c r="K441" s="78"/>
      <c r="M441" s="78"/>
      <c r="X441" s="10"/>
      <c r="Y441" s="8">
        <v>2.5000000000000001E-2</v>
      </c>
      <c r="Z441" s="8">
        <v>2.5000000000000001E-2</v>
      </c>
      <c r="AA441" s="8">
        <v>2.5000000000000001E-2</v>
      </c>
      <c r="AB441" s="8">
        <v>2.5000000000000001E-2</v>
      </c>
      <c r="AC441" s="8">
        <v>2.5000000000000001E-2</v>
      </c>
      <c r="AD441" s="8">
        <v>2.5000000000000001E-2</v>
      </c>
      <c r="AE441" s="8">
        <v>2.5000000000000001E-2</v>
      </c>
      <c r="AF441" s="8">
        <v>2.5000000000000001E-2</v>
      </c>
      <c r="AG441" s="8">
        <v>2.5000000000000001E-2</v>
      </c>
      <c r="AH441" s="8">
        <v>2.5000000000000001E-2</v>
      </c>
      <c r="AI441" s="8">
        <v>2.5000000000000001E-2</v>
      </c>
      <c r="AJ441" s="8">
        <v>2.5000000000000001E-2</v>
      </c>
      <c r="AK441" s="8">
        <v>2.5000000000000001E-2</v>
      </c>
      <c r="AL441" s="8">
        <v>2.5000000000000001E-2</v>
      </c>
      <c r="AM441" s="8">
        <v>2.5000000000000001E-2</v>
      </c>
      <c r="AN441" s="8">
        <v>2.5000000000000001E-2</v>
      </c>
      <c r="AO441" s="8">
        <v>2.5000000000000001E-2</v>
      </c>
      <c r="AP441" s="8">
        <v>2.5000000000000001E-2</v>
      </c>
      <c r="AQ441" s="8">
        <v>2.5000000000000001E-2</v>
      </c>
      <c r="AR441" s="8">
        <v>2.5000000000000001E-2</v>
      </c>
      <c r="AS441" s="8">
        <v>2.5000000000000001E-2</v>
      </c>
      <c r="AT441" s="8">
        <v>2.5000000000000001E-2</v>
      </c>
      <c r="AU441" s="8">
        <v>2.5000000000000001E-2</v>
      </c>
      <c r="AV441" s="8">
        <v>2.5000000000000001E-2</v>
      </c>
      <c r="AW441" s="8">
        <v>2.5000000000000001E-2</v>
      </c>
      <c r="AX441" s="8">
        <v>2.5000000000000001E-2</v>
      </c>
      <c r="AY441" s="8">
        <v>2.5000000000000001E-2</v>
      </c>
      <c r="AZ441" s="8">
        <v>2.5000000000000001E-2</v>
      </c>
      <c r="BA441" s="8">
        <v>2.5000000000000001E-2</v>
      </c>
      <c r="BB441" s="8">
        <v>2.5000000000000001E-2</v>
      </c>
      <c r="BC441" s="8">
        <v>2.5000000000000001E-2</v>
      </c>
      <c r="BD441" s="8">
        <v>2.5000000000000001E-2</v>
      </c>
      <c r="BE441" s="8">
        <v>2.5000000000000001E-2</v>
      </c>
      <c r="BF441" s="8">
        <v>2.5000000000000001E-2</v>
      </c>
      <c r="BG441" s="8">
        <v>2.5000000000000001E-2</v>
      </c>
      <c r="BH441" s="8">
        <v>2.5000000000000001E-2</v>
      </c>
      <c r="BI441" s="8">
        <v>2.5000000000000001E-2</v>
      </c>
      <c r="BJ441" s="8">
        <v>2.5000000000000001E-2</v>
      </c>
      <c r="BK441" s="8">
        <v>2.5000000000000001E-2</v>
      </c>
      <c r="BL441" s="8">
        <v>2.5000000000000001E-2</v>
      </c>
      <c r="BY441" s="8" t="str">
        <f>+_xlfn.XLOOKUP(Table1[[#This Row],[L4 Code]],KIRMATAŞ!B:B,KIRMATAŞ!B:B,"")</f>
        <v/>
      </c>
      <c r="BZ441" s="8" t="str">
        <f>+_xlfn.XLOOKUP(Table1[[#This Row],[L4 Code]],'SU TEMİNİ'!C:C,'SU TEMİNİ'!C:C,"")</f>
        <v/>
      </c>
      <c r="CA441" s="8" t="str">
        <f>+_xlfn.XLOOKUP(Table1[[#This Row],[L4 Code]],TAŞ!C:C,TAŞ!C:C,"")</f>
        <v/>
      </c>
      <c r="CB441" s="8" t="str">
        <f>Table1[[#This Row],[L4 Code]]&amp;"-"&amp;Table1[[#This Row],[T1 Code]]</f>
        <v>E-05.GNL-12.AGR-110-1000</v>
      </c>
    </row>
    <row r="442" spans="1:80">
      <c r="A442" s="3" t="s">
        <v>5444</v>
      </c>
      <c r="B442" t="s">
        <v>4404</v>
      </c>
      <c r="D442" t="s">
        <v>4967</v>
      </c>
      <c r="F442" s="77" t="s">
        <v>4973</v>
      </c>
      <c r="H442" s="3" t="s">
        <v>4984</v>
      </c>
      <c r="I442" s="3"/>
      <c r="J442" s="78"/>
      <c r="K442" s="78"/>
      <c r="M442" s="78"/>
      <c r="X442" s="10"/>
      <c r="Y442" s="8">
        <v>2.5000000000000001E-2</v>
      </c>
      <c r="Z442" s="8">
        <v>2.5000000000000001E-2</v>
      </c>
      <c r="AA442" s="8">
        <v>2.5000000000000001E-2</v>
      </c>
      <c r="AB442" s="8">
        <v>2.5000000000000001E-2</v>
      </c>
      <c r="AC442" s="8">
        <v>2.5000000000000001E-2</v>
      </c>
      <c r="AD442" s="8">
        <v>2.5000000000000001E-2</v>
      </c>
      <c r="AE442" s="8">
        <v>2.5000000000000001E-2</v>
      </c>
      <c r="AF442" s="8">
        <v>2.5000000000000001E-2</v>
      </c>
      <c r="AG442" s="8">
        <v>2.5000000000000001E-2</v>
      </c>
      <c r="AH442" s="8">
        <v>2.5000000000000001E-2</v>
      </c>
      <c r="AI442" s="8">
        <v>2.5000000000000001E-2</v>
      </c>
      <c r="AJ442" s="8">
        <v>2.5000000000000001E-2</v>
      </c>
      <c r="AK442" s="8">
        <v>2.5000000000000001E-2</v>
      </c>
      <c r="AL442" s="8">
        <v>2.5000000000000001E-2</v>
      </c>
      <c r="AM442" s="8">
        <v>2.5000000000000001E-2</v>
      </c>
      <c r="AN442" s="8">
        <v>2.5000000000000001E-2</v>
      </c>
      <c r="AO442" s="8">
        <v>2.5000000000000001E-2</v>
      </c>
      <c r="AP442" s="8">
        <v>2.5000000000000001E-2</v>
      </c>
      <c r="AQ442" s="8">
        <v>2.5000000000000001E-2</v>
      </c>
      <c r="AR442" s="8">
        <v>2.5000000000000001E-2</v>
      </c>
      <c r="AS442" s="8">
        <v>2.5000000000000001E-2</v>
      </c>
      <c r="AT442" s="8">
        <v>2.5000000000000001E-2</v>
      </c>
      <c r="AU442" s="8">
        <v>2.5000000000000001E-2</v>
      </c>
      <c r="AV442" s="8">
        <v>2.5000000000000001E-2</v>
      </c>
      <c r="AW442" s="8">
        <v>2.5000000000000001E-2</v>
      </c>
      <c r="AX442" s="8">
        <v>2.5000000000000001E-2</v>
      </c>
      <c r="AY442" s="8">
        <v>2.5000000000000001E-2</v>
      </c>
      <c r="AZ442" s="8">
        <v>2.5000000000000001E-2</v>
      </c>
      <c r="BA442" s="8">
        <v>2.5000000000000001E-2</v>
      </c>
      <c r="BB442" s="8">
        <v>2.5000000000000001E-2</v>
      </c>
      <c r="BC442" s="8">
        <v>2.5000000000000001E-2</v>
      </c>
      <c r="BD442" s="8">
        <v>2.5000000000000001E-2</v>
      </c>
      <c r="BE442" s="8">
        <v>2.5000000000000001E-2</v>
      </c>
      <c r="BF442" s="8">
        <v>2.5000000000000001E-2</v>
      </c>
      <c r="BG442" s="8">
        <v>2.5000000000000001E-2</v>
      </c>
      <c r="BH442" s="8">
        <v>2.5000000000000001E-2</v>
      </c>
      <c r="BI442" s="8">
        <v>2.5000000000000001E-2</v>
      </c>
      <c r="BJ442" s="8">
        <v>2.5000000000000001E-2</v>
      </c>
      <c r="BK442" s="8">
        <v>2.5000000000000001E-2</v>
      </c>
      <c r="BL442" s="8">
        <v>2.5000000000000001E-2</v>
      </c>
      <c r="BY442" s="8" t="str">
        <f>+_xlfn.XLOOKUP(Table1[[#This Row],[L4 Code]],KIRMATAŞ!B:B,KIRMATAŞ!B:B,"")</f>
        <v/>
      </c>
      <c r="BZ442" s="8" t="str">
        <f>+_xlfn.XLOOKUP(Table1[[#This Row],[L4 Code]],'SU TEMİNİ'!C:C,'SU TEMİNİ'!C:C,"")</f>
        <v/>
      </c>
      <c r="CA442" s="8" t="str">
        <f>+_xlfn.XLOOKUP(Table1[[#This Row],[L4 Code]],TAŞ!C:C,TAŞ!C:C,"")</f>
        <v/>
      </c>
      <c r="CB442" s="8" t="str">
        <f>Table1[[#This Row],[L4 Code]]&amp;"-"&amp;Table1[[#This Row],[T1 Code]]</f>
        <v>E-05.GNL-12.AGR-210-1000</v>
      </c>
    </row>
    <row r="443" spans="1:80">
      <c r="A443" s="3" t="s">
        <v>5444</v>
      </c>
      <c r="B443" t="s">
        <v>5214</v>
      </c>
      <c r="D443" t="s">
        <v>4967</v>
      </c>
      <c r="F443" s="77" t="s">
        <v>4973</v>
      </c>
      <c r="H443" s="3" t="s">
        <v>4984</v>
      </c>
      <c r="I443" s="3"/>
      <c r="J443" s="78"/>
      <c r="K443" s="78"/>
      <c r="M443" s="78"/>
      <c r="X443" s="10"/>
      <c r="Y443" s="8">
        <v>2.5000000000000001E-2</v>
      </c>
      <c r="Z443" s="8">
        <v>2.5000000000000001E-2</v>
      </c>
      <c r="AA443" s="8">
        <v>2.5000000000000001E-2</v>
      </c>
      <c r="AB443" s="8">
        <v>2.5000000000000001E-2</v>
      </c>
      <c r="AC443" s="8">
        <v>2.5000000000000001E-2</v>
      </c>
      <c r="AD443" s="8">
        <v>2.5000000000000001E-2</v>
      </c>
      <c r="AE443" s="8">
        <v>2.5000000000000001E-2</v>
      </c>
      <c r="AF443" s="8">
        <v>2.5000000000000001E-2</v>
      </c>
      <c r="AG443" s="8">
        <v>2.5000000000000001E-2</v>
      </c>
      <c r="AH443" s="8">
        <v>2.5000000000000001E-2</v>
      </c>
      <c r="AI443" s="8">
        <v>2.5000000000000001E-2</v>
      </c>
      <c r="AJ443" s="8">
        <v>2.5000000000000001E-2</v>
      </c>
      <c r="AK443" s="8">
        <v>2.5000000000000001E-2</v>
      </c>
      <c r="AL443" s="8">
        <v>2.5000000000000001E-2</v>
      </c>
      <c r="AM443" s="8">
        <v>2.5000000000000001E-2</v>
      </c>
      <c r="AN443" s="8">
        <v>2.5000000000000001E-2</v>
      </c>
      <c r="AO443" s="8">
        <v>2.5000000000000001E-2</v>
      </c>
      <c r="AP443" s="8">
        <v>2.5000000000000001E-2</v>
      </c>
      <c r="AQ443" s="8">
        <v>2.5000000000000001E-2</v>
      </c>
      <c r="AR443" s="8">
        <v>2.5000000000000001E-2</v>
      </c>
      <c r="AS443" s="8">
        <v>2.5000000000000001E-2</v>
      </c>
      <c r="AT443" s="8">
        <v>2.5000000000000001E-2</v>
      </c>
      <c r="AU443" s="8">
        <v>2.5000000000000001E-2</v>
      </c>
      <c r="AV443" s="8">
        <v>2.5000000000000001E-2</v>
      </c>
      <c r="AW443" s="8">
        <v>2.5000000000000001E-2</v>
      </c>
      <c r="AX443" s="8">
        <v>2.5000000000000001E-2</v>
      </c>
      <c r="AY443" s="8">
        <v>2.5000000000000001E-2</v>
      </c>
      <c r="AZ443" s="8">
        <v>2.5000000000000001E-2</v>
      </c>
      <c r="BA443" s="8">
        <v>2.5000000000000001E-2</v>
      </c>
      <c r="BB443" s="8">
        <v>2.5000000000000001E-2</v>
      </c>
      <c r="BC443" s="8">
        <v>2.5000000000000001E-2</v>
      </c>
      <c r="BD443" s="8">
        <v>2.5000000000000001E-2</v>
      </c>
      <c r="BE443" s="8">
        <v>2.5000000000000001E-2</v>
      </c>
      <c r="BF443" s="8">
        <v>2.5000000000000001E-2</v>
      </c>
      <c r="BG443" s="8">
        <v>2.5000000000000001E-2</v>
      </c>
      <c r="BH443" s="8">
        <v>2.5000000000000001E-2</v>
      </c>
      <c r="BI443" s="8">
        <v>2.5000000000000001E-2</v>
      </c>
      <c r="BJ443" s="8">
        <v>2.5000000000000001E-2</v>
      </c>
      <c r="BK443" s="8">
        <v>2.5000000000000001E-2</v>
      </c>
      <c r="BL443" s="8">
        <v>2.5000000000000001E-2</v>
      </c>
      <c r="BY443" s="8" t="str">
        <f>+_xlfn.XLOOKUP(Table1[[#This Row],[L4 Code]],KIRMATAŞ!B:B,KIRMATAŞ!B:B,"")</f>
        <v/>
      </c>
      <c r="BZ443" s="8" t="str">
        <f>+_xlfn.XLOOKUP(Table1[[#This Row],[L4 Code]],'SU TEMİNİ'!C:C,'SU TEMİNİ'!C:C,"")</f>
        <v/>
      </c>
      <c r="CA443" s="8" t="str">
        <f>+_xlfn.XLOOKUP(Table1[[#This Row],[L4 Code]],TAŞ!C:C,TAŞ!C:C,"")</f>
        <v/>
      </c>
      <c r="CB443" s="8" t="str">
        <f>Table1[[#This Row],[L4 Code]]&amp;"-"&amp;Table1[[#This Row],[T1 Code]]</f>
        <v>E-05.GNL-12.AGR-211-1000</v>
      </c>
    </row>
    <row r="444" spans="1:80">
      <c r="A444" s="3" t="s">
        <v>5444</v>
      </c>
      <c r="B444" t="s">
        <v>4411</v>
      </c>
      <c r="D444" t="s">
        <v>4967</v>
      </c>
      <c r="F444" s="77" t="s">
        <v>4973</v>
      </c>
      <c r="H444" s="3" t="s">
        <v>4984</v>
      </c>
      <c r="I444" s="3"/>
      <c r="J444" s="78"/>
      <c r="K444" s="78"/>
      <c r="M444" s="78"/>
      <c r="X444" s="10"/>
      <c r="Y444" s="8">
        <v>2.5000000000000001E-2</v>
      </c>
      <c r="Z444" s="8">
        <v>2.5000000000000001E-2</v>
      </c>
      <c r="AA444" s="8">
        <v>2.5000000000000001E-2</v>
      </c>
      <c r="AB444" s="8">
        <v>2.5000000000000001E-2</v>
      </c>
      <c r="AC444" s="8">
        <v>2.5000000000000001E-2</v>
      </c>
      <c r="AD444" s="8">
        <v>2.5000000000000001E-2</v>
      </c>
      <c r="AE444" s="8">
        <v>2.5000000000000001E-2</v>
      </c>
      <c r="AF444" s="8">
        <v>2.5000000000000001E-2</v>
      </c>
      <c r="AG444" s="8">
        <v>2.5000000000000001E-2</v>
      </c>
      <c r="AH444" s="8">
        <v>2.5000000000000001E-2</v>
      </c>
      <c r="AI444" s="8">
        <v>2.5000000000000001E-2</v>
      </c>
      <c r="AJ444" s="8">
        <v>2.5000000000000001E-2</v>
      </c>
      <c r="AK444" s="8">
        <v>2.5000000000000001E-2</v>
      </c>
      <c r="AL444" s="8">
        <v>2.5000000000000001E-2</v>
      </c>
      <c r="AM444" s="8">
        <v>2.5000000000000001E-2</v>
      </c>
      <c r="AN444" s="8">
        <v>2.5000000000000001E-2</v>
      </c>
      <c r="AO444" s="8">
        <v>2.5000000000000001E-2</v>
      </c>
      <c r="AP444" s="8">
        <v>2.5000000000000001E-2</v>
      </c>
      <c r="AQ444" s="8">
        <v>2.5000000000000001E-2</v>
      </c>
      <c r="AR444" s="8">
        <v>2.5000000000000001E-2</v>
      </c>
      <c r="AS444" s="8">
        <v>2.5000000000000001E-2</v>
      </c>
      <c r="AT444" s="8">
        <v>2.5000000000000001E-2</v>
      </c>
      <c r="AU444" s="8">
        <v>2.5000000000000001E-2</v>
      </c>
      <c r="AV444" s="8">
        <v>2.5000000000000001E-2</v>
      </c>
      <c r="AW444" s="8">
        <v>2.5000000000000001E-2</v>
      </c>
      <c r="AX444" s="8">
        <v>2.5000000000000001E-2</v>
      </c>
      <c r="AY444" s="8">
        <v>2.5000000000000001E-2</v>
      </c>
      <c r="AZ444" s="8">
        <v>2.5000000000000001E-2</v>
      </c>
      <c r="BA444" s="8">
        <v>2.5000000000000001E-2</v>
      </c>
      <c r="BB444" s="8">
        <v>2.5000000000000001E-2</v>
      </c>
      <c r="BC444" s="8">
        <v>2.5000000000000001E-2</v>
      </c>
      <c r="BD444" s="8">
        <v>2.5000000000000001E-2</v>
      </c>
      <c r="BE444" s="8">
        <v>2.5000000000000001E-2</v>
      </c>
      <c r="BF444" s="8">
        <v>2.5000000000000001E-2</v>
      </c>
      <c r="BG444" s="8">
        <v>2.5000000000000001E-2</v>
      </c>
      <c r="BH444" s="8">
        <v>2.5000000000000001E-2</v>
      </c>
      <c r="BI444" s="8">
        <v>2.5000000000000001E-2</v>
      </c>
      <c r="BJ444" s="8">
        <v>2.5000000000000001E-2</v>
      </c>
      <c r="BK444" s="8">
        <v>2.5000000000000001E-2</v>
      </c>
      <c r="BL444" s="8">
        <v>2.5000000000000001E-2</v>
      </c>
      <c r="BY444" s="8" t="str">
        <f>+_xlfn.XLOOKUP(Table1[[#This Row],[L4 Code]],KIRMATAŞ!B:B,KIRMATAŞ!B:B,"")</f>
        <v/>
      </c>
      <c r="BZ444" s="8" t="str">
        <f>+_xlfn.XLOOKUP(Table1[[#This Row],[L4 Code]],'SU TEMİNİ'!C:C,'SU TEMİNİ'!C:C,"")</f>
        <v/>
      </c>
      <c r="CA444" s="8" t="str">
        <f>+_xlfn.XLOOKUP(Table1[[#This Row],[L4 Code]],TAŞ!C:C,TAŞ!C:C,"")</f>
        <v/>
      </c>
      <c r="CB444" s="8" t="str">
        <f>Table1[[#This Row],[L4 Code]]&amp;"-"&amp;Table1[[#This Row],[T1 Code]]</f>
        <v>E-05.GNL-13.TBK-110-1000</v>
      </c>
    </row>
    <row r="445" spans="1:80">
      <c r="A445" s="3" t="s">
        <v>5444</v>
      </c>
      <c r="B445" t="s">
        <v>4413</v>
      </c>
      <c r="D445" t="s">
        <v>4967</v>
      </c>
      <c r="F445" s="77" t="s">
        <v>4973</v>
      </c>
      <c r="H445" s="3" t="s">
        <v>4984</v>
      </c>
      <c r="I445" s="3"/>
      <c r="J445" s="78"/>
      <c r="K445" s="78"/>
      <c r="M445" s="78"/>
      <c r="X445" s="10"/>
      <c r="Y445" s="8">
        <v>2.5000000000000001E-2</v>
      </c>
      <c r="Z445" s="8">
        <v>2.5000000000000001E-2</v>
      </c>
      <c r="AA445" s="8">
        <v>2.5000000000000001E-2</v>
      </c>
      <c r="AB445" s="8">
        <v>2.5000000000000001E-2</v>
      </c>
      <c r="AC445" s="8">
        <v>2.5000000000000001E-2</v>
      </c>
      <c r="AD445" s="8">
        <v>2.5000000000000001E-2</v>
      </c>
      <c r="AE445" s="8">
        <v>2.5000000000000001E-2</v>
      </c>
      <c r="AF445" s="8">
        <v>2.5000000000000001E-2</v>
      </c>
      <c r="AG445" s="8">
        <v>2.5000000000000001E-2</v>
      </c>
      <c r="AH445" s="8">
        <v>2.5000000000000001E-2</v>
      </c>
      <c r="AI445" s="8">
        <v>2.5000000000000001E-2</v>
      </c>
      <c r="AJ445" s="8">
        <v>2.5000000000000001E-2</v>
      </c>
      <c r="AK445" s="8">
        <v>2.5000000000000001E-2</v>
      </c>
      <c r="AL445" s="8">
        <v>2.5000000000000001E-2</v>
      </c>
      <c r="AM445" s="8">
        <v>2.5000000000000001E-2</v>
      </c>
      <c r="AN445" s="8">
        <v>2.5000000000000001E-2</v>
      </c>
      <c r="AO445" s="8">
        <v>2.5000000000000001E-2</v>
      </c>
      <c r="AP445" s="8">
        <v>2.5000000000000001E-2</v>
      </c>
      <c r="AQ445" s="8">
        <v>2.5000000000000001E-2</v>
      </c>
      <c r="AR445" s="8">
        <v>2.5000000000000001E-2</v>
      </c>
      <c r="AS445" s="8">
        <v>2.5000000000000001E-2</v>
      </c>
      <c r="AT445" s="8">
        <v>2.5000000000000001E-2</v>
      </c>
      <c r="AU445" s="8">
        <v>2.5000000000000001E-2</v>
      </c>
      <c r="AV445" s="8">
        <v>2.5000000000000001E-2</v>
      </c>
      <c r="AW445" s="8">
        <v>2.5000000000000001E-2</v>
      </c>
      <c r="AX445" s="8">
        <v>2.5000000000000001E-2</v>
      </c>
      <c r="AY445" s="8">
        <v>2.5000000000000001E-2</v>
      </c>
      <c r="AZ445" s="8">
        <v>2.5000000000000001E-2</v>
      </c>
      <c r="BA445" s="8">
        <v>2.5000000000000001E-2</v>
      </c>
      <c r="BB445" s="8">
        <v>2.5000000000000001E-2</v>
      </c>
      <c r="BC445" s="8">
        <v>2.5000000000000001E-2</v>
      </c>
      <c r="BD445" s="8">
        <v>2.5000000000000001E-2</v>
      </c>
      <c r="BE445" s="8">
        <v>2.5000000000000001E-2</v>
      </c>
      <c r="BF445" s="8">
        <v>2.5000000000000001E-2</v>
      </c>
      <c r="BG445" s="8">
        <v>2.5000000000000001E-2</v>
      </c>
      <c r="BH445" s="8">
        <v>2.5000000000000001E-2</v>
      </c>
      <c r="BI445" s="8">
        <v>2.5000000000000001E-2</v>
      </c>
      <c r="BJ445" s="8">
        <v>2.5000000000000001E-2</v>
      </c>
      <c r="BK445" s="8">
        <v>2.5000000000000001E-2</v>
      </c>
      <c r="BL445" s="8">
        <v>2.5000000000000001E-2</v>
      </c>
      <c r="BY445" s="8" t="str">
        <f>+_xlfn.XLOOKUP(Table1[[#This Row],[L4 Code]],KIRMATAŞ!B:B,KIRMATAŞ!B:B,"")</f>
        <v/>
      </c>
      <c r="BZ445" s="8" t="str">
        <f>+_xlfn.XLOOKUP(Table1[[#This Row],[L4 Code]],'SU TEMİNİ'!C:C,'SU TEMİNİ'!C:C,"")</f>
        <v/>
      </c>
      <c r="CA445" s="8" t="str">
        <f>+_xlfn.XLOOKUP(Table1[[#This Row],[L4 Code]],TAŞ!C:C,TAŞ!C:C,"")</f>
        <v/>
      </c>
      <c r="CB445" s="8" t="str">
        <f>Table1[[#This Row],[L4 Code]]&amp;"-"&amp;Table1[[#This Row],[T1 Code]]</f>
        <v>E-05.GNL-13.TBK-510-1000</v>
      </c>
    </row>
    <row r="446" spans="1:80">
      <c r="A446" s="3" t="s">
        <v>5444</v>
      </c>
      <c r="B446" t="s">
        <v>4423</v>
      </c>
      <c r="D446" t="s">
        <v>4967</v>
      </c>
      <c r="F446" s="77" t="s">
        <v>4973</v>
      </c>
      <c r="H446" s="3" t="s">
        <v>4984</v>
      </c>
      <c r="I446" s="3"/>
      <c r="J446" s="78"/>
      <c r="K446" s="78"/>
      <c r="M446" s="78"/>
      <c r="X446" s="10"/>
      <c r="Y446" s="8">
        <v>2.5000000000000001E-2</v>
      </c>
      <c r="Z446" s="8">
        <v>2.5000000000000001E-2</v>
      </c>
      <c r="AA446" s="8">
        <v>2.5000000000000001E-2</v>
      </c>
      <c r="AB446" s="8">
        <v>2.5000000000000001E-2</v>
      </c>
      <c r="AC446" s="8">
        <v>2.5000000000000001E-2</v>
      </c>
      <c r="AD446" s="8">
        <v>2.5000000000000001E-2</v>
      </c>
      <c r="AE446" s="8">
        <v>2.5000000000000001E-2</v>
      </c>
      <c r="AF446" s="8">
        <v>2.5000000000000001E-2</v>
      </c>
      <c r="AG446" s="8">
        <v>2.5000000000000001E-2</v>
      </c>
      <c r="AH446" s="8">
        <v>2.5000000000000001E-2</v>
      </c>
      <c r="AI446" s="8">
        <v>2.5000000000000001E-2</v>
      </c>
      <c r="AJ446" s="8">
        <v>2.5000000000000001E-2</v>
      </c>
      <c r="AK446" s="8">
        <v>2.5000000000000001E-2</v>
      </c>
      <c r="AL446" s="8">
        <v>2.5000000000000001E-2</v>
      </c>
      <c r="AM446" s="8">
        <v>2.5000000000000001E-2</v>
      </c>
      <c r="AN446" s="8">
        <v>2.5000000000000001E-2</v>
      </c>
      <c r="AO446" s="8">
        <v>2.5000000000000001E-2</v>
      </c>
      <c r="AP446" s="8">
        <v>2.5000000000000001E-2</v>
      </c>
      <c r="AQ446" s="8">
        <v>2.5000000000000001E-2</v>
      </c>
      <c r="AR446" s="8">
        <v>2.5000000000000001E-2</v>
      </c>
      <c r="AS446" s="8">
        <v>2.5000000000000001E-2</v>
      </c>
      <c r="AT446" s="8">
        <v>2.5000000000000001E-2</v>
      </c>
      <c r="AU446" s="8">
        <v>2.5000000000000001E-2</v>
      </c>
      <c r="AV446" s="8">
        <v>2.5000000000000001E-2</v>
      </c>
      <c r="AW446" s="8">
        <v>2.5000000000000001E-2</v>
      </c>
      <c r="AX446" s="8">
        <v>2.5000000000000001E-2</v>
      </c>
      <c r="AY446" s="8">
        <v>2.5000000000000001E-2</v>
      </c>
      <c r="AZ446" s="8">
        <v>2.5000000000000001E-2</v>
      </c>
      <c r="BA446" s="8">
        <v>2.5000000000000001E-2</v>
      </c>
      <c r="BB446" s="8">
        <v>2.5000000000000001E-2</v>
      </c>
      <c r="BC446" s="8">
        <v>2.5000000000000001E-2</v>
      </c>
      <c r="BD446" s="8">
        <v>2.5000000000000001E-2</v>
      </c>
      <c r="BE446" s="8">
        <v>2.5000000000000001E-2</v>
      </c>
      <c r="BF446" s="8">
        <v>2.5000000000000001E-2</v>
      </c>
      <c r="BG446" s="8">
        <v>2.5000000000000001E-2</v>
      </c>
      <c r="BH446" s="8">
        <v>2.5000000000000001E-2</v>
      </c>
      <c r="BI446" s="8">
        <v>2.5000000000000001E-2</v>
      </c>
      <c r="BJ446" s="8">
        <v>2.5000000000000001E-2</v>
      </c>
      <c r="BK446" s="8">
        <v>2.5000000000000001E-2</v>
      </c>
      <c r="BL446" s="8">
        <v>2.5000000000000001E-2</v>
      </c>
      <c r="BY446" s="8" t="str">
        <f>+_xlfn.XLOOKUP(Table1[[#This Row],[L4 Code]],KIRMATAŞ!B:B,KIRMATAŞ!B:B,"")</f>
        <v/>
      </c>
      <c r="BZ446" s="8" t="str">
        <f>+_xlfn.XLOOKUP(Table1[[#This Row],[L4 Code]],'SU TEMİNİ'!C:C,'SU TEMİNİ'!C:C,"")</f>
        <v/>
      </c>
      <c r="CA446" s="8" t="str">
        <f>+_xlfn.XLOOKUP(Table1[[#This Row],[L4 Code]],TAŞ!C:C,TAŞ!C:C,"")</f>
        <v/>
      </c>
      <c r="CB446" s="8" t="str">
        <f>Table1[[#This Row],[L4 Code]]&amp;"-"&amp;Table1[[#This Row],[T1 Code]]</f>
        <v>E-05.GNL-15.GUV-110-1000</v>
      </c>
    </row>
    <row r="447" spans="1:80">
      <c r="A447" s="3" t="s">
        <v>5444</v>
      </c>
      <c r="B447" t="s">
        <v>5220</v>
      </c>
      <c r="D447" t="s">
        <v>4967</v>
      </c>
      <c r="F447" s="77" t="s">
        <v>4973</v>
      </c>
      <c r="H447" s="3" t="s">
        <v>4984</v>
      </c>
      <c r="I447" s="3"/>
      <c r="J447" s="78"/>
      <c r="K447" s="78"/>
      <c r="M447" s="78"/>
      <c r="X447" s="10"/>
      <c r="Y447" s="8">
        <v>2.5000000000000001E-2</v>
      </c>
      <c r="Z447" s="8">
        <v>2.5000000000000001E-2</v>
      </c>
      <c r="AA447" s="8">
        <v>2.5000000000000001E-2</v>
      </c>
      <c r="AB447" s="8">
        <v>2.5000000000000001E-2</v>
      </c>
      <c r="AC447" s="8">
        <v>2.5000000000000001E-2</v>
      </c>
      <c r="AD447" s="8">
        <v>2.5000000000000001E-2</v>
      </c>
      <c r="AE447" s="8">
        <v>2.5000000000000001E-2</v>
      </c>
      <c r="AF447" s="8">
        <v>2.5000000000000001E-2</v>
      </c>
      <c r="AG447" s="8">
        <v>2.5000000000000001E-2</v>
      </c>
      <c r="AH447" s="8">
        <v>2.5000000000000001E-2</v>
      </c>
      <c r="AI447" s="8">
        <v>2.5000000000000001E-2</v>
      </c>
      <c r="AJ447" s="8">
        <v>2.5000000000000001E-2</v>
      </c>
      <c r="AK447" s="8">
        <v>2.5000000000000001E-2</v>
      </c>
      <c r="AL447" s="8">
        <v>2.5000000000000001E-2</v>
      </c>
      <c r="AM447" s="8">
        <v>2.5000000000000001E-2</v>
      </c>
      <c r="AN447" s="8">
        <v>2.5000000000000001E-2</v>
      </c>
      <c r="AO447" s="8">
        <v>2.5000000000000001E-2</v>
      </c>
      <c r="AP447" s="8">
        <v>2.5000000000000001E-2</v>
      </c>
      <c r="AQ447" s="8">
        <v>2.5000000000000001E-2</v>
      </c>
      <c r="AR447" s="8">
        <v>2.5000000000000001E-2</v>
      </c>
      <c r="AS447" s="8">
        <v>2.5000000000000001E-2</v>
      </c>
      <c r="AT447" s="8">
        <v>2.5000000000000001E-2</v>
      </c>
      <c r="AU447" s="8">
        <v>2.5000000000000001E-2</v>
      </c>
      <c r="AV447" s="8">
        <v>2.5000000000000001E-2</v>
      </c>
      <c r="AW447" s="8">
        <v>2.5000000000000001E-2</v>
      </c>
      <c r="AX447" s="8">
        <v>2.5000000000000001E-2</v>
      </c>
      <c r="AY447" s="8">
        <v>2.5000000000000001E-2</v>
      </c>
      <c r="AZ447" s="8">
        <v>2.5000000000000001E-2</v>
      </c>
      <c r="BA447" s="8">
        <v>2.5000000000000001E-2</v>
      </c>
      <c r="BB447" s="8">
        <v>2.5000000000000001E-2</v>
      </c>
      <c r="BC447" s="8">
        <v>2.5000000000000001E-2</v>
      </c>
      <c r="BD447" s="8">
        <v>2.5000000000000001E-2</v>
      </c>
      <c r="BE447" s="8">
        <v>2.5000000000000001E-2</v>
      </c>
      <c r="BF447" s="8">
        <v>2.5000000000000001E-2</v>
      </c>
      <c r="BG447" s="8">
        <v>2.5000000000000001E-2</v>
      </c>
      <c r="BH447" s="8">
        <v>2.5000000000000001E-2</v>
      </c>
      <c r="BI447" s="8">
        <v>2.5000000000000001E-2</v>
      </c>
      <c r="BJ447" s="8">
        <v>2.5000000000000001E-2</v>
      </c>
      <c r="BK447" s="8">
        <v>2.5000000000000001E-2</v>
      </c>
      <c r="BL447" s="8">
        <v>2.5000000000000001E-2</v>
      </c>
      <c r="BY447" s="8" t="str">
        <f>+_xlfn.XLOOKUP(Table1[[#This Row],[L4 Code]],KIRMATAŞ!B:B,KIRMATAŞ!B:B,"")</f>
        <v/>
      </c>
      <c r="BZ447" s="8" t="str">
        <f>+_xlfn.XLOOKUP(Table1[[#This Row],[L4 Code]],'SU TEMİNİ'!C:C,'SU TEMİNİ'!C:C,"")</f>
        <v/>
      </c>
      <c r="CA447" s="8" t="str">
        <f>+_xlfn.XLOOKUP(Table1[[#This Row],[L4 Code]],TAŞ!C:C,TAŞ!C:C,"")</f>
        <v/>
      </c>
      <c r="CB447" s="8" t="str">
        <f>Table1[[#This Row],[L4 Code]]&amp;"-"&amp;Table1[[#This Row],[T1 Code]]</f>
        <v>E-05.GNL-15.GUV-111-1000</v>
      </c>
    </row>
    <row r="448" spans="1:80">
      <c r="A448" s="3" t="s">
        <v>5444</v>
      </c>
      <c r="B448" t="s">
        <v>4444</v>
      </c>
      <c r="D448" t="s">
        <v>4967</v>
      </c>
      <c r="F448" s="77" t="s">
        <v>4973</v>
      </c>
      <c r="H448" s="3" t="s">
        <v>4984</v>
      </c>
      <c r="I448" s="3"/>
      <c r="J448" s="78"/>
      <c r="K448" s="78"/>
      <c r="M448" s="78"/>
      <c r="X448" s="10"/>
      <c r="Y448" s="8">
        <v>2.5000000000000001E-2</v>
      </c>
      <c r="Z448" s="8">
        <v>2.5000000000000001E-2</v>
      </c>
      <c r="AA448" s="8">
        <v>2.5000000000000001E-2</v>
      </c>
      <c r="AB448" s="8">
        <v>2.5000000000000001E-2</v>
      </c>
      <c r="AC448" s="8">
        <v>2.5000000000000001E-2</v>
      </c>
      <c r="AD448" s="8">
        <v>2.5000000000000001E-2</v>
      </c>
      <c r="AE448" s="8">
        <v>2.5000000000000001E-2</v>
      </c>
      <c r="AF448" s="8">
        <v>2.5000000000000001E-2</v>
      </c>
      <c r="AG448" s="8">
        <v>2.5000000000000001E-2</v>
      </c>
      <c r="AH448" s="8">
        <v>2.5000000000000001E-2</v>
      </c>
      <c r="AI448" s="8">
        <v>2.5000000000000001E-2</v>
      </c>
      <c r="AJ448" s="8">
        <v>2.5000000000000001E-2</v>
      </c>
      <c r="AK448" s="8">
        <v>2.5000000000000001E-2</v>
      </c>
      <c r="AL448" s="8">
        <v>2.5000000000000001E-2</v>
      </c>
      <c r="AM448" s="8">
        <v>2.5000000000000001E-2</v>
      </c>
      <c r="AN448" s="8">
        <v>2.5000000000000001E-2</v>
      </c>
      <c r="AO448" s="8">
        <v>2.5000000000000001E-2</v>
      </c>
      <c r="AP448" s="8">
        <v>2.5000000000000001E-2</v>
      </c>
      <c r="AQ448" s="8">
        <v>2.5000000000000001E-2</v>
      </c>
      <c r="AR448" s="8">
        <v>2.5000000000000001E-2</v>
      </c>
      <c r="AS448" s="8">
        <v>2.5000000000000001E-2</v>
      </c>
      <c r="AT448" s="8">
        <v>2.5000000000000001E-2</v>
      </c>
      <c r="AU448" s="8">
        <v>2.5000000000000001E-2</v>
      </c>
      <c r="AV448" s="8">
        <v>2.5000000000000001E-2</v>
      </c>
      <c r="AW448" s="8">
        <v>2.5000000000000001E-2</v>
      </c>
      <c r="AX448" s="8">
        <v>2.5000000000000001E-2</v>
      </c>
      <c r="AY448" s="8">
        <v>2.5000000000000001E-2</v>
      </c>
      <c r="AZ448" s="8">
        <v>2.5000000000000001E-2</v>
      </c>
      <c r="BA448" s="8">
        <v>2.5000000000000001E-2</v>
      </c>
      <c r="BB448" s="8">
        <v>2.5000000000000001E-2</v>
      </c>
      <c r="BC448" s="8">
        <v>2.5000000000000001E-2</v>
      </c>
      <c r="BD448" s="8">
        <v>2.5000000000000001E-2</v>
      </c>
      <c r="BE448" s="8">
        <v>2.5000000000000001E-2</v>
      </c>
      <c r="BF448" s="8">
        <v>2.5000000000000001E-2</v>
      </c>
      <c r="BG448" s="8">
        <v>2.5000000000000001E-2</v>
      </c>
      <c r="BH448" s="8">
        <v>2.5000000000000001E-2</v>
      </c>
      <c r="BI448" s="8">
        <v>2.5000000000000001E-2</v>
      </c>
      <c r="BJ448" s="8">
        <v>2.5000000000000001E-2</v>
      </c>
      <c r="BK448" s="8">
        <v>2.5000000000000001E-2</v>
      </c>
      <c r="BL448" s="8">
        <v>2.5000000000000001E-2</v>
      </c>
      <c r="BY448" s="8" t="str">
        <f>+_xlfn.XLOOKUP(Table1[[#This Row],[L4 Code]],KIRMATAŞ!B:B,KIRMATAŞ!B:B,"")</f>
        <v/>
      </c>
      <c r="BZ448" s="8" t="str">
        <f>+_xlfn.XLOOKUP(Table1[[#This Row],[L4 Code]],'SU TEMİNİ'!C:C,'SU TEMİNİ'!C:C,"")</f>
        <v/>
      </c>
      <c r="CA448" s="8" t="str">
        <f>+_xlfn.XLOOKUP(Table1[[#This Row],[L4 Code]],TAŞ!C:C,TAŞ!C:C,"")</f>
        <v/>
      </c>
      <c r="CB448" s="8" t="str">
        <f>Table1[[#This Row],[L4 Code]]&amp;"-"&amp;Table1[[#This Row],[T1 Code]]</f>
        <v>E-05.GNL-19.TNT-110-1000</v>
      </c>
    </row>
    <row r="449" spans="1:80">
      <c r="A449" s="3" t="s">
        <v>5444</v>
      </c>
      <c r="B449" t="s">
        <v>4446</v>
      </c>
      <c r="D449" t="s">
        <v>4967</v>
      </c>
      <c r="F449" s="77" t="s">
        <v>4973</v>
      </c>
      <c r="H449" s="3" t="s">
        <v>4984</v>
      </c>
      <c r="I449" s="3"/>
      <c r="J449" s="78"/>
      <c r="K449" s="78"/>
      <c r="M449" s="78"/>
      <c r="X449" s="10"/>
      <c r="Y449" s="8">
        <v>2.5000000000000001E-2</v>
      </c>
      <c r="Z449" s="8">
        <v>2.5000000000000001E-2</v>
      </c>
      <c r="AA449" s="8">
        <v>2.5000000000000001E-2</v>
      </c>
      <c r="AB449" s="8">
        <v>2.5000000000000001E-2</v>
      </c>
      <c r="AC449" s="8">
        <v>2.5000000000000001E-2</v>
      </c>
      <c r="AD449" s="8">
        <v>2.5000000000000001E-2</v>
      </c>
      <c r="AE449" s="8">
        <v>2.5000000000000001E-2</v>
      </c>
      <c r="AF449" s="8">
        <v>2.5000000000000001E-2</v>
      </c>
      <c r="AG449" s="8">
        <v>2.5000000000000001E-2</v>
      </c>
      <c r="AH449" s="8">
        <v>2.5000000000000001E-2</v>
      </c>
      <c r="AI449" s="8">
        <v>2.5000000000000001E-2</v>
      </c>
      <c r="AJ449" s="8">
        <v>2.5000000000000001E-2</v>
      </c>
      <c r="AK449" s="8">
        <v>2.5000000000000001E-2</v>
      </c>
      <c r="AL449" s="8">
        <v>2.5000000000000001E-2</v>
      </c>
      <c r="AM449" s="8">
        <v>2.5000000000000001E-2</v>
      </c>
      <c r="AN449" s="8">
        <v>2.5000000000000001E-2</v>
      </c>
      <c r="AO449" s="8">
        <v>2.5000000000000001E-2</v>
      </c>
      <c r="AP449" s="8">
        <v>2.5000000000000001E-2</v>
      </c>
      <c r="AQ449" s="8">
        <v>2.5000000000000001E-2</v>
      </c>
      <c r="AR449" s="8">
        <v>2.5000000000000001E-2</v>
      </c>
      <c r="AS449" s="8">
        <v>2.5000000000000001E-2</v>
      </c>
      <c r="AT449" s="8">
        <v>2.5000000000000001E-2</v>
      </c>
      <c r="AU449" s="8">
        <v>2.5000000000000001E-2</v>
      </c>
      <c r="AV449" s="8">
        <v>2.5000000000000001E-2</v>
      </c>
      <c r="AW449" s="8">
        <v>2.5000000000000001E-2</v>
      </c>
      <c r="AX449" s="8">
        <v>2.5000000000000001E-2</v>
      </c>
      <c r="AY449" s="8">
        <v>2.5000000000000001E-2</v>
      </c>
      <c r="AZ449" s="8">
        <v>2.5000000000000001E-2</v>
      </c>
      <c r="BA449" s="8">
        <v>2.5000000000000001E-2</v>
      </c>
      <c r="BB449" s="8">
        <v>2.5000000000000001E-2</v>
      </c>
      <c r="BC449" s="8">
        <v>2.5000000000000001E-2</v>
      </c>
      <c r="BD449" s="8">
        <v>2.5000000000000001E-2</v>
      </c>
      <c r="BE449" s="8">
        <v>2.5000000000000001E-2</v>
      </c>
      <c r="BF449" s="8">
        <v>2.5000000000000001E-2</v>
      </c>
      <c r="BG449" s="8">
        <v>2.5000000000000001E-2</v>
      </c>
      <c r="BH449" s="8">
        <v>2.5000000000000001E-2</v>
      </c>
      <c r="BI449" s="8">
        <v>2.5000000000000001E-2</v>
      </c>
      <c r="BJ449" s="8">
        <v>2.5000000000000001E-2</v>
      </c>
      <c r="BK449" s="8">
        <v>2.5000000000000001E-2</v>
      </c>
      <c r="BL449" s="8">
        <v>2.5000000000000001E-2</v>
      </c>
      <c r="BY449" s="8" t="str">
        <f>+_xlfn.XLOOKUP(Table1[[#This Row],[L4 Code]],KIRMATAŞ!B:B,KIRMATAŞ!B:B,"")</f>
        <v/>
      </c>
      <c r="BZ449" s="8" t="str">
        <f>+_xlfn.XLOOKUP(Table1[[#This Row],[L4 Code]],'SU TEMİNİ'!C:C,'SU TEMİNİ'!C:C,"")</f>
        <v/>
      </c>
      <c r="CA449" s="8" t="str">
        <f>+_xlfn.XLOOKUP(Table1[[#This Row],[L4 Code]],TAŞ!C:C,TAŞ!C:C,"")</f>
        <v/>
      </c>
      <c r="CB449" s="8" t="str">
        <f>Table1[[#This Row],[L4 Code]]&amp;"-"&amp;Table1[[#This Row],[T1 Code]]</f>
        <v>E-05.GNL-19.TNT-120-1000</v>
      </c>
    </row>
    <row r="450" spans="1:80">
      <c r="A450" s="3" t="s">
        <v>5444</v>
      </c>
      <c r="B450" t="s">
        <v>4453</v>
      </c>
      <c r="D450" t="s">
        <v>4967</v>
      </c>
      <c r="F450" s="77" t="s">
        <v>4973</v>
      </c>
      <c r="H450" s="3" t="s">
        <v>4984</v>
      </c>
      <c r="I450" s="3"/>
      <c r="J450" s="78"/>
      <c r="K450" s="78"/>
      <c r="M450" s="78"/>
      <c r="X450" s="10"/>
      <c r="Y450" s="8">
        <v>2.5000000000000001E-2</v>
      </c>
      <c r="Z450" s="8">
        <v>2.5000000000000001E-2</v>
      </c>
      <c r="AA450" s="8">
        <v>2.5000000000000001E-2</v>
      </c>
      <c r="AB450" s="8">
        <v>2.5000000000000001E-2</v>
      </c>
      <c r="AC450" s="8">
        <v>2.5000000000000001E-2</v>
      </c>
      <c r="AD450" s="8">
        <v>2.5000000000000001E-2</v>
      </c>
      <c r="AE450" s="8">
        <v>2.5000000000000001E-2</v>
      </c>
      <c r="AF450" s="8">
        <v>2.5000000000000001E-2</v>
      </c>
      <c r="AG450" s="8">
        <v>2.5000000000000001E-2</v>
      </c>
      <c r="AH450" s="8">
        <v>2.5000000000000001E-2</v>
      </c>
      <c r="AI450" s="8">
        <v>2.5000000000000001E-2</v>
      </c>
      <c r="AJ450" s="8">
        <v>2.5000000000000001E-2</v>
      </c>
      <c r="AK450" s="8">
        <v>2.5000000000000001E-2</v>
      </c>
      <c r="AL450" s="8">
        <v>2.5000000000000001E-2</v>
      </c>
      <c r="AM450" s="8">
        <v>2.5000000000000001E-2</v>
      </c>
      <c r="AN450" s="8">
        <v>2.5000000000000001E-2</v>
      </c>
      <c r="AO450" s="8">
        <v>2.5000000000000001E-2</v>
      </c>
      <c r="AP450" s="8">
        <v>2.5000000000000001E-2</v>
      </c>
      <c r="AQ450" s="8">
        <v>2.5000000000000001E-2</v>
      </c>
      <c r="AR450" s="8">
        <v>2.5000000000000001E-2</v>
      </c>
      <c r="AS450" s="8">
        <v>2.5000000000000001E-2</v>
      </c>
      <c r="AT450" s="8">
        <v>2.5000000000000001E-2</v>
      </c>
      <c r="AU450" s="8">
        <v>2.5000000000000001E-2</v>
      </c>
      <c r="AV450" s="8">
        <v>2.5000000000000001E-2</v>
      </c>
      <c r="AW450" s="8">
        <v>2.5000000000000001E-2</v>
      </c>
      <c r="AX450" s="8">
        <v>2.5000000000000001E-2</v>
      </c>
      <c r="AY450" s="8">
        <v>2.5000000000000001E-2</v>
      </c>
      <c r="AZ450" s="8">
        <v>2.5000000000000001E-2</v>
      </c>
      <c r="BA450" s="8">
        <v>2.5000000000000001E-2</v>
      </c>
      <c r="BB450" s="8">
        <v>2.5000000000000001E-2</v>
      </c>
      <c r="BC450" s="8">
        <v>2.5000000000000001E-2</v>
      </c>
      <c r="BD450" s="8">
        <v>2.5000000000000001E-2</v>
      </c>
      <c r="BE450" s="8">
        <v>2.5000000000000001E-2</v>
      </c>
      <c r="BF450" s="8">
        <v>2.5000000000000001E-2</v>
      </c>
      <c r="BG450" s="8">
        <v>2.5000000000000001E-2</v>
      </c>
      <c r="BH450" s="8">
        <v>2.5000000000000001E-2</v>
      </c>
      <c r="BI450" s="8">
        <v>2.5000000000000001E-2</v>
      </c>
      <c r="BJ450" s="8">
        <v>2.5000000000000001E-2</v>
      </c>
      <c r="BK450" s="8">
        <v>2.5000000000000001E-2</v>
      </c>
      <c r="BL450" s="8">
        <v>2.5000000000000001E-2</v>
      </c>
      <c r="BY450" s="8" t="str">
        <f>+_xlfn.XLOOKUP(Table1[[#This Row],[L4 Code]],KIRMATAŞ!B:B,KIRMATAŞ!B:B,"")</f>
        <v/>
      </c>
      <c r="BZ450" s="8" t="str">
        <f>+_xlfn.XLOOKUP(Table1[[#This Row],[L4 Code]],'SU TEMİNİ'!C:C,'SU TEMİNİ'!C:C,"")</f>
        <v/>
      </c>
      <c r="CA450" s="8" t="str">
        <f>+_xlfn.XLOOKUP(Table1[[#This Row],[L4 Code]],TAŞ!C:C,TAŞ!C:C,"")</f>
        <v/>
      </c>
      <c r="CB450" s="8" t="str">
        <f>Table1[[#This Row],[L4 Code]]&amp;"-"&amp;Table1[[#This Row],[T1 Code]]</f>
        <v>E-05.GNL-20.CVR-120-1000</v>
      </c>
    </row>
    <row r="451" spans="1:80">
      <c r="A451" s="3" t="s">
        <v>5444</v>
      </c>
      <c r="B451" t="s">
        <v>5212</v>
      </c>
      <c r="D451" t="s">
        <v>4967</v>
      </c>
      <c r="F451" s="77" t="s">
        <v>4973</v>
      </c>
      <c r="H451" s="3" t="s">
        <v>4984</v>
      </c>
      <c r="I451" s="3"/>
      <c r="J451" s="78"/>
      <c r="K451" s="78"/>
      <c r="M451" s="78"/>
      <c r="X451" s="10"/>
      <c r="Y451" s="8">
        <v>2.5000000000000001E-2</v>
      </c>
      <c r="Z451" s="8">
        <v>2.5000000000000001E-2</v>
      </c>
      <c r="AA451" s="8">
        <v>2.5000000000000001E-2</v>
      </c>
      <c r="AB451" s="8">
        <v>2.5000000000000001E-2</v>
      </c>
      <c r="AC451" s="8">
        <v>2.5000000000000001E-2</v>
      </c>
      <c r="AD451" s="8">
        <v>2.5000000000000001E-2</v>
      </c>
      <c r="AE451" s="8">
        <v>2.5000000000000001E-2</v>
      </c>
      <c r="AF451" s="8">
        <v>2.5000000000000001E-2</v>
      </c>
      <c r="AG451" s="8">
        <v>2.5000000000000001E-2</v>
      </c>
      <c r="AH451" s="8">
        <v>2.5000000000000001E-2</v>
      </c>
      <c r="AI451" s="8">
        <v>2.5000000000000001E-2</v>
      </c>
      <c r="AJ451" s="8">
        <v>2.5000000000000001E-2</v>
      </c>
      <c r="AK451" s="8">
        <v>2.5000000000000001E-2</v>
      </c>
      <c r="AL451" s="8">
        <v>2.5000000000000001E-2</v>
      </c>
      <c r="AM451" s="8">
        <v>2.5000000000000001E-2</v>
      </c>
      <c r="AN451" s="8">
        <v>2.5000000000000001E-2</v>
      </c>
      <c r="AO451" s="8">
        <v>2.5000000000000001E-2</v>
      </c>
      <c r="AP451" s="8">
        <v>2.5000000000000001E-2</v>
      </c>
      <c r="AQ451" s="8">
        <v>2.5000000000000001E-2</v>
      </c>
      <c r="AR451" s="8">
        <v>2.5000000000000001E-2</v>
      </c>
      <c r="AS451" s="8">
        <v>2.5000000000000001E-2</v>
      </c>
      <c r="AT451" s="8">
        <v>2.5000000000000001E-2</v>
      </c>
      <c r="AU451" s="8">
        <v>2.5000000000000001E-2</v>
      </c>
      <c r="AV451" s="8">
        <v>2.5000000000000001E-2</v>
      </c>
      <c r="AW451" s="8">
        <v>2.5000000000000001E-2</v>
      </c>
      <c r="AX451" s="8">
        <v>2.5000000000000001E-2</v>
      </c>
      <c r="AY451" s="8">
        <v>2.5000000000000001E-2</v>
      </c>
      <c r="AZ451" s="8">
        <v>2.5000000000000001E-2</v>
      </c>
      <c r="BA451" s="8">
        <v>2.5000000000000001E-2</v>
      </c>
      <c r="BB451" s="8">
        <v>2.5000000000000001E-2</v>
      </c>
      <c r="BC451" s="8">
        <v>2.5000000000000001E-2</v>
      </c>
      <c r="BD451" s="8">
        <v>2.5000000000000001E-2</v>
      </c>
      <c r="BE451" s="8">
        <v>2.5000000000000001E-2</v>
      </c>
      <c r="BF451" s="8">
        <v>2.5000000000000001E-2</v>
      </c>
      <c r="BG451" s="8">
        <v>2.5000000000000001E-2</v>
      </c>
      <c r="BH451" s="8">
        <v>2.5000000000000001E-2</v>
      </c>
      <c r="BI451" s="8">
        <v>2.5000000000000001E-2</v>
      </c>
      <c r="BJ451" s="8">
        <v>2.5000000000000001E-2</v>
      </c>
      <c r="BK451" s="8">
        <v>2.5000000000000001E-2</v>
      </c>
      <c r="BL451" s="8">
        <v>2.5000000000000001E-2</v>
      </c>
      <c r="BY451" s="8" t="str">
        <f>+_xlfn.XLOOKUP(Table1[[#This Row],[L4 Code]],KIRMATAŞ!B:B,KIRMATAŞ!B:B,"")</f>
        <v/>
      </c>
      <c r="BZ451" s="8" t="str">
        <f>+_xlfn.XLOOKUP(Table1[[#This Row],[L4 Code]],'SU TEMİNİ'!C:C,'SU TEMİNİ'!C:C,"")</f>
        <v/>
      </c>
      <c r="CA451" s="8" t="str">
        <f>+_xlfn.XLOOKUP(Table1[[#This Row],[L4 Code]],TAŞ!C:C,TAŞ!C:C,"")</f>
        <v/>
      </c>
      <c r="CB451" s="8" t="str">
        <f>Table1[[#This Row],[L4 Code]]&amp;"-"&amp;Table1[[#This Row],[T1 Code]]</f>
        <v>E-05.GNL-55.KİR-100-1000</v>
      </c>
    </row>
    <row r="452" spans="1:80">
      <c r="A452" s="3" t="s">
        <v>5444</v>
      </c>
      <c r="B452" t="s">
        <v>4471</v>
      </c>
      <c r="D452" t="s">
        <v>4967</v>
      </c>
      <c r="F452" s="77" t="s">
        <v>4973</v>
      </c>
      <c r="H452" s="3" t="s">
        <v>4984</v>
      </c>
      <c r="I452" s="3"/>
      <c r="J452" s="78"/>
      <c r="K452" s="78"/>
      <c r="M452" s="78"/>
      <c r="X452" s="10"/>
      <c r="Y452" s="8">
        <v>2.5000000000000001E-2</v>
      </c>
      <c r="Z452" s="8">
        <v>2.5000000000000001E-2</v>
      </c>
      <c r="AA452" s="8">
        <v>2.5000000000000001E-2</v>
      </c>
      <c r="AB452" s="8">
        <v>2.5000000000000001E-2</v>
      </c>
      <c r="AC452" s="8">
        <v>2.5000000000000001E-2</v>
      </c>
      <c r="AD452" s="8">
        <v>2.5000000000000001E-2</v>
      </c>
      <c r="AE452" s="8">
        <v>2.5000000000000001E-2</v>
      </c>
      <c r="AF452" s="8">
        <v>2.5000000000000001E-2</v>
      </c>
      <c r="AG452" s="8">
        <v>2.5000000000000001E-2</v>
      </c>
      <c r="AH452" s="8">
        <v>2.5000000000000001E-2</v>
      </c>
      <c r="AI452" s="8">
        <v>2.5000000000000001E-2</v>
      </c>
      <c r="AJ452" s="8">
        <v>2.5000000000000001E-2</v>
      </c>
      <c r="AK452" s="8">
        <v>2.5000000000000001E-2</v>
      </c>
      <c r="AL452" s="8">
        <v>2.5000000000000001E-2</v>
      </c>
      <c r="AM452" s="8">
        <v>2.5000000000000001E-2</v>
      </c>
      <c r="AN452" s="8">
        <v>2.5000000000000001E-2</v>
      </c>
      <c r="AO452" s="8">
        <v>2.5000000000000001E-2</v>
      </c>
      <c r="AP452" s="8">
        <v>2.5000000000000001E-2</v>
      </c>
      <c r="AQ452" s="8">
        <v>2.5000000000000001E-2</v>
      </c>
      <c r="AR452" s="8">
        <v>2.5000000000000001E-2</v>
      </c>
      <c r="AS452" s="8">
        <v>2.5000000000000001E-2</v>
      </c>
      <c r="AT452" s="8">
        <v>2.5000000000000001E-2</v>
      </c>
      <c r="AU452" s="8">
        <v>2.5000000000000001E-2</v>
      </c>
      <c r="AV452" s="8">
        <v>2.5000000000000001E-2</v>
      </c>
      <c r="AW452" s="8">
        <v>2.5000000000000001E-2</v>
      </c>
      <c r="AX452" s="8">
        <v>2.5000000000000001E-2</v>
      </c>
      <c r="AY452" s="8">
        <v>2.5000000000000001E-2</v>
      </c>
      <c r="AZ452" s="8">
        <v>2.5000000000000001E-2</v>
      </c>
      <c r="BA452" s="8">
        <v>2.5000000000000001E-2</v>
      </c>
      <c r="BB452" s="8">
        <v>2.5000000000000001E-2</v>
      </c>
      <c r="BC452" s="8">
        <v>2.5000000000000001E-2</v>
      </c>
      <c r="BD452" s="8">
        <v>2.5000000000000001E-2</v>
      </c>
      <c r="BE452" s="8">
        <v>2.5000000000000001E-2</v>
      </c>
      <c r="BF452" s="8">
        <v>2.5000000000000001E-2</v>
      </c>
      <c r="BG452" s="8">
        <v>2.5000000000000001E-2</v>
      </c>
      <c r="BH452" s="8">
        <v>2.5000000000000001E-2</v>
      </c>
      <c r="BI452" s="8">
        <v>2.5000000000000001E-2</v>
      </c>
      <c r="BJ452" s="8">
        <v>2.5000000000000001E-2</v>
      </c>
      <c r="BK452" s="8">
        <v>2.5000000000000001E-2</v>
      </c>
      <c r="BL452" s="8">
        <v>2.5000000000000001E-2</v>
      </c>
      <c r="BY452" s="8" t="str">
        <f>+_xlfn.XLOOKUP(Table1[[#This Row],[L4 Code]],KIRMATAŞ!B:B,KIRMATAŞ!B:B,"")</f>
        <v/>
      </c>
      <c r="BZ452" s="8" t="str">
        <f>+_xlfn.XLOOKUP(Table1[[#This Row],[L4 Code]],'SU TEMİNİ'!C:C,'SU TEMİNİ'!C:C,"")</f>
        <v/>
      </c>
      <c r="CA452" s="8" t="str">
        <f>+_xlfn.XLOOKUP(Table1[[#This Row],[L4 Code]],TAŞ!C:C,TAŞ!C:C,"")</f>
        <v/>
      </c>
      <c r="CB452" s="8" t="str">
        <f>Table1[[#This Row],[L4 Code]]&amp;"-"&amp;Table1[[#This Row],[T1 Code]]</f>
        <v>E-05.GNL-99.DGR-210-1000</v>
      </c>
    </row>
    <row r="453" spans="1:80">
      <c r="A453" s="3" t="s">
        <v>5444</v>
      </c>
      <c r="B453" t="s">
        <v>4473</v>
      </c>
      <c r="D453" t="s">
        <v>4967</v>
      </c>
      <c r="F453" s="77" t="s">
        <v>4973</v>
      </c>
      <c r="H453" s="3" t="s">
        <v>4984</v>
      </c>
      <c r="I453" s="3"/>
      <c r="J453" s="78"/>
      <c r="K453" s="78"/>
      <c r="M453" s="78"/>
      <c r="X453" s="10"/>
      <c r="Y453" s="8">
        <v>2.5000000000000001E-2</v>
      </c>
      <c r="Z453" s="8">
        <v>2.5000000000000001E-2</v>
      </c>
      <c r="AA453" s="8">
        <v>2.5000000000000001E-2</v>
      </c>
      <c r="AB453" s="8">
        <v>2.5000000000000001E-2</v>
      </c>
      <c r="AC453" s="8">
        <v>2.5000000000000001E-2</v>
      </c>
      <c r="AD453" s="8">
        <v>2.5000000000000001E-2</v>
      </c>
      <c r="AE453" s="8">
        <v>2.5000000000000001E-2</v>
      </c>
      <c r="AF453" s="8">
        <v>2.5000000000000001E-2</v>
      </c>
      <c r="AG453" s="8">
        <v>2.5000000000000001E-2</v>
      </c>
      <c r="AH453" s="8">
        <v>2.5000000000000001E-2</v>
      </c>
      <c r="AI453" s="8">
        <v>2.5000000000000001E-2</v>
      </c>
      <c r="AJ453" s="8">
        <v>2.5000000000000001E-2</v>
      </c>
      <c r="AK453" s="8">
        <v>2.5000000000000001E-2</v>
      </c>
      <c r="AL453" s="8">
        <v>2.5000000000000001E-2</v>
      </c>
      <c r="AM453" s="8">
        <v>2.5000000000000001E-2</v>
      </c>
      <c r="AN453" s="8">
        <v>2.5000000000000001E-2</v>
      </c>
      <c r="AO453" s="8">
        <v>2.5000000000000001E-2</v>
      </c>
      <c r="AP453" s="8">
        <v>2.5000000000000001E-2</v>
      </c>
      <c r="AQ453" s="8">
        <v>2.5000000000000001E-2</v>
      </c>
      <c r="AR453" s="8">
        <v>2.5000000000000001E-2</v>
      </c>
      <c r="AS453" s="8">
        <v>2.5000000000000001E-2</v>
      </c>
      <c r="AT453" s="8">
        <v>2.5000000000000001E-2</v>
      </c>
      <c r="AU453" s="8">
        <v>2.5000000000000001E-2</v>
      </c>
      <c r="AV453" s="8">
        <v>2.5000000000000001E-2</v>
      </c>
      <c r="AW453" s="8">
        <v>2.5000000000000001E-2</v>
      </c>
      <c r="AX453" s="8">
        <v>2.5000000000000001E-2</v>
      </c>
      <c r="AY453" s="8">
        <v>2.5000000000000001E-2</v>
      </c>
      <c r="AZ453" s="8">
        <v>2.5000000000000001E-2</v>
      </c>
      <c r="BA453" s="8">
        <v>2.5000000000000001E-2</v>
      </c>
      <c r="BB453" s="8">
        <v>2.5000000000000001E-2</v>
      </c>
      <c r="BC453" s="8">
        <v>2.5000000000000001E-2</v>
      </c>
      <c r="BD453" s="8">
        <v>2.5000000000000001E-2</v>
      </c>
      <c r="BE453" s="8">
        <v>2.5000000000000001E-2</v>
      </c>
      <c r="BF453" s="8">
        <v>2.5000000000000001E-2</v>
      </c>
      <c r="BG453" s="8">
        <v>2.5000000000000001E-2</v>
      </c>
      <c r="BH453" s="8">
        <v>2.5000000000000001E-2</v>
      </c>
      <c r="BI453" s="8">
        <v>2.5000000000000001E-2</v>
      </c>
      <c r="BJ453" s="8">
        <v>2.5000000000000001E-2</v>
      </c>
      <c r="BK453" s="8">
        <v>2.5000000000000001E-2</v>
      </c>
      <c r="BL453" s="8">
        <v>2.5000000000000001E-2</v>
      </c>
      <c r="BY453" s="8" t="str">
        <f>+_xlfn.XLOOKUP(Table1[[#This Row],[L4 Code]],KIRMATAŞ!B:B,KIRMATAŞ!B:B,"")</f>
        <v/>
      </c>
      <c r="BZ453" s="8" t="str">
        <f>+_xlfn.XLOOKUP(Table1[[#This Row],[L4 Code]],'SU TEMİNİ'!C:C,'SU TEMİNİ'!C:C,"")</f>
        <v/>
      </c>
      <c r="CA453" s="8" t="str">
        <f>+_xlfn.XLOOKUP(Table1[[#This Row],[L4 Code]],TAŞ!C:C,TAŞ!C:C,"")</f>
        <v/>
      </c>
      <c r="CB453" s="8" t="str">
        <f>Table1[[#This Row],[L4 Code]]&amp;"-"&amp;Table1[[#This Row],[T1 Code]]</f>
        <v>E-05.GNL-99.DGR-310-1000</v>
      </c>
    </row>
    <row r="454" spans="1:80">
      <c r="A454" s="3" t="s">
        <v>5444</v>
      </c>
      <c r="B454" t="s">
        <v>5213</v>
      </c>
      <c r="D454" t="s">
        <v>4967</v>
      </c>
      <c r="F454" s="77" t="s">
        <v>4973</v>
      </c>
      <c r="H454" s="3" t="s">
        <v>4984</v>
      </c>
      <c r="I454" s="3"/>
      <c r="J454" s="78"/>
      <c r="K454" s="78"/>
      <c r="M454" s="78"/>
      <c r="X454" s="10"/>
      <c r="Y454" s="8">
        <v>2.5000000000000001E-2</v>
      </c>
      <c r="Z454" s="8">
        <v>2.5000000000000001E-2</v>
      </c>
      <c r="AA454" s="8">
        <v>2.5000000000000001E-2</v>
      </c>
      <c r="AB454" s="8">
        <v>2.5000000000000001E-2</v>
      </c>
      <c r="AC454" s="8">
        <v>2.5000000000000001E-2</v>
      </c>
      <c r="AD454" s="8">
        <v>2.5000000000000001E-2</v>
      </c>
      <c r="AE454" s="8">
        <v>2.5000000000000001E-2</v>
      </c>
      <c r="AF454" s="8">
        <v>2.5000000000000001E-2</v>
      </c>
      <c r="AG454" s="8">
        <v>2.5000000000000001E-2</v>
      </c>
      <c r="AH454" s="8">
        <v>2.5000000000000001E-2</v>
      </c>
      <c r="AI454" s="8">
        <v>2.5000000000000001E-2</v>
      </c>
      <c r="AJ454" s="8">
        <v>2.5000000000000001E-2</v>
      </c>
      <c r="AK454" s="8">
        <v>2.5000000000000001E-2</v>
      </c>
      <c r="AL454" s="8">
        <v>2.5000000000000001E-2</v>
      </c>
      <c r="AM454" s="8">
        <v>2.5000000000000001E-2</v>
      </c>
      <c r="AN454" s="8">
        <v>2.5000000000000001E-2</v>
      </c>
      <c r="AO454" s="8">
        <v>2.5000000000000001E-2</v>
      </c>
      <c r="AP454" s="8">
        <v>2.5000000000000001E-2</v>
      </c>
      <c r="AQ454" s="8">
        <v>2.5000000000000001E-2</v>
      </c>
      <c r="AR454" s="8">
        <v>2.5000000000000001E-2</v>
      </c>
      <c r="AS454" s="8">
        <v>2.5000000000000001E-2</v>
      </c>
      <c r="AT454" s="8">
        <v>2.5000000000000001E-2</v>
      </c>
      <c r="AU454" s="8">
        <v>2.5000000000000001E-2</v>
      </c>
      <c r="AV454" s="8">
        <v>2.5000000000000001E-2</v>
      </c>
      <c r="AW454" s="8">
        <v>2.5000000000000001E-2</v>
      </c>
      <c r="AX454" s="8">
        <v>2.5000000000000001E-2</v>
      </c>
      <c r="AY454" s="8">
        <v>2.5000000000000001E-2</v>
      </c>
      <c r="AZ454" s="8">
        <v>2.5000000000000001E-2</v>
      </c>
      <c r="BA454" s="8">
        <v>2.5000000000000001E-2</v>
      </c>
      <c r="BB454" s="8">
        <v>2.5000000000000001E-2</v>
      </c>
      <c r="BC454" s="8">
        <v>2.5000000000000001E-2</v>
      </c>
      <c r="BD454" s="8">
        <v>2.5000000000000001E-2</v>
      </c>
      <c r="BE454" s="8">
        <v>2.5000000000000001E-2</v>
      </c>
      <c r="BF454" s="8">
        <v>2.5000000000000001E-2</v>
      </c>
      <c r="BG454" s="8">
        <v>2.5000000000000001E-2</v>
      </c>
      <c r="BH454" s="8">
        <v>2.5000000000000001E-2</v>
      </c>
      <c r="BI454" s="8">
        <v>2.5000000000000001E-2</v>
      </c>
      <c r="BJ454" s="8">
        <v>2.5000000000000001E-2</v>
      </c>
      <c r="BK454" s="8">
        <v>2.5000000000000001E-2</v>
      </c>
      <c r="BL454" s="8">
        <v>2.5000000000000001E-2</v>
      </c>
      <c r="BY454" s="8" t="str">
        <f>+_xlfn.XLOOKUP(Table1[[#This Row],[L4 Code]],KIRMATAŞ!B:B,KIRMATAŞ!B:B,"")</f>
        <v/>
      </c>
      <c r="BZ454" s="8" t="str">
        <f>+_xlfn.XLOOKUP(Table1[[#This Row],[L4 Code]],'SU TEMİNİ'!C:C,'SU TEMİNİ'!C:C,"")</f>
        <v/>
      </c>
      <c r="CA454" s="8" t="str">
        <f>+_xlfn.XLOOKUP(Table1[[#This Row],[L4 Code]],TAŞ!C:C,TAŞ!C:C,"")</f>
        <v/>
      </c>
      <c r="CB454" s="8" t="str">
        <f>Table1[[#This Row],[L4 Code]]&amp;"-"&amp;Table1[[#This Row],[T1 Code]]</f>
        <v>E-05.GNL-99.DGR-311-1000</v>
      </c>
    </row>
    <row r="455" spans="1:80">
      <c r="A455" s="3" t="s">
        <v>5444</v>
      </c>
      <c r="B455" t="s">
        <v>5215</v>
      </c>
      <c r="D455" t="s">
        <v>4967</v>
      </c>
      <c r="F455" s="77" t="s">
        <v>4973</v>
      </c>
      <c r="H455" s="3" t="s">
        <v>4984</v>
      </c>
      <c r="I455" s="3"/>
      <c r="J455" s="78"/>
      <c r="K455" s="78"/>
      <c r="M455" s="78"/>
      <c r="X455" s="10"/>
      <c r="Y455" s="8">
        <v>2.5000000000000001E-2</v>
      </c>
      <c r="Z455" s="8">
        <v>2.5000000000000001E-2</v>
      </c>
      <c r="AA455" s="8">
        <v>2.5000000000000001E-2</v>
      </c>
      <c r="AB455" s="8">
        <v>2.5000000000000001E-2</v>
      </c>
      <c r="AC455" s="8">
        <v>2.5000000000000001E-2</v>
      </c>
      <c r="AD455" s="8">
        <v>2.5000000000000001E-2</v>
      </c>
      <c r="AE455" s="8">
        <v>2.5000000000000001E-2</v>
      </c>
      <c r="AF455" s="8">
        <v>2.5000000000000001E-2</v>
      </c>
      <c r="AG455" s="8">
        <v>2.5000000000000001E-2</v>
      </c>
      <c r="AH455" s="8">
        <v>2.5000000000000001E-2</v>
      </c>
      <c r="AI455" s="8">
        <v>2.5000000000000001E-2</v>
      </c>
      <c r="AJ455" s="8">
        <v>2.5000000000000001E-2</v>
      </c>
      <c r="AK455" s="8">
        <v>2.5000000000000001E-2</v>
      </c>
      <c r="AL455" s="8">
        <v>2.5000000000000001E-2</v>
      </c>
      <c r="AM455" s="8">
        <v>2.5000000000000001E-2</v>
      </c>
      <c r="AN455" s="8">
        <v>2.5000000000000001E-2</v>
      </c>
      <c r="AO455" s="8">
        <v>2.5000000000000001E-2</v>
      </c>
      <c r="AP455" s="8">
        <v>2.5000000000000001E-2</v>
      </c>
      <c r="AQ455" s="8">
        <v>2.5000000000000001E-2</v>
      </c>
      <c r="AR455" s="8">
        <v>2.5000000000000001E-2</v>
      </c>
      <c r="AS455" s="8">
        <v>2.5000000000000001E-2</v>
      </c>
      <c r="AT455" s="8">
        <v>2.5000000000000001E-2</v>
      </c>
      <c r="AU455" s="8">
        <v>2.5000000000000001E-2</v>
      </c>
      <c r="AV455" s="8">
        <v>2.5000000000000001E-2</v>
      </c>
      <c r="AW455" s="8">
        <v>2.5000000000000001E-2</v>
      </c>
      <c r="AX455" s="8">
        <v>2.5000000000000001E-2</v>
      </c>
      <c r="AY455" s="8">
        <v>2.5000000000000001E-2</v>
      </c>
      <c r="AZ455" s="8">
        <v>2.5000000000000001E-2</v>
      </c>
      <c r="BA455" s="8">
        <v>2.5000000000000001E-2</v>
      </c>
      <c r="BB455" s="8">
        <v>2.5000000000000001E-2</v>
      </c>
      <c r="BC455" s="8">
        <v>2.5000000000000001E-2</v>
      </c>
      <c r="BD455" s="8">
        <v>2.5000000000000001E-2</v>
      </c>
      <c r="BE455" s="8">
        <v>2.5000000000000001E-2</v>
      </c>
      <c r="BF455" s="8">
        <v>2.5000000000000001E-2</v>
      </c>
      <c r="BG455" s="8">
        <v>2.5000000000000001E-2</v>
      </c>
      <c r="BH455" s="8">
        <v>2.5000000000000001E-2</v>
      </c>
      <c r="BI455" s="8">
        <v>2.5000000000000001E-2</v>
      </c>
      <c r="BJ455" s="8">
        <v>2.5000000000000001E-2</v>
      </c>
      <c r="BK455" s="8">
        <v>2.5000000000000001E-2</v>
      </c>
      <c r="BL455" s="8">
        <v>2.5000000000000001E-2</v>
      </c>
      <c r="BY455" s="8" t="str">
        <f>+_xlfn.XLOOKUP(Table1[[#This Row],[L4 Code]],KIRMATAŞ!B:B,KIRMATAŞ!B:B,"")</f>
        <v/>
      </c>
      <c r="BZ455" s="8" t="str">
        <f>+_xlfn.XLOOKUP(Table1[[#This Row],[L4 Code]],'SU TEMİNİ'!C:C,'SU TEMİNİ'!C:C,"")</f>
        <v/>
      </c>
      <c r="CA455" s="8" t="str">
        <f>+_xlfn.XLOOKUP(Table1[[#This Row],[L4 Code]],TAŞ!C:C,TAŞ!C:C,"")</f>
        <v/>
      </c>
      <c r="CB455" s="8" t="str">
        <f>Table1[[#This Row],[L4 Code]]&amp;"-"&amp;Table1[[#This Row],[T1 Code]]</f>
        <v>E-05.GNL-99.DGR-410-1000</v>
      </c>
    </row>
    <row r="456" spans="1:80">
      <c r="A456" s="3" t="s">
        <v>5444</v>
      </c>
      <c r="B456" t="s">
        <v>4475</v>
      </c>
      <c r="D456" t="s">
        <v>4967</v>
      </c>
      <c r="F456" s="77" t="s">
        <v>4973</v>
      </c>
      <c r="H456" s="3" t="s">
        <v>4984</v>
      </c>
      <c r="I456" s="3"/>
      <c r="J456" s="78"/>
      <c r="K456" s="78"/>
      <c r="M456" s="78"/>
      <c r="X456" s="10"/>
      <c r="Y456" s="8">
        <v>2.5000000000000001E-2</v>
      </c>
      <c r="Z456" s="8">
        <v>2.5000000000000001E-2</v>
      </c>
      <c r="AA456" s="8">
        <v>2.5000000000000001E-2</v>
      </c>
      <c r="AB456" s="8">
        <v>2.5000000000000001E-2</v>
      </c>
      <c r="AC456" s="8">
        <v>2.5000000000000001E-2</v>
      </c>
      <c r="AD456" s="8">
        <v>2.5000000000000001E-2</v>
      </c>
      <c r="AE456" s="8">
        <v>2.5000000000000001E-2</v>
      </c>
      <c r="AF456" s="8">
        <v>2.5000000000000001E-2</v>
      </c>
      <c r="AG456" s="8">
        <v>2.5000000000000001E-2</v>
      </c>
      <c r="AH456" s="8">
        <v>2.5000000000000001E-2</v>
      </c>
      <c r="AI456" s="8">
        <v>2.5000000000000001E-2</v>
      </c>
      <c r="AJ456" s="8">
        <v>2.5000000000000001E-2</v>
      </c>
      <c r="AK456" s="8">
        <v>2.5000000000000001E-2</v>
      </c>
      <c r="AL456" s="8">
        <v>2.5000000000000001E-2</v>
      </c>
      <c r="AM456" s="8">
        <v>2.5000000000000001E-2</v>
      </c>
      <c r="AN456" s="8">
        <v>2.5000000000000001E-2</v>
      </c>
      <c r="AO456" s="8">
        <v>2.5000000000000001E-2</v>
      </c>
      <c r="AP456" s="8">
        <v>2.5000000000000001E-2</v>
      </c>
      <c r="AQ456" s="8">
        <v>2.5000000000000001E-2</v>
      </c>
      <c r="AR456" s="8">
        <v>2.5000000000000001E-2</v>
      </c>
      <c r="AS456" s="8">
        <v>2.5000000000000001E-2</v>
      </c>
      <c r="AT456" s="8">
        <v>2.5000000000000001E-2</v>
      </c>
      <c r="AU456" s="8">
        <v>2.5000000000000001E-2</v>
      </c>
      <c r="AV456" s="8">
        <v>2.5000000000000001E-2</v>
      </c>
      <c r="AW456" s="8">
        <v>2.5000000000000001E-2</v>
      </c>
      <c r="AX456" s="8">
        <v>2.5000000000000001E-2</v>
      </c>
      <c r="AY456" s="8">
        <v>2.5000000000000001E-2</v>
      </c>
      <c r="AZ456" s="8">
        <v>2.5000000000000001E-2</v>
      </c>
      <c r="BA456" s="8">
        <v>2.5000000000000001E-2</v>
      </c>
      <c r="BB456" s="8">
        <v>2.5000000000000001E-2</v>
      </c>
      <c r="BC456" s="8">
        <v>2.5000000000000001E-2</v>
      </c>
      <c r="BD456" s="8">
        <v>2.5000000000000001E-2</v>
      </c>
      <c r="BE456" s="8">
        <v>2.5000000000000001E-2</v>
      </c>
      <c r="BF456" s="8">
        <v>2.5000000000000001E-2</v>
      </c>
      <c r="BG456" s="8">
        <v>2.5000000000000001E-2</v>
      </c>
      <c r="BH456" s="8">
        <v>2.5000000000000001E-2</v>
      </c>
      <c r="BI456" s="8">
        <v>2.5000000000000001E-2</v>
      </c>
      <c r="BJ456" s="8">
        <v>2.5000000000000001E-2</v>
      </c>
      <c r="BK456" s="8">
        <v>2.5000000000000001E-2</v>
      </c>
      <c r="BL456" s="8">
        <v>2.5000000000000001E-2</v>
      </c>
      <c r="BY456" s="8" t="str">
        <f>+_xlfn.XLOOKUP(Table1[[#This Row],[L4 Code]],KIRMATAŞ!B:B,KIRMATAŞ!B:B,"")</f>
        <v/>
      </c>
      <c r="BZ456" s="8" t="str">
        <f>+_xlfn.XLOOKUP(Table1[[#This Row],[L4 Code]],'SU TEMİNİ'!C:C,'SU TEMİNİ'!C:C,"")</f>
        <v/>
      </c>
      <c r="CA456" s="8" t="str">
        <f>+_xlfn.XLOOKUP(Table1[[#This Row],[L4 Code]],TAŞ!C:C,TAŞ!C:C,"")</f>
        <v/>
      </c>
      <c r="CB456" s="8" t="str">
        <f>Table1[[#This Row],[L4 Code]]&amp;"-"&amp;Table1[[#This Row],[T1 Code]]</f>
        <v>E-05.GNL-99.DGR-510-1000</v>
      </c>
    </row>
    <row r="457" spans="1:80">
      <c r="A457" s="3" t="s">
        <v>5444</v>
      </c>
      <c r="B457" t="s">
        <v>4497</v>
      </c>
      <c r="D457" t="s">
        <v>4967</v>
      </c>
      <c r="F457" s="77" t="s">
        <v>4973</v>
      </c>
      <c r="H457" s="3" t="s">
        <v>4984</v>
      </c>
      <c r="I457" s="3"/>
      <c r="J457" s="78"/>
      <c r="K457" s="78"/>
      <c r="M457" s="78"/>
      <c r="X457" s="10"/>
      <c r="Y457" s="8">
        <v>2.5000000000000001E-2</v>
      </c>
      <c r="Z457" s="8">
        <v>2.5000000000000001E-2</v>
      </c>
      <c r="AA457" s="8">
        <v>2.5000000000000001E-2</v>
      </c>
      <c r="AB457" s="8">
        <v>2.5000000000000001E-2</v>
      </c>
      <c r="AC457" s="8">
        <v>2.5000000000000001E-2</v>
      </c>
      <c r="AD457" s="8">
        <v>2.5000000000000001E-2</v>
      </c>
      <c r="AE457" s="8">
        <v>2.5000000000000001E-2</v>
      </c>
      <c r="AF457" s="8">
        <v>2.5000000000000001E-2</v>
      </c>
      <c r="AG457" s="8">
        <v>2.5000000000000001E-2</v>
      </c>
      <c r="AH457" s="8">
        <v>2.5000000000000001E-2</v>
      </c>
      <c r="AI457" s="8">
        <v>2.5000000000000001E-2</v>
      </c>
      <c r="AJ457" s="8">
        <v>2.5000000000000001E-2</v>
      </c>
      <c r="AK457" s="8">
        <v>2.5000000000000001E-2</v>
      </c>
      <c r="AL457" s="8">
        <v>2.5000000000000001E-2</v>
      </c>
      <c r="AM457" s="8">
        <v>2.5000000000000001E-2</v>
      </c>
      <c r="AN457" s="8">
        <v>2.5000000000000001E-2</v>
      </c>
      <c r="AO457" s="8">
        <v>2.5000000000000001E-2</v>
      </c>
      <c r="AP457" s="8">
        <v>2.5000000000000001E-2</v>
      </c>
      <c r="AQ457" s="8">
        <v>2.5000000000000001E-2</v>
      </c>
      <c r="AR457" s="8">
        <v>2.5000000000000001E-2</v>
      </c>
      <c r="AS457" s="8">
        <v>2.5000000000000001E-2</v>
      </c>
      <c r="AT457" s="8">
        <v>2.5000000000000001E-2</v>
      </c>
      <c r="AU457" s="8">
        <v>2.5000000000000001E-2</v>
      </c>
      <c r="AV457" s="8">
        <v>2.5000000000000001E-2</v>
      </c>
      <c r="AW457" s="8">
        <v>2.5000000000000001E-2</v>
      </c>
      <c r="AX457" s="8">
        <v>2.5000000000000001E-2</v>
      </c>
      <c r="AY457" s="8">
        <v>2.5000000000000001E-2</v>
      </c>
      <c r="AZ457" s="8">
        <v>2.5000000000000001E-2</v>
      </c>
      <c r="BA457" s="8">
        <v>2.5000000000000001E-2</v>
      </c>
      <c r="BB457" s="8">
        <v>2.5000000000000001E-2</v>
      </c>
      <c r="BC457" s="8">
        <v>2.5000000000000001E-2</v>
      </c>
      <c r="BD457" s="8">
        <v>2.5000000000000001E-2</v>
      </c>
      <c r="BE457" s="8">
        <v>2.5000000000000001E-2</v>
      </c>
      <c r="BF457" s="8">
        <v>2.5000000000000001E-2</v>
      </c>
      <c r="BG457" s="8">
        <v>2.5000000000000001E-2</v>
      </c>
      <c r="BH457" s="8">
        <v>2.5000000000000001E-2</v>
      </c>
      <c r="BI457" s="8">
        <v>2.5000000000000001E-2</v>
      </c>
      <c r="BJ457" s="8">
        <v>2.5000000000000001E-2</v>
      </c>
      <c r="BK457" s="8">
        <v>2.5000000000000001E-2</v>
      </c>
      <c r="BL457" s="8">
        <v>2.5000000000000001E-2</v>
      </c>
      <c r="BY457" s="8" t="str">
        <f>+_xlfn.XLOOKUP(Table1[[#This Row],[L4 Code]],KIRMATAŞ!B:B,KIRMATAŞ!B:B,"")</f>
        <v/>
      </c>
      <c r="BZ457" s="8" t="str">
        <f>+_xlfn.XLOOKUP(Table1[[#This Row],[L4 Code]],'SU TEMİNİ'!C:C,'SU TEMİNİ'!C:C,"")</f>
        <v/>
      </c>
      <c r="CA457" s="8" t="str">
        <f>+_xlfn.XLOOKUP(Table1[[#This Row],[L4 Code]],TAŞ!C:C,TAŞ!C:C,"")</f>
        <v/>
      </c>
      <c r="CB457" s="8" t="str">
        <f>Table1[[#This Row],[L4 Code]]&amp;"-"&amp;Table1[[#This Row],[T1 Code]]</f>
        <v>E-06.MBL-02.ARK-110-1000</v>
      </c>
    </row>
    <row r="458" spans="1:80">
      <c r="A458" s="3" t="s">
        <v>5444</v>
      </c>
      <c r="B458" t="s">
        <v>4500</v>
      </c>
      <c r="D458" t="s">
        <v>4967</v>
      </c>
      <c r="F458" s="77" t="s">
        <v>4973</v>
      </c>
      <c r="H458" s="3" t="s">
        <v>4984</v>
      </c>
      <c r="I458" s="3"/>
      <c r="J458" s="78"/>
      <c r="K458" s="78"/>
      <c r="M458" s="78"/>
      <c r="X458" s="10"/>
      <c r="Y458" s="8">
        <v>2.5000000000000001E-2</v>
      </c>
      <c r="Z458" s="8">
        <v>2.5000000000000001E-2</v>
      </c>
      <c r="AA458" s="8">
        <v>2.5000000000000001E-2</v>
      </c>
      <c r="AB458" s="8">
        <v>2.5000000000000001E-2</v>
      </c>
      <c r="AC458" s="8">
        <v>2.5000000000000001E-2</v>
      </c>
      <c r="AD458" s="8">
        <v>2.5000000000000001E-2</v>
      </c>
      <c r="AE458" s="8">
        <v>2.5000000000000001E-2</v>
      </c>
      <c r="AF458" s="8">
        <v>2.5000000000000001E-2</v>
      </c>
      <c r="AG458" s="8">
        <v>2.5000000000000001E-2</v>
      </c>
      <c r="AH458" s="8">
        <v>2.5000000000000001E-2</v>
      </c>
      <c r="AI458" s="8">
        <v>2.5000000000000001E-2</v>
      </c>
      <c r="AJ458" s="8">
        <v>2.5000000000000001E-2</v>
      </c>
      <c r="AK458" s="8">
        <v>2.5000000000000001E-2</v>
      </c>
      <c r="AL458" s="8">
        <v>2.5000000000000001E-2</v>
      </c>
      <c r="AM458" s="8">
        <v>2.5000000000000001E-2</v>
      </c>
      <c r="AN458" s="8">
        <v>2.5000000000000001E-2</v>
      </c>
      <c r="AO458" s="8">
        <v>2.5000000000000001E-2</v>
      </c>
      <c r="AP458" s="8">
        <v>2.5000000000000001E-2</v>
      </c>
      <c r="AQ458" s="8">
        <v>2.5000000000000001E-2</v>
      </c>
      <c r="AR458" s="8">
        <v>2.5000000000000001E-2</v>
      </c>
      <c r="AS458" s="8">
        <v>2.5000000000000001E-2</v>
      </c>
      <c r="AT458" s="8">
        <v>2.5000000000000001E-2</v>
      </c>
      <c r="AU458" s="8">
        <v>2.5000000000000001E-2</v>
      </c>
      <c r="AV458" s="8">
        <v>2.5000000000000001E-2</v>
      </c>
      <c r="AW458" s="8">
        <v>2.5000000000000001E-2</v>
      </c>
      <c r="AX458" s="8">
        <v>2.5000000000000001E-2</v>
      </c>
      <c r="AY458" s="8">
        <v>2.5000000000000001E-2</v>
      </c>
      <c r="AZ458" s="8">
        <v>2.5000000000000001E-2</v>
      </c>
      <c r="BA458" s="8">
        <v>2.5000000000000001E-2</v>
      </c>
      <c r="BB458" s="8">
        <v>2.5000000000000001E-2</v>
      </c>
      <c r="BC458" s="8">
        <v>2.5000000000000001E-2</v>
      </c>
      <c r="BD458" s="8">
        <v>2.5000000000000001E-2</v>
      </c>
      <c r="BE458" s="8">
        <v>2.5000000000000001E-2</v>
      </c>
      <c r="BF458" s="8">
        <v>2.5000000000000001E-2</v>
      </c>
      <c r="BG458" s="8">
        <v>2.5000000000000001E-2</v>
      </c>
      <c r="BH458" s="8">
        <v>2.5000000000000001E-2</v>
      </c>
      <c r="BI458" s="8">
        <v>2.5000000000000001E-2</v>
      </c>
      <c r="BJ458" s="8">
        <v>2.5000000000000001E-2</v>
      </c>
      <c r="BK458" s="8">
        <v>2.5000000000000001E-2</v>
      </c>
      <c r="BL458" s="8">
        <v>2.5000000000000001E-2</v>
      </c>
      <c r="BY458" s="8" t="str">
        <f>+_xlfn.XLOOKUP(Table1[[#This Row],[L4 Code]],KIRMATAŞ!B:B,KIRMATAŞ!B:B,"")</f>
        <v/>
      </c>
      <c r="BZ458" s="8" t="str">
        <f>+_xlfn.XLOOKUP(Table1[[#This Row],[L4 Code]],'SU TEMİNİ'!C:C,'SU TEMİNİ'!C:C,"")</f>
        <v/>
      </c>
      <c r="CA458" s="8" t="str">
        <f>+_xlfn.XLOOKUP(Table1[[#This Row],[L4 Code]],TAŞ!C:C,TAŞ!C:C,"")</f>
        <v/>
      </c>
      <c r="CB458" s="8" t="str">
        <f>Table1[[#This Row],[L4 Code]]&amp;"-"&amp;Table1[[#This Row],[T1 Code]]</f>
        <v>E-06.MBL-02.ARK-120-1000</v>
      </c>
    </row>
    <row r="459" spans="1:80">
      <c r="A459" s="3" t="s">
        <v>5444</v>
      </c>
      <c r="B459" t="s">
        <v>4502</v>
      </c>
      <c r="D459" t="s">
        <v>4967</v>
      </c>
      <c r="F459" s="77" t="s">
        <v>4973</v>
      </c>
      <c r="H459" s="3" t="s">
        <v>4984</v>
      </c>
      <c r="I459" s="3"/>
      <c r="J459" s="78"/>
      <c r="K459" s="78"/>
      <c r="M459" s="78"/>
      <c r="X459" s="10"/>
      <c r="Y459" s="8">
        <v>2.5000000000000001E-2</v>
      </c>
      <c r="Z459" s="8">
        <v>2.5000000000000001E-2</v>
      </c>
      <c r="AA459" s="8">
        <v>2.5000000000000001E-2</v>
      </c>
      <c r="AB459" s="8">
        <v>2.5000000000000001E-2</v>
      </c>
      <c r="AC459" s="8">
        <v>2.5000000000000001E-2</v>
      </c>
      <c r="AD459" s="8">
        <v>2.5000000000000001E-2</v>
      </c>
      <c r="AE459" s="8">
        <v>2.5000000000000001E-2</v>
      </c>
      <c r="AF459" s="8">
        <v>2.5000000000000001E-2</v>
      </c>
      <c r="AG459" s="8">
        <v>2.5000000000000001E-2</v>
      </c>
      <c r="AH459" s="8">
        <v>2.5000000000000001E-2</v>
      </c>
      <c r="AI459" s="8">
        <v>2.5000000000000001E-2</v>
      </c>
      <c r="AJ459" s="8">
        <v>2.5000000000000001E-2</v>
      </c>
      <c r="AK459" s="8">
        <v>2.5000000000000001E-2</v>
      </c>
      <c r="AL459" s="8">
        <v>2.5000000000000001E-2</v>
      </c>
      <c r="AM459" s="8">
        <v>2.5000000000000001E-2</v>
      </c>
      <c r="AN459" s="8">
        <v>2.5000000000000001E-2</v>
      </c>
      <c r="AO459" s="8">
        <v>2.5000000000000001E-2</v>
      </c>
      <c r="AP459" s="8">
        <v>2.5000000000000001E-2</v>
      </c>
      <c r="AQ459" s="8">
        <v>2.5000000000000001E-2</v>
      </c>
      <c r="AR459" s="8">
        <v>2.5000000000000001E-2</v>
      </c>
      <c r="AS459" s="8">
        <v>2.5000000000000001E-2</v>
      </c>
      <c r="AT459" s="8">
        <v>2.5000000000000001E-2</v>
      </c>
      <c r="AU459" s="8">
        <v>2.5000000000000001E-2</v>
      </c>
      <c r="AV459" s="8">
        <v>2.5000000000000001E-2</v>
      </c>
      <c r="AW459" s="8">
        <v>2.5000000000000001E-2</v>
      </c>
      <c r="AX459" s="8">
        <v>2.5000000000000001E-2</v>
      </c>
      <c r="AY459" s="8">
        <v>2.5000000000000001E-2</v>
      </c>
      <c r="AZ459" s="8">
        <v>2.5000000000000001E-2</v>
      </c>
      <c r="BA459" s="8">
        <v>2.5000000000000001E-2</v>
      </c>
      <c r="BB459" s="8">
        <v>2.5000000000000001E-2</v>
      </c>
      <c r="BC459" s="8">
        <v>2.5000000000000001E-2</v>
      </c>
      <c r="BD459" s="8">
        <v>2.5000000000000001E-2</v>
      </c>
      <c r="BE459" s="8">
        <v>2.5000000000000001E-2</v>
      </c>
      <c r="BF459" s="8">
        <v>2.5000000000000001E-2</v>
      </c>
      <c r="BG459" s="8">
        <v>2.5000000000000001E-2</v>
      </c>
      <c r="BH459" s="8">
        <v>2.5000000000000001E-2</v>
      </c>
      <c r="BI459" s="8">
        <v>2.5000000000000001E-2</v>
      </c>
      <c r="BJ459" s="8">
        <v>2.5000000000000001E-2</v>
      </c>
      <c r="BK459" s="8">
        <v>2.5000000000000001E-2</v>
      </c>
      <c r="BL459" s="8">
        <v>2.5000000000000001E-2</v>
      </c>
      <c r="BY459" s="8" t="str">
        <f>+_xlfn.XLOOKUP(Table1[[#This Row],[L4 Code]],KIRMATAŞ!B:B,KIRMATAŞ!B:B,"")</f>
        <v/>
      </c>
      <c r="BZ459" s="8" t="str">
        <f>+_xlfn.XLOOKUP(Table1[[#This Row],[L4 Code]],'SU TEMİNİ'!C:C,'SU TEMİNİ'!C:C,"")</f>
        <v/>
      </c>
      <c r="CA459" s="8" t="str">
        <f>+_xlfn.XLOOKUP(Table1[[#This Row],[L4 Code]],TAŞ!C:C,TAŞ!C:C,"")</f>
        <v/>
      </c>
      <c r="CB459" s="8" t="str">
        <f>Table1[[#This Row],[L4 Code]]&amp;"-"&amp;Table1[[#This Row],[T1 Code]]</f>
        <v>E-06.MBL-02.ARK-130-1000</v>
      </c>
    </row>
    <row r="460" spans="1:80">
      <c r="A460" s="3" t="s">
        <v>5444</v>
      </c>
      <c r="B460" t="s">
        <v>4504</v>
      </c>
      <c r="D460" t="s">
        <v>4967</v>
      </c>
      <c r="F460" s="77" t="s">
        <v>4973</v>
      </c>
      <c r="H460" s="3" t="s">
        <v>4984</v>
      </c>
      <c r="I460" s="3"/>
      <c r="J460" s="78"/>
      <c r="K460" s="78"/>
      <c r="M460" s="78"/>
      <c r="X460" s="10"/>
      <c r="Y460" s="8">
        <v>2.5000000000000001E-2</v>
      </c>
      <c r="Z460" s="8">
        <v>2.5000000000000001E-2</v>
      </c>
      <c r="AA460" s="8">
        <v>2.5000000000000001E-2</v>
      </c>
      <c r="AB460" s="8">
        <v>2.5000000000000001E-2</v>
      </c>
      <c r="AC460" s="8">
        <v>2.5000000000000001E-2</v>
      </c>
      <c r="AD460" s="8">
        <v>2.5000000000000001E-2</v>
      </c>
      <c r="AE460" s="8">
        <v>2.5000000000000001E-2</v>
      </c>
      <c r="AF460" s="8">
        <v>2.5000000000000001E-2</v>
      </c>
      <c r="AG460" s="8">
        <v>2.5000000000000001E-2</v>
      </c>
      <c r="AH460" s="8">
        <v>2.5000000000000001E-2</v>
      </c>
      <c r="AI460" s="8">
        <v>2.5000000000000001E-2</v>
      </c>
      <c r="AJ460" s="8">
        <v>2.5000000000000001E-2</v>
      </c>
      <c r="AK460" s="8">
        <v>2.5000000000000001E-2</v>
      </c>
      <c r="AL460" s="8">
        <v>2.5000000000000001E-2</v>
      </c>
      <c r="AM460" s="8">
        <v>2.5000000000000001E-2</v>
      </c>
      <c r="AN460" s="8">
        <v>2.5000000000000001E-2</v>
      </c>
      <c r="AO460" s="8">
        <v>2.5000000000000001E-2</v>
      </c>
      <c r="AP460" s="8">
        <v>2.5000000000000001E-2</v>
      </c>
      <c r="AQ460" s="8">
        <v>2.5000000000000001E-2</v>
      </c>
      <c r="AR460" s="8">
        <v>2.5000000000000001E-2</v>
      </c>
      <c r="AS460" s="8">
        <v>2.5000000000000001E-2</v>
      </c>
      <c r="AT460" s="8">
        <v>2.5000000000000001E-2</v>
      </c>
      <c r="AU460" s="8">
        <v>2.5000000000000001E-2</v>
      </c>
      <c r="AV460" s="8">
        <v>2.5000000000000001E-2</v>
      </c>
      <c r="AW460" s="8">
        <v>2.5000000000000001E-2</v>
      </c>
      <c r="AX460" s="8">
        <v>2.5000000000000001E-2</v>
      </c>
      <c r="AY460" s="8">
        <v>2.5000000000000001E-2</v>
      </c>
      <c r="AZ460" s="8">
        <v>2.5000000000000001E-2</v>
      </c>
      <c r="BA460" s="8">
        <v>2.5000000000000001E-2</v>
      </c>
      <c r="BB460" s="8">
        <v>2.5000000000000001E-2</v>
      </c>
      <c r="BC460" s="8">
        <v>2.5000000000000001E-2</v>
      </c>
      <c r="BD460" s="8">
        <v>2.5000000000000001E-2</v>
      </c>
      <c r="BE460" s="8">
        <v>2.5000000000000001E-2</v>
      </c>
      <c r="BF460" s="8">
        <v>2.5000000000000001E-2</v>
      </c>
      <c r="BG460" s="8">
        <v>2.5000000000000001E-2</v>
      </c>
      <c r="BH460" s="8">
        <v>2.5000000000000001E-2</v>
      </c>
      <c r="BI460" s="8">
        <v>2.5000000000000001E-2</v>
      </c>
      <c r="BJ460" s="8">
        <v>2.5000000000000001E-2</v>
      </c>
      <c r="BK460" s="8">
        <v>2.5000000000000001E-2</v>
      </c>
      <c r="BL460" s="8">
        <v>2.5000000000000001E-2</v>
      </c>
      <c r="BY460" s="8" t="str">
        <f>+_xlfn.XLOOKUP(Table1[[#This Row],[L4 Code]],KIRMATAŞ!B:B,KIRMATAŞ!B:B,"")</f>
        <v/>
      </c>
      <c r="BZ460" s="8" t="str">
        <f>+_xlfn.XLOOKUP(Table1[[#This Row],[L4 Code]],'SU TEMİNİ'!C:C,'SU TEMİNİ'!C:C,"")</f>
        <v/>
      </c>
      <c r="CA460" s="8" t="str">
        <f>+_xlfn.XLOOKUP(Table1[[#This Row],[L4 Code]],TAŞ!C:C,TAŞ!C:C,"")</f>
        <v/>
      </c>
      <c r="CB460" s="8" t="str">
        <f>Table1[[#This Row],[L4 Code]]&amp;"-"&amp;Table1[[#This Row],[T1 Code]]</f>
        <v>E-06.MBL-02.ARK-210-1000</v>
      </c>
    </row>
    <row r="461" spans="1:80">
      <c r="A461" s="3" t="s">
        <v>5444</v>
      </c>
      <c r="B461" t="s">
        <v>4506</v>
      </c>
      <c r="D461" t="s">
        <v>4967</v>
      </c>
      <c r="F461" s="77" t="s">
        <v>4973</v>
      </c>
      <c r="H461" s="3" t="s">
        <v>4984</v>
      </c>
      <c r="I461" s="3"/>
      <c r="J461" s="78"/>
      <c r="K461" s="78"/>
      <c r="M461" s="78"/>
      <c r="X461" s="10"/>
      <c r="Y461" s="8">
        <v>2.5000000000000001E-2</v>
      </c>
      <c r="Z461" s="8">
        <v>2.5000000000000001E-2</v>
      </c>
      <c r="AA461" s="8">
        <v>2.5000000000000001E-2</v>
      </c>
      <c r="AB461" s="8">
        <v>2.5000000000000001E-2</v>
      </c>
      <c r="AC461" s="8">
        <v>2.5000000000000001E-2</v>
      </c>
      <c r="AD461" s="8">
        <v>2.5000000000000001E-2</v>
      </c>
      <c r="AE461" s="8">
        <v>2.5000000000000001E-2</v>
      </c>
      <c r="AF461" s="8">
        <v>2.5000000000000001E-2</v>
      </c>
      <c r="AG461" s="8">
        <v>2.5000000000000001E-2</v>
      </c>
      <c r="AH461" s="8">
        <v>2.5000000000000001E-2</v>
      </c>
      <c r="AI461" s="8">
        <v>2.5000000000000001E-2</v>
      </c>
      <c r="AJ461" s="8">
        <v>2.5000000000000001E-2</v>
      </c>
      <c r="AK461" s="8">
        <v>2.5000000000000001E-2</v>
      </c>
      <c r="AL461" s="8">
        <v>2.5000000000000001E-2</v>
      </c>
      <c r="AM461" s="8">
        <v>2.5000000000000001E-2</v>
      </c>
      <c r="AN461" s="8">
        <v>2.5000000000000001E-2</v>
      </c>
      <c r="AO461" s="8">
        <v>2.5000000000000001E-2</v>
      </c>
      <c r="AP461" s="8">
        <v>2.5000000000000001E-2</v>
      </c>
      <c r="AQ461" s="8">
        <v>2.5000000000000001E-2</v>
      </c>
      <c r="AR461" s="8">
        <v>2.5000000000000001E-2</v>
      </c>
      <c r="AS461" s="8">
        <v>2.5000000000000001E-2</v>
      </c>
      <c r="AT461" s="8">
        <v>2.5000000000000001E-2</v>
      </c>
      <c r="AU461" s="8">
        <v>2.5000000000000001E-2</v>
      </c>
      <c r="AV461" s="8">
        <v>2.5000000000000001E-2</v>
      </c>
      <c r="AW461" s="8">
        <v>2.5000000000000001E-2</v>
      </c>
      <c r="AX461" s="8">
        <v>2.5000000000000001E-2</v>
      </c>
      <c r="AY461" s="8">
        <v>2.5000000000000001E-2</v>
      </c>
      <c r="AZ461" s="8">
        <v>2.5000000000000001E-2</v>
      </c>
      <c r="BA461" s="8">
        <v>2.5000000000000001E-2</v>
      </c>
      <c r="BB461" s="8">
        <v>2.5000000000000001E-2</v>
      </c>
      <c r="BC461" s="8">
        <v>2.5000000000000001E-2</v>
      </c>
      <c r="BD461" s="8">
        <v>2.5000000000000001E-2</v>
      </c>
      <c r="BE461" s="8">
        <v>2.5000000000000001E-2</v>
      </c>
      <c r="BF461" s="8">
        <v>2.5000000000000001E-2</v>
      </c>
      <c r="BG461" s="8">
        <v>2.5000000000000001E-2</v>
      </c>
      <c r="BH461" s="8">
        <v>2.5000000000000001E-2</v>
      </c>
      <c r="BI461" s="8">
        <v>2.5000000000000001E-2</v>
      </c>
      <c r="BJ461" s="8">
        <v>2.5000000000000001E-2</v>
      </c>
      <c r="BK461" s="8">
        <v>2.5000000000000001E-2</v>
      </c>
      <c r="BL461" s="8">
        <v>2.5000000000000001E-2</v>
      </c>
      <c r="BY461" s="8" t="str">
        <f>+_xlfn.XLOOKUP(Table1[[#This Row],[L4 Code]],KIRMATAŞ!B:B,KIRMATAŞ!B:B,"")</f>
        <v/>
      </c>
      <c r="BZ461" s="8" t="str">
        <f>+_xlfn.XLOOKUP(Table1[[#This Row],[L4 Code]],'SU TEMİNİ'!C:C,'SU TEMİNİ'!C:C,"")</f>
        <v/>
      </c>
      <c r="CA461" s="8" t="str">
        <f>+_xlfn.XLOOKUP(Table1[[#This Row],[L4 Code]],TAŞ!C:C,TAŞ!C:C,"")</f>
        <v/>
      </c>
      <c r="CB461" s="8" t="str">
        <f>Table1[[#This Row],[L4 Code]]&amp;"-"&amp;Table1[[#This Row],[T1 Code]]</f>
        <v>E-06.MBL-02.ARK-220-1000</v>
      </c>
    </row>
    <row r="462" spans="1:80">
      <c r="A462" s="3" t="s">
        <v>5444</v>
      </c>
      <c r="B462" t="s">
        <v>4508</v>
      </c>
      <c r="D462" t="s">
        <v>4967</v>
      </c>
      <c r="F462" s="77" t="s">
        <v>4973</v>
      </c>
      <c r="H462" s="3" t="s">
        <v>4984</v>
      </c>
      <c r="I462" s="3"/>
      <c r="J462" s="78"/>
      <c r="K462" s="78"/>
      <c r="M462" s="78"/>
      <c r="X462" s="10"/>
      <c r="Y462" s="8">
        <v>2.5000000000000001E-2</v>
      </c>
      <c r="Z462" s="8">
        <v>2.5000000000000001E-2</v>
      </c>
      <c r="AA462" s="8">
        <v>2.5000000000000001E-2</v>
      </c>
      <c r="AB462" s="8">
        <v>2.5000000000000001E-2</v>
      </c>
      <c r="AC462" s="8">
        <v>2.5000000000000001E-2</v>
      </c>
      <c r="AD462" s="8">
        <v>2.5000000000000001E-2</v>
      </c>
      <c r="AE462" s="8">
        <v>2.5000000000000001E-2</v>
      </c>
      <c r="AF462" s="8">
        <v>2.5000000000000001E-2</v>
      </c>
      <c r="AG462" s="8">
        <v>2.5000000000000001E-2</v>
      </c>
      <c r="AH462" s="8">
        <v>2.5000000000000001E-2</v>
      </c>
      <c r="AI462" s="8">
        <v>2.5000000000000001E-2</v>
      </c>
      <c r="AJ462" s="8">
        <v>2.5000000000000001E-2</v>
      </c>
      <c r="AK462" s="8">
        <v>2.5000000000000001E-2</v>
      </c>
      <c r="AL462" s="8">
        <v>2.5000000000000001E-2</v>
      </c>
      <c r="AM462" s="8">
        <v>2.5000000000000001E-2</v>
      </c>
      <c r="AN462" s="8">
        <v>2.5000000000000001E-2</v>
      </c>
      <c r="AO462" s="8">
        <v>2.5000000000000001E-2</v>
      </c>
      <c r="AP462" s="8">
        <v>2.5000000000000001E-2</v>
      </c>
      <c r="AQ462" s="8">
        <v>2.5000000000000001E-2</v>
      </c>
      <c r="AR462" s="8">
        <v>2.5000000000000001E-2</v>
      </c>
      <c r="AS462" s="8">
        <v>2.5000000000000001E-2</v>
      </c>
      <c r="AT462" s="8">
        <v>2.5000000000000001E-2</v>
      </c>
      <c r="AU462" s="8">
        <v>2.5000000000000001E-2</v>
      </c>
      <c r="AV462" s="8">
        <v>2.5000000000000001E-2</v>
      </c>
      <c r="AW462" s="8">
        <v>2.5000000000000001E-2</v>
      </c>
      <c r="AX462" s="8">
        <v>2.5000000000000001E-2</v>
      </c>
      <c r="AY462" s="8">
        <v>2.5000000000000001E-2</v>
      </c>
      <c r="AZ462" s="8">
        <v>2.5000000000000001E-2</v>
      </c>
      <c r="BA462" s="8">
        <v>2.5000000000000001E-2</v>
      </c>
      <c r="BB462" s="8">
        <v>2.5000000000000001E-2</v>
      </c>
      <c r="BC462" s="8">
        <v>2.5000000000000001E-2</v>
      </c>
      <c r="BD462" s="8">
        <v>2.5000000000000001E-2</v>
      </c>
      <c r="BE462" s="8">
        <v>2.5000000000000001E-2</v>
      </c>
      <c r="BF462" s="8">
        <v>2.5000000000000001E-2</v>
      </c>
      <c r="BG462" s="8">
        <v>2.5000000000000001E-2</v>
      </c>
      <c r="BH462" s="8">
        <v>2.5000000000000001E-2</v>
      </c>
      <c r="BI462" s="8">
        <v>2.5000000000000001E-2</v>
      </c>
      <c r="BJ462" s="8">
        <v>2.5000000000000001E-2</v>
      </c>
      <c r="BK462" s="8">
        <v>2.5000000000000001E-2</v>
      </c>
      <c r="BL462" s="8">
        <v>2.5000000000000001E-2</v>
      </c>
      <c r="BY462" s="8" t="str">
        <f>+_xlfn.XLOOKUP(Table1[[#This Row],[L4 Code]],KIRMATAŞ!B:B,KIRMATAŞ!B:B,"")</f>
        <v/>
      </c>
      <c r="BZ462" s="8" t="str">
        <f>+_xlfn.XLOOKUP(Table1[[#This Row],[L4 Code]],'SU TEMİNİ'!C:C,'SU TEMİNİ'!C:C,"")</f>
        <v/>
      </c>
      <c r="CA462" s="8" t="str">
        <f>+_xlfn.XLOOKUP(Table1[[#This Row],[L4 Code]],TAŞ!C:C,TAŞ!C:C,"")</f>
        <v/>
      </c>
      <c r="CB462" s="8" t="str">
        <f>Table1[[#This Row],[L4 Code]]&amp;"-"&amp;Table1[[#This Row],[T1 Code]]</f>
        <v>E-06.MBL-02.ARK-310-1000</v>
      </c>
    </row>
    <row r="463" spans="1:80">
      <c r="A463" s="3" t="s">
        <v>5444</v>
      </c>
      <c r="B463" t="s">
        <v>4510</v>
      </c>
      <c r="D463" t="s">
        <v>4967</v>
      </c>
      <c r="F463" s="77" t="s">
        <v>4973</v>
      </c>
      <c r="H463" s="3" t="s">
        <v>4984</v>
      </c>
      <c r="I463" s="3"/>
      <c r="J463" s="78"/>
      <c r="K463" s="78"/>
      <c r="M463" s="78"/>
      <c r="X463" s="10"/>
      <c r="Y463" s="8">
        <v>2.5000000000000001E-2</v>
      </c>
      <c r="Z463" s="8">
        <v>2.5000000000000001E-2</v>
      </c>
      <c r="AA463" s="8">
        <v>2.5000000000000001E-2</v>
      </c>
      <c r="AB463" s="8">
        <v>2.5000000000000001E-2</v>
      </c>
      <c r="AC463" s="8">
        <v>2.5000000000000001E-2</v>
      </c>
      <c r="AD463" s="8">
        <v>2.5000000000000001E-2</v>
      </c>
      <c r="AE463" s="8">
        <v>2.5000000000000001E-2</v>
      </c>
      <c r="AF463" s="8">
        <v>2.5000000000000001E-2</v>
      </c>
      <c r="AG463" s="8">
        <v>2.5000000000000001E-2</v>
      </c>
      <c r="AH463" s="8">
        <v>2.5000000000000001E-2</v>
      </c>
      <c r="AI463" s="8">
        <v>2.5000000000000001E-2</v>
      </c>
      <c r="AJ463" s="8">
        <v>2.5000000000000001E-2</v>
      </c>
      <c r="AK463" s="8">
        <v>2.5000000000000001E-2</v>
      </c>
      <c r="AL463" s="8">
        <v>2.5000000000000001E-2</v>
      </c>
      <c r="AM463" s="8">
        <v>2.5000000000000001E-2</v>
      </c>
      <c r="AN463" s="8">
        <v>2.5000000000000001E-2</v>
      </c>
      <c r="AO463" s="8">
        <v>2.5000000000000001E-2</v>
      </c>
      <c r="AP463" s="8">
        <v>2.5000000000000001E-2</v>
      </c>
      <c r="AQ463" s="8">
        <v>2.5000000000000001E-2</v>
      </c>
      <c r="AR463" s="8">
        <v>2.5000000000000001E-2</v>
      </c>
      <c r="AS463" s="8">
        <v>2.5000000000000001E-2</v>
      </c>
      <c r="AT463" s="8">
        <v>2.5000000000000001E-2</v>
      </c>
      <c r="AU463" s="8">
        <v>2.5000000000000001E-2</v>
      </c>
      <c r="AV463" s="8">
        <v>2.5000000000000001E-2</v>
      </c>
      <c r="AW463" s="8">
        <v>2.5000000000000001E-2</v>
      </c>
      <c r="AX463" s="8">
        <v>2.5000000000000001E-2</v>
      </c>
      <c r="AY463" s="8">
        <v>2.5000000000000001E-2</v>
      </c>
      <c r="AZ463" s="8">
        <v>2.5000000000000001E-2</v>
      </c>
      <c r="BA463" s="8">
        <v>2.5000000000000001E-2</v>
      </c>
      <c r="BB463" s="8">
        <v>2.5000000000000001E-2</v>
      </c>
      <c r="BC463" s="8">
        <v>2.5000000000000001E-2</v>
      </c>
      <c r="BD463" s="8">
        <v>2.5000000000000001E-2</v>
      </c>
      <c r="BE463" s="8">
        <v>2.5000000000000001E-2</v>
      </c>
      <c r="BF463" s="8">
        <v>2.5000000000000001E-2</v>
      </c>
      <c r="BG463" s="8">
        <v>2.5000000000000001E-2</v>
      </c>
      <c r="BH463" s="8">
        <v>2.5000000000000001E-2</v>
      </c>
      <c r="BI463" s="8">
        <v>2.5000000000000001E-2</v>
      </c>
      <c r="BJ463" s="8">
        <v>2.5000000000000001E-2</v>
      </c>
      <c r="BK463" s="8">
        <v>2.5000000000000001E-2</v>
      </c>
      <c r="BL463" s="8">
        <v>2.5000000000000001E-2</v>
      </c>
      <c r="BY463" s="8" t="str">
        <f>+_xlfn.XLOOKUP(Table1[[#This Row],[L4 Code]],KIRMATAŞ!B:B,KIRMATAŞ!B:B,"")</f>
        <v/>
      </c>
      <c r="BZ463" s="8" t="str">
        <f>+_xlfn.XLOOKUP(Table1[[#This Row],[L4 Code]],'SU TEMİNİ'!C:C,'SU TEMİNİ'!C:C,"")</f>
        <v/>
      </c>
      <c r="CA463" s="8" t="str">
        <f>+_xlfn.XLOOKUP(Table1[[#This Row],[L4 Code]],TAŞ!C:C,TAŞ!C:C,"")</f>
        <v/>
      </c>
      <c r="CB463" s="8" t="str">
        <f>Table1[[#This Row],[L4 Code]]&amp;"-"&amp;Table1[[#This Row],[T1 Code]]</f>
        <v>E-06.MBL-02.ARK-410-1000</v>
      </c>
    </row>
    <row r="464" spans="1:80">
      <c r="A464" s="3" t="s">
        <v>5444</v>
      </c>
      <c r="B464" t="s">
        <v>4517</v>
      </c>
      <c r="D464" t="s">
        <v>4967</v>
      </c>
      <c r="F464" s="77" t="s">
        <v>4973</v>
      </c>
      <c r="H464" s="3" t="s">
        <v>4984</v>
      </c>
      <c r="I464" s="3"/>
      <c r="J464" s="78"/>
      <c r="K464" s="78"/>
      <c r="M464" s="78"/>
      <c r="X464" s="10"/>
      <c r="Y464" s="8">
        <v>0.16666666666666666</v>
      </c>
      <c r="Z464" s="8">
        <v>0.16666666666666666</v>
      </c>
      <c r="AA464" s="8">
        <v>0.16666666666666666</v>
      </c>
      <c r="AB464" s="8">
        <v>0.16666666666666666</v>
      </c>
      <c r="AC464" s="8">
        <v>0.16666666666666666</v>
      </c>
      <c r="AD464" s="8">
        <v>0.16666666666666666</v>
      </c>
      <c r="BY464" s="8" t="str">
        <f>+_xlfn.XLOOKUP(Table1[[#This Row],[L4 Code]],KIRMATAŞ!B:B,KIRMATAŞ!B:B,"")</f>
        <v/>
      </c>
      <c r="BZ464" s="8" t="str">
        <f>+_xlfn.XLOOKUP(Table1[[#This Row],[L4 Code]],'SU TEMİNİ'!C:C,'SU TEMİNİ'!C:C,"")</f>
        <v/>
      </c>
      <c r="CA464" s="8" t="str">
        <f>+_xlfn.XLOOKUP(Table1[[#This Row],[L4 Code]],TAŞ!C:C,TAŞ!C:C,"")</f>
        <v/>
      </c>
      <c r="CB464" s="8" t="str">
        <f>Table1[[#This Row],[L4 Code]]&amp;"-"&amp;Table1[[#This Row],[T1 Code]]</f>
        <v>E-06.MBL-03.PRF-001-1000</v>
      </c>
    </row>
    <row r="465" spans="1:80">
      <c r="A465" s="3" t="s">
        <v>5444</v>
      </c>
      <c r="B465" t="s">
        <v>4523</v>
      </c>
      <c r="D465" t="s">
        <v>4967</v>
      </c>
      <c r="F465" s="77" t="s">
        <v>4973</v>
      </c>
      <c r="H465" s="3" t="s">
        <v>4984</v>
      </c>
      <c r="I465" s="3"/>
      <c r="J465" s="78"/>
      <c r="K465" s="78"/>
      <c r="M465" s="78"/>
      <c r="X465" s="10"/>
      <c r="Y465" s="8">
        <v>0.16666666666666666</v>
      </c>
      <c r="Z465" s="8">
        <v>0.16666666666666666</v>
      </c>
      <c r="AA465" s="8">
        <v>0.16666666666666666</v>
      </c>
      <c r="AB465" s="8">
        <v>0.16666666666666666</v>
      </c>
      <c r="AC465" s="8">
        <v>0.16666666666666666</v>
      </c>
      <c r="AD465" s="8">
        <v>0.16666666666666666</v>
      </c>
      <c r="BY465" s="8" t="str">
        <f>+_xlfn.XLOOKUP(Table1[[#This Row],[L4 Code]],KIRMATAŞ!B:B,KIRMATAŞ!B:B,"")</f>
        <v/>
      </c>
      <c r="BZ465" s="8" t="str">
        <f>+_xlfn.XLOOKUP(Table1[[#This Row],[L4 Code]],'SU TEMİNİ'!C:C,'SU TEMİNİ'!C:C,"")</f>
        <v/>
      </c>
      <c r="CA465" s="8" t="str">
        <f>+_xlfn.XLOOKUP(Table1[[#This Row],[L4 Code]],TAŞ!C:C,TAŞ!C:C,"")</f>
        <v/>
      </c>
      <c r="CB465" s="8" t="str">
        <f>Table1[[#This Row],[L4 Code]]&amp;"-"&amp;Table1[[#This Row],[T1 Code]]</f>
        <v>E-06.MBL-03.PRF-006-1000</v>
      </c>
    </row>
    <row r="466" spans="1:80">
      <c r="A466" s="3" t="s">
        <v>5444</v>
      </c>
      <c r="B466" t="s">
        <v>4525</v>
      </c>
      <c r="D466" t="s">
        <v>4967</v>
      </c>
      <c r="F466" s="77" t="s">
        <v>4973</v>
      </c>
      <c r="H466" s="3" t="s">
        <v>4984</v>
      </c>
      <c r="I466" s="3"/>
      <c r="J466" s="78"/>
      <c r="K466" s="78"/>
      <c r="M466" s="78"/>
      <c r="X466" s="10"/>
      <c r="Y466" s="8">
        <v>0.16666666666666666</v>
      </c>
      <c r="Z466" s="8">
        <v>0.16666666666666666</v>
      </c>
      <c r="AA466" s="8">
        <v>0.16666666666666666</v>
      </c>
      <c r="AB466" s="8">
        <v>0.16666666666666666</v>
      </c>
      <c r="AC466" s="8">
        <v>0.16666666666666666</v>
      </c>
      <c r="AD466" s="8">
        <v>0.16666666666666666</v>
      </c>
      <c r="BY466" s="8" t="str">
        <f>+_xlfn.XLOOKUP(Table1[[#This Row],[L4 Code]],KIRMATAŞ!B:B,KIRMATAŞ!B:B,"")</f>
        <v/>
      </c>
      <c r="BZ466" s="8" t="str">
        <f>+_xlfn.XLOOKUP(Table1[[#This Row],[L4 Code]],'SU TEMİNİ'!C:C,'SU TEMİNİ'!C:C,"")</f>
        <v/>
      </c>
      <c r="CA466" s="8" t="str">
        <f>+_xlfn.XLOOKUP(Table1[[#This Row],[L4 Code]],TAŞ!C:C,TAŞ!C:C,"")</f>
        <v/>
      </c>
      <c r="CB466" s="8" t="str">
        <f>Table1[[#This Row],[L4 Code]]&amp;"-"&amp;Table1[[#This Row],[T1 Code]]</f>
        <v>E-06.MBL-03.PRF-007-1000</v>
      </c>
    </row>
    <row r="467" spans="1:80">
      <c r="A467" s="3" t="s">
        <v>5444</v>
      </c>
      <c r="B467" t="s">
        <v>4527</v>
      </c>
      <c r="D467" t="s">
        <v>4967</v>
      </c>
      <c r="F467" s="77" t="s">
        <v>4973</v>
      </c>
      <c r="H467" s="3" t="s">
        <v>4984</v>
      </c>
      <c r="I467" s="3"/>
      <c r="J467" s="78"/>
      <c r="K467" s="78"/>
      <c r="M467" s="78"/>
      <c r="X467" s="10"/>
      <c r="Y467" s="8">
        <v>0.16666666666666666</v>
      </c>
      <c r="Z467" s="8">
        <v>0.16666666666666666</v>
      </c>
      <c r="AA467" s="8">
        <v>0.16666666666666666</v>
      </c>
      <c r="AB467" s="8">
        <v>0.16666666666666666</v>
      </c>
      <c r="AC467" s="8">
        <v>0.16666666666666666</v>
      </c>
      <c r="AD467" s="8">
        <v>0.16666666666666666</v>
      </c>
      <c r="BY467" s="8" t="str">
        <f>+_xlfn.XLOOKUP(Table1[[#This Row],[L4 Code]],KIRMATAŞ!B:B,KIRMATAŞ!B:B,"")</f>
        <v/>
      </c>
      <c r="BZ467" s="8" t="str">
        <f>+_xlfn.XLOOKUP(Table1[[#This Row],[L4 Code]],'SU TEMİNİ'!C:C,'SU TEMİNİ'!C:C,"")</f>
        <v/>
      </c>
      <c r="CA467" s="8" t="str">
        <f>+_xlfn.XLOOKUP(Table1[[#This Row],[L4 Code]],TAŞ!C:C,TAŞ!C:C,"")</f>
        <v/>
      </c>
      <c r="CB467" s="8" t="str">
        <f>Table1[[#This Row],[L4 Code]]&amp;"-"&amp;Table1[[#This Row],[T1 Code]]</f>
        <v>E-06.MBL-03.PRF-008-1000</v>
      </c>
    </row>
    <row r="468" spans="1:80">
      <c r="A468" s="3" t="s">
        <v>5444</v>
      </c>
      <c r="B468" t="s">
        <v>4529</v>
      </c>
      <c r="D468" t="s">
        <v>4967</v>
      </c>
      <c r="F468" s="77" t="s">
        <v>4973</v>
      </c>
      <c r="H468" s="3" t="s">
        <v>4984</v>
      </c>
      <c r="I468" s="3"/>
      <c r="J468" s="78"/>
      <c r="K468" s="78"/>
      <c r="M468" s="78"/>
      <c r="X468" s="10"/>
      <c r="Y468" s="8">
        <v>0.16666666666666666</v>
      </c>
      <c r="Z468" s="8">
        <v>0.16666666666666666</v>
      </c>
      <c r="AA468" s="8">
        <v>0.16666666666666666</v>
      </c>
      <c r="AB468" s="8">
        <v>0.16666666666666666</v>
      </c>
      <c r="AC468" s="8">
        <v>0.16666666666666666</v>
      </c>
      <c r="AD468" s="8">
        <v>0.16666666666666666</v>
      </c>
      <c r="BY468" s="8" t="str">
        <f>+_xlfn.XLOOKUP(Table1[[#This Row],[L4 Code]],KIRMATAŞ!B:B,KIRMATAŞ!B:B,"")</f>
        <v/>
      </c>
      <c r="BZ468" s="8" t="str">
        <f>+_xlfn.XLOOKUP(Table1[[#This Row],[L4 Code]],'SU TEMİNİ'!C:C,'SU TEMİNİ'!C:C,"")</f>
        <v/>
      </c>
      <c r="CA468" s="8" t="str">
        <f>+_xlfn.XLOOKUP(Table1[[#This Row],[L4 Code]],TAŞ!C:C,TAŞ!C:C,"")</f>
        <v/>
      </c>
      <c r="CB468" s="8" t="str">
        <f>Table1[[#This Row],[L4 Code]]&amp;"-"&amp;Table1[[#This Row],[T1 Code]]</f>
        <v>E-06.MBL-03.PRF-011-1000</v>
      </c>
    </row>
    <row r="469" spans="1:80">
      <c r="A469" s="3" t="s">
        <v>5444</v>
      </c>
      <c r="B469" t="s">
        <v>4531</v>
      </c>
      <c r="D469" t="s">
        <v>4967</v>
      </c>
      <c r="F469" s="77" t="s">
        <v>4973</v>
      </c>
      <c r="H469" s="3" t="s">
        <v>4984</v>
      </c>
      <c r="I469" s="3"/>
      <c r="J469" s="78"/>
      <c r="K469" s="78"/>
      <c r="M469" s="78"/>
      <c r="X469" s="10"/>
      <c r="Y469" s="8">
        <v>0.16666666666666666</v>
      </c>
      <c r="Z469" s="8">
        <v>0.16666666666666666</v>
      </c>
      <c r="AA469" s="8">
        <v>0.16666666666666666</v>
      </c>
      <c r="AB469" s="8">
        <v>0.16666666666666666</v>
      </c>
      <c r="AC469" s="8">
        <v>0.16666666666666666</v>
      </c>
      <c r="AD469" s="8">
        <v>0.16666666666666666</v>
      </c>
      <c r="BY469" s="8" t="str">
        <f>+_xlfn.XLOOKUP(Table1[[#This Row],[L4 Code]],KIRMATAŞ!B:B,KIRMATAŞ!B:B,"")</f>
        <v/>
      </c>
      <c r="BZ469" s="8" t="str">
        <f>+_xlfn.XLOOKUP(Table1[[#This Row],[L4 Code]],'SU TEMİNİ'!C:C,'SU TEMİNİ'!C:C,"")</f>
        <v/>
      </c>
      <c r="CA469" s="8" t="str">
        <f>+_xlfn.XLOOKUP(Table1[[#This Row],[L4 Code]],TAŞ!C:C,TAŞ!C:C,"")</f>
        <v/>
      </c>
      <c r="CB469" s="8" t="str">
        <f>Table1[[#This Row],[L4 Code]]&amp;"-"&amp;Table1[[#This Row],[T1 Code]]</f>
        <v>E-06.MBL-03.PRF-012-1000</v>
      </c>
    </row>
    <row r="470" spans="1:80">
      <c r="A470" s="3" t="s">
        <v>5444</v>
      </c>
      <c r="B470" t="s">
        <v>4533</v>
      </c>
      <c r="D470" t="s">
        <v>4967</v>
      </c>
      <c r="F470" s="77" t="s">
        <v>4973</v>
      </c>
      <c r="H470" s="3" t="s">
        <v>4984</v>
      </c>
      <c r="I470" s="3"/>
      <c r="J470" s="78"/>
      <c r="K470" s="78"/>
      <c r="M470" s="78"/>
      <c r="X470" s="10"/>
      <c r="Y470" s="8">
        <v>0.16666666666666666</v>
      </c>
      <c r="Z470" s="8">
        <v>0.16666666666666666</v>
      </c>
      <c r="AA470" s="8">
        <v>0.16666666666666666</v>
      </c>
      <c r="AB470" s="8">
        <v>0.16666666666666666</v>
      </c>
      <c r="AC470" s="8">
        <v>0.16666666666666666</v>
      </c>
      <c r="AD470" s="8">
        <v>0.16666666666666666</v>
      </c>
      <c r="BY470" s="8" t="str">
        <f>+_xlfn.XLOOKUP(Table1[[#This Row],[L4 Code]],KIRMATAŞ!B:B,KIRMATAŞ!B:B,"")</f>
        <v/>
      </c>
      <c r="BZ470" s="8" t="str">
        <f>+_xlfn.XLOOKUP(Table1[[#This Row],[L4 Code]],'SU TEMİNİ'!C:C,'SU TEMİNİ'!C:C,"")</f>
        <v/>
      </c>
      <c r="CA470" s="8" t="str">
        <f>+_xlfn.XLOOKUP(Table1[[#This Row],[L4 Code]],TAŞ!C:C,TAŞ!C:C,"")</f>
        <v/>
      </c>
      <c r="CB470" s="8" t="str">
        <f>Table1[[#This Row],[L4 Code]]&amp;"-"&amp;Table1[[#This Row],[T1 Code]]</f>
        <v>E-06.MBL-03.PRF-013-1000</v>
      </c>
    </row>
    <row r="471" spans="1:80">
      <c r="A471" s="3" t="s">
        <v>5444</v>
      </c>
      <c r="B471" t="s">
        <v>4535</v>
      </c>
      <c r="D471" t="s">
        <v>4967</v>
      </c>
      <c r="F471" s="77" t="s">
        <v>4973</v>
      </c>
      <c r="H471" s="3" t="s">
        <v>4984</v>
      </c>
      <c r="I471" s="3"/>
      <c r="J471" s="78"/>
      <c r="K471" s="78"/>
      <c r="M471" s="78"/>
      <c r="X471" s="10"/>
      <c r="Y471" s="8">
        <v>0.16666666666666666</v>
      </c>
      <c r="Z471" s="8">
        <v>0.16666666666666666</v>
      </c>
      <c r="AA471" s="8">
        <v>0.16666666666666666</v>
      </c>
      <c r="AB471" s="8">
        <v>0.16666666666666666</v>
      </c>
      <c r="AC471" s="8">
        <v>0.16666666666666666</v>
      </c>
      <c r="AD471" s="8">
        <v>0.16666666666666666</v>
      </c>
      <c r="BY471" s="8" t="str">
        <f>+_xlfn.XLOOKUP(Table1[[#This Row],[L4 Code]],KIRMATAŞ!B:B,KIRMATAŞ!B:B,"")</f>
        <v/>
      </c>
      <c r="BZ471" s="8" t="str">
        <f>+_xlfn.XLOOKUP(Table1[[#This Row],[L4 Code]],'SU TEMİNİ'!C:C,'SU TEMİNİ'!C:C,"")</f>
        <v/>
      </c>
      <c r="CA471" s="8" t="str">
        <f>+_xlfn.XLOOKUP(Table1[[#This Row],[L4 Code]],TAŞ!C:C,TAŞ!C:C,"")</f>
        <v/>
      </c>
      <c r="CB471" s="8" t="str">
        <f>Table1[[#This Row],[L4 Code]]&amp;"-"&amp;Table1[[#This Row],[T1 Code]]</f>
        <v>E-06.MBL-03.PRF-014-1000</v>
      </c>
    </row>
    <row r="472" spans="1:80">
      <c r="A472" s="3" t="s">
        <v>5444</v>
      </c>
      <c r="B472" t="s">
        <v>4537</v>
      </c>
      <c r="D472" t="s">
        <v>4967</v>
      </c>
      <c r="F472" s="77" t="s">
        <v>4973</v>
      </c>
      <c r="H472" s="3" t="s">
        <v>4984</v>
      </c>
      <c r="I472" s="3"/>
      <c r="J472" s="78"/>
      <c r="K472" s="78"/>
      <c r="M472" s="78"/>
      <c r="X472" s="10"/>
      <c r="Y472" s="8">
        <v>0.16666666666666666</v>
      </c>
      <c r="Z472" s="8">
        <v>0.16666666666666666</v>
      </c>
      <c r="AA472" s="8">
        <v>0.16666666666666666</v>
      </c>
      <c r="AB472" s="8">
        <v>0.16666666666666666</v>
      </c>
      <c r="AC472" s="8">
        <v>0.16666666666666666</v>
      </c>
      <c r="AD472" s="8">
        <v>0.16666666666666666</v>
      </c>
      <c r="BY472" s="8" t="str">
        <f>+_xlfn.XLOOKUP(Table1[[#This Row],[L4 Code]],KIRMATAŞ!B:B,KIRMATAŞ!B:B,"")</f>
        <v/>
      </c>
      <c r="BZ472" s="8" t="str">
        <f>+_xlfn.XLOOKUP(Table1[[#This Row],[L4 Code]],'SU TEMİNİ'!C:C,'SU TEMİNİ'!C:C,"")</f>
        <v/>
      </c>
      <c r="CA472" s="8" t="str">
        <f>+_xlfn.XLOOKUP(Table1[[#This Row],[L4 Code]],TAŞ!C:C,TAŞ!C:C,"")</f>
        <v/>
      </c>
      <c r="CB472" s="8" t="str">
        <f>Table1[[#This Row],[L4 Code]]&amp;"-"&amp;Table1[[#This Row],[T1 Code]]</f>
        <v>E-06.MBL-03.PRF-015-1000</v>
      </c>
    </row>
    <row r="473" spans="1:80">
      <c r="A473" s="3" t="s">
        <v>5444</v>
      </c>
      <c r="B473" t="s">
        <v>4539</v>
      </c>
      <c r="D473" t="s">
        <v>4967</v>
      </c>
      <c r="F473" s="77" t="s">
        <v>4973</v>
      </c>
      <c r="H473" s="3" t="s">
        <v>4984</v>
      </c>
      <c r="I473" s="3"/>
      <c r="J473" s="78"/>
      <c r="K473" s="78"/>
      <c r="M473" s="78"/>
      <c r="X473" s="10"/>
      <c r="Y473" s="8">
        <v>0.16666666666666666</v>
      </c>
      <c r="Z473" s="8">
        <v>0.16666666666666666</v>
      </c>
      <c r="AA473" s="8">
        <v>0.16666666666666666</v>
      </c>
      <c r="AB473" s="8">
        <v>0.16666666666666666</v>
      </c>
      <c r="AC473" s="8">
        <v>0.16666666666666666</v>
      </c>
      <c r="AD473" s="8">
        <v>0.16666666666666666</v>
      </c>
      <c r="BY473" s="8" t="str">
        <f>+_xlfn.XLOOKUP(Table1[[#This Row],[L4 Code]],KIRMATAŞ!B:B,KIRMATAŞ!B:B,"")</f>
        <v/>
      </c>
      <c r="BZ473" s="8" t="str">
        <f>+_xlfn.XLOOKUP(Table1[[#This Row],[L4 Code]],'SU TEMİNİ'!C:C,'SU TEMİNİ'!C:C,"")</f>
        <v/>
      </c>
      <c r="CA473" s="8" t="str">
        <f>+_xlfn.XLOOKUP(Table1[[#This Row],[L4 Code]],TAŞ!C:C,TAŞ!C:C,"")</f>
        <v/>
      </c>
      <c r="CB473" s="8" t="str">
        <f>Table1[[#This Row],[L4 Code]]&amp;"-"&amp;Table1[[#This Row],[T1 Code]]</f>
        <v>E-06.MBL-03.PRF-021-1000</v>
      </c>
    </row>
    <row r="474" spans="1:80">
      <c r="A474" s="3" t="s">
        <v>5444</v>
      </c>
      <c r="B474" t="s">
        <v>4541</v>
      </c>
      <c r="D474" t="s">
        <v>4967</v>
      </c>
      <c r="F474" s="77" t="s">
        <v>4973</v>
      </c>
      <c r="H474" s="3" t="s">
        <v>4984</v>
      </c>
      <c r="I474" s="3"/>
      <c r="J474" s="78"/>
      <c r="K474" s="78"/>
      <c r="M474" s="78"/>
      <c r="X474" s="10"/>
      <c r="Y474" s="8">
        <v>0.16666666666666666</v>
      </c>
      <c r="Z474" s="8">
        <v>0.16666666666666666</v>
      </c>
      <c r="AA474" s="8">
        <v>0.16666666666666666</v>
      </c>
      <c r="AB474" s="8">
        <v>0.16666666666666666</v>
      </c>
      <c r="AC474" s="8">
        <v>0.16666666666666666</v>
      </c>
      <c r="AD474" s="8">
        <v>0.16666666666666666</v>
      </c>
      <c r="BY474" s="8" t="str">
        <f>+_xlfn.XLOOKUP(Table1[[#This Row],[L4 Code]],KIRMATAŞ!B:B,KIRMATAŞ!B:B,"")</f>
        <v/>
      </c>
      <c r="BZ474" s="8" t="str">
        <f>+_xlfn.XLOOKUP(Table1[[#This Row],[L4 Code]],'SU TEMİNİ'!C:C,'SU TEMİNİ'!C:C,"")</f>
        <v/>
      </c>
      <c r="CA474" s="8" t="str">
        <f>+_xlfn.XLOOKUP(Table1[[#This Row],[L4 Code]],TAŞ!C:C,TAŞ!C:C,"")</f>
        <v/>
      </c>
      <c r="CB474" s="8" t="str">
        <f>Table1[[#This Row],[L4 Code]]&amp;"-"&amp;Table1[[#This Row],[T1 Code]]</f>
        <v>E-06.MBL-03.PRF-022-1000</v>
      </c>
    </row>
    <row r="475" spans="1:80">
      <c r="A475" s="3" t="s">
        <v>5444</v>
      </c>
      <c r="B475" t="s">
        <v>4543</v>
      </c>
      <c r="D475" t="s">
        <v>4967</v>
      </c>
      <c r="F475" s="77" t="s">
        <v>4973</v>
      </c>
      <c r="H475" s="3" t="s">
        <v>4984</v>
      </c>
      <c r="I475" s="3"/>
      <c r="J475" s="78"/>
      <c r="K475" s="78"/>
      <c r="M475" s="78"/>
      <c r="X475" s="10"/>
      <c r="Y475" s="8">
        <v>0.16666666666666666</v>
      </c>
      <c r="Z475" s="8">
        <v>0.16666666666666666</v>
      </c>
      <c r="AA475" s="8">
        <v>0.16666666666666666</v>
      </c>
      <c r="AB475" s="8">
        <v>0.16666666666666666</v>
      </c>
      <c r="AC475" s="8">
        <v>0.16666666666666666</v>
      </c>
      <c r="AD475" s="8">
        <v>0.16666666666666666</v>
      </c>
      <c r="BY475" s="8" t="str">
        <f>+_xlfn.XLOOKUP(Table1[[#This Row],[L4 Code]],KIRMATAŞ!B:B,KIRMATAŞ!B:B,"")</f>
        <v/>
      </c>
      <c r="BZ475" s="8" t="str">
        <f>+_xlfn.XLOOKUP(Table1[[#This Row],[L4 Code]],'SU TEMİNİ'!C:C,'SU TEMİNİ'!C:C,"")</f>
        <v/>
      </c>
      <c r="CA475" s="8" t="str">
        <f>+_xlfn.XLOOKUP(Table1[[#This Row],[L4 Code]],TAŞ!C:C,TAŞ!C:C,"")</f>
        <v/>
      </c>
      <c r="CB475" s="8" t="str">
        <f>Table1[[#This Row],[L4 Code]]&amp;"-"&amp;Table1[[#This Row],[T1 Code]]</f>
        <v>E-06.MBL-03.PRF-023-1000</v>
      </c>
    </row>
    <row r="476" spans="1:80">
      <c r="A476" s="3" t="s">
        <v>5444</v>
      </c>
      <c r="B476" t="s">
        <v>4545</v>
      </c>
      <c r="D476" t="s">
        <v>4967</v>
      </c>
      <c r="F476" s="77" t="s">
        <v>4973</v>
      </c>
      <c r="H476" s="3" t="s">
        <v>4984</v>
      </c>
      <c r="I476" s="3"/>
      <c r="J476" s="78"/>
      <c r="K476" s="78"/>
      <c r="M476" s="78"/>
      <c r="X476" s="10"/>
      <c r="Y476" s="8">
        <v>0.16666666666666666</v>
      </c>
      <c r="Z476" s="8">
        <v>0.16666666666666666</v>
      </c>
      <c r="AA476" s="8">
        <v>0.16666666666666666</v>
      </c>
      <c r="AB476" s="8">
        <v>0.16666666666666666</v>
      </c>
      <c r="AC476" s="8">
        <v>0.16666666666666666</v>
      </c>
      <c r="AD476" s="8">
        <v>0.16666666666666666</v>
      </c>
      <c r="BY476" s="8" t="str">
        <f>+_xlfn.XLOOKUP(Table1[[#This Row],[L4 Code]],KIRMATAŞ!B:B,KIRMATAŞ!B:B,"")</f>
        <v/>
      </c>
      <c r="BZ476" s="8" t="str">
        <f>+_xlfn.XLOOKUP(Table1[[#This Row],[L4 Code]],'SU TEMİNİ'!C:C,'SU TEMİNİ'!C:C,"")</f>
        <v/>
      </c>
      <c r="CA476" s="8" t="str">
        <f>+_xlfn.XLOOKUP(Table1[[#This Row],[L4 Code]],TAŞ!C:C,TAŞ!C:C,"")</f>
        <v/>
      </c>
      <c r="CB476" s="8" t="str">
        <f>Table1[[#This Row],[L4 Code]]&amp;"-"&amp;Table1[[#This Row],[T1 Code]]</f>
        <v>E-06.MBL-03.PRF-024-1000</v>
      </c>
    </row>
    <row r="477" spans="1:80">
      <c r="A477" s="3" t="s">
        <v>5444</v>
      </c>
      <c r="B477" t="s">
        <v>4547</v>
      </c>
      <c r="D477" t="s">
        <v>4967</v>
      </c>
      <c r="F477" s="77" t="s">
        <v>4973</v>
      </c>
      <c r="H477" s="3" t="s">
        <v>4984</v>
      </c>
      <c r="I477" s="3"/>
      <c r="J477" s="78"/>
      <c r="K477" s="78"/>
      <c r="M477" s="78"/>
      <c r="X477" s="10"/>
      <c r="Y477" s="8">
        <v>0.16666666666666666</v>
      </c>
      <c r="Z477" s="8">
        <v>0.16666666666666666</v>
      </c>
      <c r="AA477" s="8">
        <v>0.16666666666666666</v>
      </c>
      <c r="AB477" s="8">
        <v>0.16666666666666666</v>
      </c>
      <c r="AC477" s="8">
        <v>0.16666666666666666</v>
      </c>
      <c r="AD477" s="8">
        <v>0.16666666666666666</v>
      </c>
      <c r="BY477" s="8" t="str">
        <f>+_xlfn.XLOOKUP(Table1[[#This Row],[L4 Code]],KIRMATAŞ!B:B,KIRMATAŞ!B:B,"")</f>
        <v/>
      </c>
      <c r="BZ477" s="8" t="str">
        <f>+_xlfn.XLOOKUP(Table1[[#This Row],[L4 Code]],'SU TEMİNİ'!C:C,'SU TEMİNİ'!C:C,"")</f>
        <v/>
      </c>
      <c r="CA477" s="8" t="str">
        <f>+_xlfn.XLOOKUP(Table1[[#This Row],[L4 Code]],TAŞ!C:C,TAŞ!C:C,"")</f>
        <v/>
      </c>
      <c r="CB477" s="8" t="str">
        <f>Table1[[#This Row],[L4 Code]]&amp;"-"&amp;Table1[[#This Row],[T1 Code]]</f>
        <v>E-06.MBL-03.PRF-025-1000</v>
      </c>
    </row>
    <row r="478" spans="1:80">
      <c r="A478" s="3" t="s">
        <v>5444</v>
      </c>
      <c r="B478" t="s">
        <v>4549</v>
      </c>
      <c r="D478" t="s">
        <v>4967</v>
      </c>
      <c r="F478" s="77" t="s">
        <v>4973</v>
      </c>
      <c r="H478" s="3" t="s">
        <v>4984</v>
      </c>
      <c r="I478" s="3"/>
      <c r="J478" s="78"/>
      <c r="K478" s="78"/>
      <c r="M478" s="78"/>
      <c r="X478" s="10"/>
      <c r="Y478" s="8">
        <v>0.16666666666666666</v>
      </c>
      <c r="Z478" s="8">
        <v>0.16666666666666666</v>
      </c>
      <c r="AA478" s="8">
        <v>0.16666666666666666</v>
      </c>
      <c r="AB478" s="8">
        <v>0.16666666666666666</v>
      </c>
      <c r="AC478" s="8">
        <v>0.16666666666666666</v>
      </c>
      <c r="AD478" s="8">
        <v>0.16666666666666666</v>
      </c>
      <c r="BY478" s="8" t="str">
        <f>+_xlfn.XLOOKUP(Table1[[#This Row],[L4 Code]],KIRMATAŞ!B:B,KIRMATAŞ!B:B,"")</f>
        <v/>
      </c>
      <c r="BZ478" s="8" t="str">
        <f>+_xlfn.XLOOKUP(Table1[[#This Row],[L4 Code]],'SU TEMİNİ'!C:C,'SU TEMİNİ'!C:C,"")</f>
        <v/>
      </c>
      <c r="CA478" s="8" t="str">
        <f>+_xlfn.XLOOKUP(Table1[[#This Row],[L4 Code]],TAŞ!C:C,TAŞ!C:C,"")</f>
        <v/>
      </c>
      <c r="CB478" s="8" t="str">
        <f>Table1[[#This Row],[L4 Code]]&amp;"-"&amp;Table1[[#This Row],[T1 Code]]</f>
        <v>E-06.MBL-03.PRF-031-1000</v>
      </c>
    </row>
    <row r="479" spans="1:80">
      <c r="A479" s="3" t="s">
        <v>5444</v>
      </c>
      <c r="B479" t="s">
        <v>4553</v>
      </c>
      <c r="D479" t="s">
        <v>4967</v>
      </c>
      <c r="F479" s="77" t="s">
        <v>4973</v>
      </c>
      <c r="H479" s="3" t="s">
        <v>4984</v>
      </c>
      <c r="I479" s="3"/>
      <c r="J479" s="78"/>
      <c r="K479" s="78"/>
      <c r="M479" s="78"/>
      <c r="X479" s="10"/>
      <c r="Y479" s="8">
        <v>0.16666666666666666</v>
      </c>
      <c r="Z479" s="8">
        <v>0.16666666666666666</v>
      </c>
      <c r="AA479" s="8">
        <v>0.16666666666666666</v>
      </c>
      <c r="AB479" s="8">
        <v>0.16666666666666666</v>
      </c>
      <c r="AC479" s="8">
        <v>0.16666666666666666</v>
      </c>
      <c r="AD479" s="8">
        <v>0.16666666666666666</v>
      </c>
      <c r="BY479" s="8" t="str">
        <f>+_xlfn.XLOOKUP(Table1[[#This Row],[L4 Code]],KIRMATAŞ!B:B,KIRMATAŞ!B:B,"")</f>
        <v/>
      </c>
      <c r="BZ479" s="8" t="str">
        <f>+_xlfn.XLOOKUP(Table1[[#This Row],[L4 Code]],'SU TEMİNİ'!C:C,'SU TEMİNİ'!C:C,"")</f>
        <v/>
      </c>
      <c r="CA479" s="8" t="str">
        <f>+_xlfn.XLOOKUP(Table1[[#This Row],[L4 Code]],TAŞ!C:C,TAŞ!C:C,"")</f>
        <v/>
      </c>
      <c r="CB479" s="8" t="str">
        <f>Table1[[#This Row],[L4 Code]]&amp;"-"&amp;Table1[[#This Row],[T1 Code]]</f>
        <v>E-06.MBL-03.PRF-033-1000</v>
      </c>
    </row>
    <row r="480" spans="1:80">
      <c r="A480" s="3" t="s">
        <v>5444</v>
      </c>
      <c r="B480" t="s">
        <v>4579</v>
      </c>
      <c r="D480" t="s">
        <v>4967</v>
      </c>
      <c r="F480" s="77" t="s">
        <v>4973</v>
      </c>
      <c r="H480" s="3" t="s">
        <v>4984</v>
      </c>
      <c r="I480" s="3"/>
      <c r="J480" s="78"/>
      <c r="K480" s="78"/>
      <c r="M480" s="78"/>
      <c r="X480" s="10"/>
      <c r="Y480" s="8">
        <v>2.5000000000000001E-2</v>
      </c>
      <c r="Z480" s="8">
        <v>2.5000000000000001E-2</v>
      </c>
      <c r="AA480" s="8">
        <v>2.5000000000000001E-2</v>
      </c>
      <c r="AB480" s="8">
        <v>2.5000000000000001E-2</v>
      </c>
      <c r="AC480" s="8">
        <v>2.5000000000000001E-2</v>
      </c>
      <c r="AD480" s="8">
        <v>2.5000000000000001E-2</v>
      </c>
      <c r="AE480" s="8">
        <v>2.5000000000000001E-2</v>
      </c>
      <c r="AF480" s="8">
        <v>2.5000000000000001E-2</v>
      </c>
      <c r="AG480" s="8">
        <v>2.5000000000000001E-2</v>
      </c>
      <c r="AH480" s="8">
        <v>2.5000000000000001E-2</v>
      </c>
      <c r="AI480" s="8">
        <v>2.5000000000000001E-2</v>
      </c>
      <c r="AJ480" s="8">
        <v>2.5000000000000001E-2</v>
      </c>
      <c r="AK480" s="8">
        <v>2.5000000000000001E-2</v>
      </c>
      <c r="AL480" s="8">
        <v>2.5000000000000001E-2</v>
      </c>
      <c r="AM480" s="8">
        <v>2.5000000000000001E-2</v>
      </c>
      <c r="AN480" s="8">
        <v>2.5000000000000001E-2</v>
      </c>
      <c r="AO480" s="8">
        <v>2.5000000000000001E-2</v>
      </c>
      <c r="AP480" s="8">
        <v>2.5000000000000001E-2</v>
      </c>
      <c r="AQ480" s="8">
        <v>2.5000000000000001E-2</v>
      </c>
      <c r="AR480" s="8">
        <v>2.5000000000000001E-2</v>
      </c>
      <c r="AS480" s="8">
        <v>2.5000000000000001E-2</v>
      </c>
      <c r="AT480" s="8">
        <v>2.5000000000000001E-2</v>
      </c>
      <c r="AU480" s="8">
        <v>2.5000000000000001E-2</v>
      </c>
      <c r="AV480" s="8">
        <v>2.5000000000000001E-2</v>
      </c>
      <c r="AW480" s="8">
        <v>2.5000000000000001E-2</v>
      </c>
      <c r="AX480" s="8">
        <v>2.5000000000000001E-2</v>
      </c>
      <c r="AY480" s="8">
        <v>2.5000000000000001E-2</v>
      </c>
      <c r="AZ480" s="8">
        <v>2.5000000000000001E-2</v>
      </c>
      <c r="BA480" s="8">
        <v>2.5000000000000001E-2</v>
      </c>
      <c r="BB480" s="8">
        <v>2.5000000000000001E-2</v>
      </c>
      <c r="BC480" s="8">
        <v>2.5000000000000001E-2</v>
      </c>
      <c r="BD480" s="8">
        <v>2.5000000000000001E-2</v>
      </c>
      <c r="BE480" s="8">
        <v>2.5000000000000001E-2</v>
      </c>
      <c r="BF480" s="8">
        <v>2.5000000000000001E-2</v>
      </c>
      <c r="BG480" s="8">
        <v>2.5000000000000001E-2</v>
      </c>
      <c r="BH480" s="8">
        <v>2.5000000000000001E-2</v>
      </c>
      <c r="BI480" s="8">
        <v>2.5000000000000001E-2</v>
      </c>
      <c r="BJ480" s="8">
        <v>2.5000000000000001E-2</v>
      </c>
      <c r="BK480" s="8">
        <v>2.5000000000000001E-2</v>
      </c>
      <c r="BL480" s="8">
        <v>2.5000000000000001E-2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BX480" s="8">
        <v>1.8867924528301886E-2</v>
      </c>
      <c r="BY480" s="8" t="str">
        <f>+_xlfn.XLOOKUP(Table1[[#This Row],[L4 Code]],KIRMATAŞ!B:B,KIRMATAŞ!B:B,"")</f>
        <v/>
      </c>
      <c r="BZ480" s="8" t="str">
        <f>+_xlfn.XLOOKUP(Table1[[#This Row],[L4 Code]],'SU TEMİNİ'!C:C,'SU TEMİNİ'!C:C,"")</f>
        <v/>
      </c>
      <c r="CA480" s="8" t="str">
        <f>+_xlfn.XLOOKUP(Table1[[#This Row],[L4 Code]],TAŞ!C:C,TAŞ!C:C,"")</f>
        <v/>
      </c>
      <c r="CB480" s="8" t="str">
        <f>Table1[[#This Row],[L4 Code]]&amp;"-"&amp;Table1[[#This Row],[T1 Code]]</f>
        <v>E-06.MBL-06.TSS-140-1000</v>
      </c>
    </row>
    <row r="481" spans="1:80">
      <c r="A481" s="3" t="s">
        <v>5444</v>
      </c>
      <c r="B481" t="s">
        <v>4594</v>
      </c>
      <c r="D481" t="s">
        <v>4967</v>
      </c>
      <c r="F481" s="77" t="s">
        <v>4973</v>
      </c>
      <c r="H481" s="3" t="s">
        <v>4984</v>
      </c>
      <c r="I481" s="3"/>
      <c r="J481" s="78"/>
      <c r="K481" s="78"/>
      <c r="M481" s="78"/>
      <c r="X481" s="10"/>
      <c r="Y481" s="8">
        <v>2.5000000000000001E-2</v>
      </c>
      <c r="Z481" s="8">
        <v>2.5000000000000001E-2</v>
      </c>
      <c r="AA481" s="8">
        <v>2.5000000000000001E-2</v>
      </c>
      <c r="AB481" s="8">
        <v>2.5000000000000001E-2</v>
      </c>
      <c r="AC481" s="8">
        <v>2.5000000000000001E-2</v>
      </c>
      <c r="AD481" s="8">
        <v>2.5000000000000001E-2</v>
      </c>
      <c r="AE481" s="8">
        <v>2.5000000000000001E-2</v>
      </c>
      <c r="AF481" s="8">
        <v>2.5000000000000001E-2</v>
      </c>
      <c r="AG481" s="8">
        <v>2.5000000000000001E-2</v>
      </c>
      <c r="AH481" s="8">
        <v>2.5000000000000001E-2</v>
      </c>
      <c r="AI481" s="8">
        <v>2.5000000000000001E-2</v>
      </c>
      <c r="AJ481" s="8">
        <v>2.5000000000000001E-2</v>
      </c>
      <c r="AK481" s="8">
        <v>2.5000000000000001E-2</v>
      </c>
      <c r="AL481" s="8">
        <v>2.5000000000000001E-2</v>
      </c>
      <c r="AM481" s="8">
        <v>2.5000000000000001E-2</v>
      </c>
      <c r="AN481" s="8">
        <v>2.5000000000000001E-2</v>
      </c>
      <c r="AO481" s="8">
        <v>2.5000000000000001E-2</v>
      </c>
      <c r="AP481" s="8">
        <v>2.5000000000000001E-2</v>
      </c>
      <c r="AQ481" s="8">
        <v>2.5000000000000001E-2</v>
      </c>
      <c r="AR481" s="8">
        <v>2.5000000000000001E-2</v>
      </c>
      <c r="AS481" s="8">
        <v>2.5000000000000001E-2</v>
      </c>
      <c r="AT481" s="8">
        <v>2.5000000000000001E-2</v>
      </c>
      <c r="AU481" s="8">
        <v>2.5000000000000001E-2</v>
      </c>
      <c r="AV481" s="8">
        <v>2.5000000000000001E-2</v>
      </c>
      <c r="AW481" s="8">
        <v>2.5000000000000001E-2</v>
      </c>
      <c r="AX481" s="8">
        <v>2.5000000000000001E-2</v>
      </c>
      <c r="AY481" s="8">
        <v>2.5000000000000001E-2</v>
      </c>
      <c r="AZ481" s="8">
        <v>2.5000000000000001E-2</v>
      </c>
      <c r="BA481" s="8">
        <v>2.5000000000000001E-2</v>
      </c>
      <c r="BB481" s="8">
        <v>2.5000000000000001E-2</v>
      </c>
      <c r="BC481" s="8">
        <v>2.5000000000000001E-2</v>
      </c>
      <c r="BD481" s="8">
        <v>2.5000000000000001E-2</v>
      </c>
      <c r="BE481" s="8">
        <v>2.5000000000000001E-2</v>
      </c>
      <c r="BF481" s="8">
        <v>2.5000000000000001E-2</v>
      </c>
      <c r="BG481" s="8">
        <v>2.5000000000000001E-2</v>
      </c>
      <c r="BH481" s="8">
        <v>2.5000000000000001E-2</v>
      </c>
      <c r="BI481" s="8">
        <v>2.5000000000000001E-2</v>
      </c>
      <c r="BJ481" s="8">
        <v>2.5000000000000001E-2</v>
      </c>
      <c r="BK481" s="8">
        <v>2.5000000000000001E-2</v>
      </c>
      <c r="BL481" s="8">
        <v>2.5000000000000001E-2</v>
      </c>
      <c r="BM481" s="8">
        <v>1.8867924528301886E-2</v>
      </c>
      <c r="BN481" s="8">
        <v>1.8867924528301886E-2</v>
      </c>
      <c r="BO481" s="8">
        <v>1.8867924528301886E-2</v>
      </c>
      <c r="BP481" s="8">
        <v>1.8867924528301886E-2</v>
      </c>
      <c r="BQ481" s="8">
        <v>1.8867924528301886E-2</v>
      </c>
      <c r="BR481" s="8">
        <v>1.8867924528301886E-2</v>
      </c>
      <c r="BS481" s="8">
        <v>1.8867924528301886E-2</v>
      </c>
      <c r="BT481" s="8">
        <v>1.8867924528301886E-2</v>
      </c>
      <c r="BU481" s="8">
        <v>1.8867924528301886E-2</v>
      </c>
      <c r="BV481" s="8">
        <v>1.8867924528301886E-2</v>
      </c>
      <c r="BW481" s="8">
        <v>1.8867924528301886E-2</v>
      </c>
      <c r="BX481" s="8">
        <v>1.8867924528301886E-2</v>
      </c>
      <c r="BY481" s="8" t="str">
        <f>+_xlfn.XLOOKUP(Table1[[#This Row],[L4 Code]],KIRMATAŞ!B:B,KIRMATAŞ!B:B,"")</f>
        <v/>
      </c>
      <c r="BZ481" s="8" t="str">
        <f>+_xlfn.XLOOKUP(Table1[[#This Row],[L4 Code]],'SU TEMİNİ'!C:C,'SU TEMİNİ'!C:C,"")</f>
        <v/>
      </c>
      <c r="CA481" s="8" t="str">
        <f>+_xlfn.XLOOKUP(Table1[[#This Row],[L4 Code]],TAŞ!C:C,TAŞ!C:C,"")</f>
        <v/>
      </c>
      <c r="CB481" s="8" t="str">
        <f>Table1[[#This Row],[L4 Code]]&amp;"-"&amp;Table1[[#This Row],[T1 Code]]</f>
        <v>E-06.MBL-07.ELK-110-1000</v>
      </c>
    </row>
    <row r="482" spans="1:80">
      <c r="A482" s="3" t="s">
        <v>5444</v>
      </c>
      <c r="B482" t="s">
        <v>4601</v>
      </c>
      <c r="D482" t="s">
        <v>4967</v>
      </c>
      <c r="F482" s="77" t="s">
        <v>4973</v>
      </c>
      <c r="H482" s="3" t="s">
        <v>4984</v>
      </c>
      <c r="I482" s="3"/>
      <c r="J482" s="78"/>
      <c r="K482" s="78"/>
      <c r="M482" s="78"/>
      <c r="X482" s="10"/>
      <c r="Y482" s="8">
        <v>0.16666666666666666</v>
      </c>
      <c r="Z482" s="8">
        <v>0.16666666666666666</v>
      </c>
      <c r="AA482" s="8">
        <v>0.16666666666666666</v>
      </c>
      <c r="AB482" s="8">
        <v>0.16666666666666666</v>
      </c>
      <c r="AC482" s="8">
        <v>0.16666666666666666</v>
      </c>
      <c r="AD482" s="8">
        <v>0.16666666666666666</v>
      </c>
      <c r="BY482" s="8" t="str">
        <f>+_xlfn.XLOOKUP(Table1[[#This Row],[L4 Code]],KIRMATAŞ!B:B,KIRMATAŞ!B:B,"")</f>
        <v/>
      </c>
      <c r="BZ482" s="8" t="str">
        <f>+_xlfn.XLOOKUP(Table1[[#This Row],[L4 Code]],'SU TEMİNİ'!C:C,'SU TEMİNİ'!C:C,"")</f>
        <v/>
      </c>
      <c r="CA482" s="8" t="str">
        <f>+_xlfn.XLOOKUP(Table1[[#This Row],[L4 Code]],TAŞ!C:C,TAŞ!C:C,"")</f>
        <v/>
      </c>
      <c r="CB482" s="8" t="str">
        <f>Table1[[#This Row],[L4 Code]]&amp;"-"&amp;Table1[[#This Row],[T1 Code]]</f>
        <v>E-06.MBL-08.MBE-001-1000</v>
      </c>
    </row>
    <row r="483" spans="1:80">
      <c r="A483" s="3" t="s">
        <v>5444</v>
      </c>
      <c r="B483" t="s">
        <v>4607</v>
      </c>
      <c r="D483" t="s">
        <v>4967</v>
      </c>
      <c r="F483" s="77" t="s">
        <v>4973</v>
      </c>
      <c r="H483" s="3" t="s">
        <v>4984</v>
      </c>
      <c r="I483" s="3"/>
      <c r="J483" s="78"/>
      <c r="K483" s="78"/>
      <c r="M483" s="78"/>
      <c r="X483" s="10"/>
      <c r="Y483" s="8">
        <v>0.16666666666666666</v>
      </c>
      <c r="Z483" s="8">
        <v>0.16666666666666666</v>
      </c>
      <c r="AA483" s="8">
        <v>0.16666666666666666</v>
      </c>
      <c r="AB483" s="8">
        <v>0.16666666666666666</v>
      </c>
      <c r="AC483" s="8">
        <v>0.16666666666666666</v>
      </c>
      <c r="AD483" s="8">
        <v>0.16666666666666666</v>
      </c>
      <c r="BY483" s="8" t="str">
        <f>+_xlfn.XLOOKUP(Table1[[#This Row],[L4 Code]],KIRMATAŞ!B:B,KIRMATAŞ!B:B,"")</f>
        <v/>
      </c>
      <c r="BZ483" s="8" t="str">
        <f>+_xlfn.XLOOKUP(Table1[[#This Row],[L4 Code]],'SU TEMİNİ'!C:C,'SU TEMİNİ'!C:C,"")</f>
        <v/>
      </c>
      <c r="CA483" s="8" t="str">
        <f>+_xlfn.XLOOKUP(Table1[[#This Row],[L4 Code]],TAŞ!C:C,TAŞ!C:C,"")</f>
        <v/>
      </c>
      <c r="CB483" s="8" t="str">
        <f>Table1[[#This Row],[L4 Code]]&amp;"-"&amp;Table1[[#This Row],[T1 Code]]</f>
        <v>E-06.MBL-08.MBE-012-1000</v>
      </c>
    </row>
    <row r="484" spans="1:80">
      <c r="A484" s="3" t="s">
        <v>5444</v>
      </c>
      <c r="B484" t="s">
        <v>4615</v>
      </c>
      <c r="D484" t="s">
        <v>4967</v>
      </c>
      <c r="F484" s="77" t="s">
        <v>4973</v>
      </c>
      <c r="H484" s="3" t="s">
        <v>4984</v>
      </c>
      <c r="I484" s="3"/>
      <c r="J484" s="78"/>
      <c r="K484" s="78"/>
      <c r="M484" s="78"/>
      <c r="X484" s="10"/>
      <c r="Y484" s="8">
        <v>0.16666666666666666</v>
      </c>
      <c r="Z484" s="8">
        <v>0.16666666666666666</v>
      </c>
      <c r="AA484" s="8">
        <v>0.16666666666666666</v>
      </c>
      <c r="AB484" s="8">
        <v>0.16666666666666666</v>
      </c>
      <c r="AC484" s="8">
        <v>0.16666666666666666</v>
      </c>
      <c r="AD484" s="8">
        <v>0.16666666666666666</v>
      </c>
      <c r="BY484" s="8" t="str">
        <f>+_xlfn.XLOOKUP(Table1[[#This Row],[L4 Code]],KIRMATAŞ!B:B,KIRMATAŞ!B:B,"")</f>
        <v/>
      </c>
      <c r="BZ484" s="8" t="str">
        <f>+_xlfn.XLOOKUP(Table1[[#This Row],[L4 Code]],'SU TEMİNİ'!C:C,'SU TEMİNİ'!C:C,"")</f>
        <v/>
      </c>
      <c r="CA484" s="8" t="str">
        <f>+_xlfn.XLOOKUP(Table1[[#This Row],[L4 Code]],TAŞ!C:C,TAŞ!C:C,"")</f>
        <v/>
      </c>
      <c r="CB484" s="8" t="str">
        <f>Table1[[#This Row],[L4 Code]]&amp;"-"&amp;Table1[[#This Row],[T1 Code]]</f>
        <v>E-06.MBL-08.MBE-041-1000</v>
      </c>
    </row>
    <row r="485" spans="1:80">
      <c r="A485" s="3" t="s">
        <v>5444</v>
      </c>
      <c r="B485" t="s">
        <v>4617</v>
      </c>
      <c r="D485" t="s">
        <v>4967</v>
      </c>
      <c r="F485" s="77" t="s">
        <v>4973</v>
      </c>
      <c r="H485" s="3" t="s">
        <v>4984</v>
      </c>
      <c r="I485" s="3"/>
      <c r="J485" s="78"/>
      <c r="K485" s="78"/>
      <c r="M485" s="78"/>
      <c r="X485" s="10"/>
      <c r="Y485" s="8">
        <v>0.16666666666666666</v>
      </c>
      <c r="Z485" s="8">
        <v>0.16666666666666666</v>
      </c>
      <c r="AA485" s="8">
        <v>0.16666666666666666</v>
      </c>
      <c r="AB485" s="8">
        <v>0.16666666666666666</v>
      </c>
      <c r="AC485" s="8">
        <v>0.16666666666666666</v>
      </c>
      <c r="AD485" s="8">
        <v>0.16666666666666666</v>
      </c>
      <c r="BY485" s="8" t="str">
        <f>+_xlfn.XLOOKUP(Table1[[#This Row],[L4 Code]],KIRMATAŞ!B:B,KIRMATAŞ!B:B,"")</f>
        <v/>
      </c>
      <c r="BZ485" s="8" t="str">
        <f>+_xlfn.XLOOKUP(Table1[[#This Row],[L4 Code]],'SU TEMİNİ'!C:C,'SU TEMİNİ'!C:C,"")</f>
        <v/>
      </c>
      <c r="CA485" s="8" t="str">
        <f>+_xlfn.XLOOKUP(Table1[[#This Row],[L4 Code]],TAŞ!C:C,TAŞ!C:C,"")</f>
        <v/>
      </c>
      <c r="CB485" s="8" t="str">
        <f>Table1[[#This Row],[L4 Code]]&amp;"-"&amp;Table1[[#This Row],[T1 Code]]</f>
        <v>E-06.MBL-08.MBE-042-1000</v>
      </c>
    </row>
    <row r="486" spans="1:80">
      <c r="A486" s="3" t="s">
        <v>5444</v>
      </c>
      <c r="B486" t="s">
        <v>4619</v>
      </c>
      <c r="D486" t="s">
        <v>4967</v>
      </c>
      <c r="F486" s="77" t="s">
        <v>4973</v>
      </c>
      <c r="H486" s="3" t="s">
        <v>4984</v>
      </c>
      <c r="I486" s="3"/>
      <c r="J486" s="78"/>
      <c r="K486" s="78"/>
      <c r="M486" s="78"/>
      <c r="X486" s="10"/>
      <c r="Y486" s="8">
        <v>0.16666666666666666</v>
      </c>
      <c r="Z486" s="8">
        <v>0.16666666666666666</v>
      </c>
      <c r="AA486" s="8">
        <v>0.16666666666666666</v>
      </c>
      <c r="AB486" s="8">
        <v>0.16666666666666666</v>
      </c>
      <c r="AC486" s="8">
        <v>0.16666666666666666</v>
      </c>
      <c r="AD486" s="8">
        <v>0.16666666666666666</v>
      </c>
      <c r="BY486" s="8" t="str">
        <f>+_xlfn.XLOOKUP(Table1[[#This Row],[L4 Code]],KIRMATAŞ!B:B,KIRMATAŞ!B:B,"")</f>
        <v/>
      </c>
      <c r="BZ486" s="8" t="str">
        <f>+_xlfn.XLOOKUP(Table1[[#This Row],[L4 Code]],'SU TEMİNİ'!C:C,'SU TEMİNİ'!C:C,"")</f>
        <v/>
      </c>
      <c r="CA486" s="8" t="str">
        <f>+_xlfn.XLOOKUP(Table1[[#This Row],[L4 Code]],TAŞ!C:C,TAŞ!C:C,"")</f>
        <v/>
      </c>
      <c r="CB486" s="8" t="str">
        <f>Table1[[#This Row],[L4 Code]]&amp;"-"&amp;Table1[[#This Row],[T1 Code]]</f>
        <v>E-06.MBL-08.MBE-043-1000</v>
      </c>
    </row>
    <row r="487" spans="1:80">
      <c r="A487" s="3" t="s">
        <v>5444</v>
      </c>
      <c r="B487" t="s">
        <v>4621</v>
      </c>
      <c r="D487" t="s">
        <v>4967</v>
      </c>
      <c r="F487" s="77" t="s">
        <v>4973</v>
      </c>
      <c r="H487" s="3" t="s">
        <v>4984</v>
      </c>
      <c r="I487" s="3"/>
      <c r="J487" s="78"/>
      <c r="K487" s="78"/>
      <c r="M487" s="78"/>
      <c r="X487" s="10"/>
      <c r="Y487" s="8">
        <v>0.16666666666666666</v>
      </c>
      <c r="Z487" s="8">
        <v>0.16666666666666666</v>
      </c>
      <c r="AA487" s="8">
        <v>0.16666666666666666</v>
      </c>
      <c r="AB487" s="8">
        <v>0.16666666666666666</v>
      </c>
      <c r="AC487" s="8">
        <v>0.16666666666666666</v>
      </c>
      <c r="AD487" s="8">
        <v>0.16666666666666666</v>
      </c>
      <c r="BY487" s="8" t="str">
        <f>+_xlfn.XLOOKUP(Table1[[#This Row],[L4 Code]],KIRMATAŞ!B:B,KIRMATAŞ!B:B,"")</f>
        <v/>
      </c>
      <c r="BZ487" s="8" t="str">
        <f>+_xlfn.XLOOKUP(Table1[[#This Row],[L4 Code]],'SU TEMİNİ'!C:C,'SU TEMİNİ'!C:C,"")</f>
        <v/>
      </c>
      <c r="CA487" s="8" t="str">
        <f>+_xlfn.XLOOKUP(Table1[[#This Row],[L4 Code]],TAŞ!C:C,TAŞ!C:C,"")</f>
        <v/>
      </c>
      <c r="CB487" s="8" t="str">
        <f>Table1[[#This Row],[L4 Code]]&amp;"-"&amp;Table1[[#This Row],[T1 Code]]</f>
        <v>E-06.MBL-08.MBE-044-1000</v>
      </c>
    </row>
    <row r="488" spans="1:80">
      <c r="A488" s="3" t="s">
        <v>5444</v>
      </c>
      <c r="B488" t="s">
        <v>4623</v>
      </c>
      <c r="D488" t="s">
        <v>4967</v>
      </c>
      <c r="F488" s="77" t="s">
        <v>4973</v>
      </c>
      <c r="H488" s="3" t="s">
        <v>4984</v>
      </c>
      <c r="I488" s="3"/>
      <c r="J488" s="78"/>
      <c r="K488" s="78"/>
      <c r="M488" s="78"/>
      <c r="X488" s="10"/>
      <c r="Y488" s="8">
        <v>0.16666666666666666</v>
      </c>
      <c r="Z488" s="8">
        <v>0.16666666666666666</v>
      </c>
      <c r="AA488" s="8">
        <v>0.16666666666666666</v>
      </c>
      <c r="AB488" s="8">
        <v>0.16666666666666666</v>
      </c>
      <c r="AC488" s="8">
        <v>0.16666666666666666</v>
      </c>
      <c r="AD488" s="8">
        <v>0.16666666666666666</v>
      </c>
      <c r="BY488" s="8" t="str">
        <f>+_xlfn.XLOOKUP(Table1[[#This Row],[L4 Code]],KIRMATAŞ!B:B,KIRMATAŞ!B:B,"")</f>
        <v/>
      </c>
      <c r="BZ488" s="8" t="str">
        <f>+_xlfn.XLOOKUP(Table1[[#This Row],[L4 Code]],'SU TEMİNİ'!C:C,'SU TEMİNİ'!C:C,"")</f>
        <v/>
      </c>
      <c r="CA488" s="8" t="str">
        <f>+_xlfn.XLOOKUP(Table1[[#This Row],[L4 Code]],TAŞ!C:C,TAŞ!C:C,"")</f>
        <v/>
      </c>
      <c r="CB488" s="8" t="str">
        <f>Table1[[#This Row],[L4 Code]]&amp;"-"&amp;Table1[[#This Row],[T1 Code]]</f>
        <v>E-06.MBL-08.MBE-045-1000</v>
      </c>
    </row>
    <row r="489" spans="1:80">
      <c r="A489" s="3" t="s">
        <v>5444</v>
      </c>
      <c r="B489" t="s">
        <v>4625</v>
      </c>
      <c r="D489" t="s">
        <v>4967</v>
      </c>
      <c r="F489" s="77" t="s">
        <v>4973</v>
      </c>
      <c r="H489" s="3" t="s">
        <v>4984</v>
      </c>
      <c r="I489" s="3"/>
      <c r="J489" s="78"/>
      <c r="K489" s="78"/>
      <c r="M489" s="78"/>
      <c r="X489" s="10"/>
      <c r="Y489" s="8">
        <v>0.16666666666666666</v>
      </c>
      <c r="Z489" s="8">
        <v>0.16666666666666666</v>
      </c>
      <c r="AA489" s="8">
        <v>0.16666666666666666</v>
      </c>
      <c r="AB489" s="8">
        <v>0.16666666666666666</v>
      </c>
      <c r="AC489" s="8">
        <v>0.16666666666666666</v>
      </c>
      <c r="AD489" s="8">
        <v>0.16666666666666666</v>
      </c>
      <c r="BY489" s="8" t="str">
        <f>+_xlfn.XLOOKUP(Table1[[#This Row],[L4 Code]],KIRMATAŞ!B:B,KIRMATAŞ!B:B,"")</f>
        <v/>
      </c>
      <c r="BZ489" s="8" t="str">
        <f>+_xlfn.XLOOKUP(Table1[[#This Row],[L4 Code]],'SU TEMİNİ'!C:C,'SU TEMİNİ'!C:C,"")</f>
        <v/>
      </c>
      <c r="CA489" s="8" t="str">
        <f>+_xlfn.XLOOKUP(Table1[[#This Row],[L4 Code]],TAŞ!C:C,TAŞ!C:C,"")</f>
        <v/>
      </c>
      <c r="CB489" s="8" t="str">
        <f>Table1[[#This Row],[L4 Code]]&amp;"-"&amp;Table1[[#This Row],[T1 Code]]</f>
        <v>E-06.MBL-08.MBE-046-1000</v>
      </c>
    </row>
    <row r="490" spans="1:80">
      <c r="A490" s="3" t="s">
        <v>5444</v>
      </c>
      <c r="B490" t="s">
        <v>4627</v>
      </c>
      <c r="D490" t="s">
        <v>4967</v>
      </c>
      <c r="F490" s="77" t="s">
        <v>4973</v>
      </c>
      <c r="H490" s="3" t="s">
        <v>4984</v>
      </c>
      <c r="I490" s="3"/>
      <c r="J490" s="78"/>
      <c r="K490" s="78"/>
      <c r="M490" s="78"/>
      <c r="X490" s="10"/>
      <c r="Y490" s="8">
        <v>0.16666666666666666</v>
      </c>
      <c r="Z490" s="8">
        <v>0.16666666666666666</v>
      </c>
      <c r="AA490" s="8">
        <v>0.16666666666666666</v>
      </c>
      <c r="AB490" s="8">
        <v>0.16666666666666666</v>
      </c>
      <c r="AC490" s="8">
        <v>0.16666666666666666</v>
      </c>
      <c r="AD490" s="8">
        <v>0.16666666666666666</v>
      </c>
      <c r="BY490" s="8" t="str">
        <f>+_xlfn.XLOOKUP(Table1[[#This Row],[L4 Code]],KIRMATAŞ!B:B,KIRMATAŞ!B:B,"")</f>
        <v/>
      </c>
      <c r="BZ490" s="8" t="str">
        <f>+_xlfn.XLOOKUP(Table1[[#This Row],[L4 Code]],'SU TEMİNİ'!C:C,'SU TEMİNİ'!C:C,"")</f>
        <v/>
      </c>
      <c r="CA490" s="8" t="str">
        <f>+_xlfn.XLOOKUP(Table1[[#This Row],[L4 Code]],TAŞ!C:C,TAŞ!C:C,"")</f>
        <v/>
      </c>
      <c r="CB490" s="8" t="str">
        <f>Table1[[#This Row],[L4 Code]]&amp;"-"&amp;Table1[[#This Row],[T1 Code]]</f>
        <v>E-06.MBL-08.MBE-047-1000</v>
      </c>
    </row>
    <row r="491" spans="1:80">
      <c r="A491" s="3" t="s">
        <v>5444</v>
      </c>
      <c r="B491" t="s">
        <v>4629</v>
      </c>
      <c r="D491" t="s">
        <v>4967</v>
      </c>
      <c r="F491" s="77" t="s">
        <v>4973</v>
      </c>
      <c r="H491" s="3" t="s">
        <v>4984</v>
      </c>
      <c r="I491" s="3"/>
      <c r="J491" s="78"/>
      <c r="K491" s="78"/>
      <c r="M491" s="78"/>
      <c r="X491" s="10"/>
      <c r="Y491" s="8">
        <v>0.16666666666666666</v>
      </c>
      <c r="Z491" s="8">
        <v>0.16666666666666666</v>
      </c>
      <c r="AA491" s="8">
        <v>0.16666666666666666</v>
      </c>
      <c r="AB491" s="8">
        <v>0.16666666666666666</v>
      </c>
      <c r="AC491" s="8">
        <v>0.16666666666666666</v>
      </c>
      <c r="AD491" s="8">
        <v>0.16666666666666666</v>
      </c>
      <c r="BY491" s="8" t="str">
        <f>+_xlfn.XLOOKUP(Table1[[#This Row],[L4 Code]],KIRMATAŞ!B:B,KIRMATAŞ!B:B,"")</f>
        <v/>
      </c>
      <c r="BZ491" s="8" t="str">
        <f>+_xlfn.XLOOKUP(Table1[[#This Row],[L4 Code]],'SU TEMİNİ'!C:C,'SU TEMİNİ'!C:C,"")</f>
        <v/>
      </c>
      <c r="CA491" s="8" t="str">
        <f>+_xlfn.XLOOKUP(Table1[[#This Row],[L4 Code]],TAŞ!C:C,TAŞ!C:C,"")</f>
        <v/>
      </c>
      <c r="CB491" s="8" t="str">
        <f>Table1[[#This Row],[L4 Code]]&amp;"-"&amp;Table1[[#This Row],[T1 Code]]</f>
        <v>E-06.MBL-08.MBE-048-1000</v>
      </c>
    </row>
    <row r="492" spans="1:80">
      <c r="A492" s="3" t="s">
        <v>5444</v>
      </c>
      <c r="B492" t="s">
        <v>4631</v>
      </c>
      <c r="D492" t="s">
        <v>4967</v>
      </c>
      <c r="F492" s="77" t="s">
        <v>4973</v>
      </c>
      <c r="H492" s="3" t="s">
        <v>4984</v>
      </c>
      <c r="I492" s="3"/>
      <c r="J492" s="78"/>
      <c r="K492" s="78"/>
      <c r="M492" s="78"/>
      <c r="X492" s="10"/>
      <c r="Y492" s="8">
        <v>0.16666666666666666</v>
      </c>
      <c r="Z492" s="8">
        <v>0.16666666666666666</v>
      </c>
      <c r="AA492" s="8">
        <v>0.16666666666666666</v>
      </c>
      <c r="AB492" s="8">
        <v>0.16666666666666666</v>
      </c>
      <c r="AC492" s="8">
        <v>0.16666666666666666</v>
      </c>
      <c r="AD492" s="8">
        <v>0.16666666666666666</v>
      </c>
      <c r="BY492" s="8" t="str">
        <f>+_xlfn.XLOOKUP(Table1[[#This Row],[L4 Code]],KIRMATAŞ!B:B,KIRMATAŞ!B:B,"")</f>
        <v/>
      </c>
      <c r="BZ492" s="8" t="str">
        <f>+_xlfn.XLOOKUP(Table1[[#This Row],[L4 Code]],'SU TEMİNİ'!C:C,'SU TEMİNİ'!C:C,"")</f>
        <v/>
      </c>
      <c r="CA492" s="8" t="str">
        <f>+_xlfn.XLOOKUP(Table1[[#This Row],[L4 Code]],TAŞ!C:C,TAŞ!C:C,"")</f>
        <v/>
      </c>
      <c r="CB492" s="8" t="str">
        <f>Table1[[#This Row],[L4 Code]]&amp;"-"&amp;Table1[[#This Row],[T1 Code]]</f>
        <v>E-06.MBL-08.MBE-049-1000</v>
      </c>
    </row>
    <row r="493" spans="1:80">
      <c r="A493" s="3" t="s">
        <v>5444</v>
      </c>
      <c r="B493" t="s">
        <v>5210</v>
      </c>
      <c r="D493" t="s">
        <v>4967</v>
      </c>
      <c r="F493" s="77" t="s">
        <v>4973</v>
      </c>
      <c r="H493" s="3" t="s">
        <v>4984</v>
      </c>
      <c r="I493" s="3"/>
      <c r="J493" s="78"/>
      <c r="K493" s="78"/>
      <c r="M493" s="78"/>
      <c r="X493" s="10"/>
      <c r="Y493" s="8">
        <v>0.16666666666666666</v>
      </c>
      <c r="Z493" s="8">
        <v>0.16666666666666666</v>
      </c>
      <c r="AA493" s="8">
        <v>0.16666666666666666</v>
      </c>
      <c r="AB493" s="8">
        <v>0.16666666666666666</v>
      </c>
      <c r="AC493" s="8">
        <v>0.16666666666666666</v>
      </c>
      <c r="AD493" s="8">
        <v>0.16666666666666666</v>
      </c>
      <c r="BY493" s="8" t="str">
        <f>+_xlfn.XLOOKUP(Table1[[#This Row],[L4 Code]],KIRMATAŞ!B:B,KIRMATAŞ!B:B,"")</f>
        <v/>
      </c>
      <c r="BZ493" s="8" t="str">
        <f>+_xlfn.XLOOKUP(Table1[[#This Row],[L4 Code]],'SU TEMİNİ'!C:C,'SU TEMİNİ'!C:C,"")</f>
        <v/>
      </c>
      <c r="CA493" s="8" t="str">
        <f>+_xlfn.XLOOKUP(Table1[[#This Row],[L4 Code]],TAŞ!C:C,TAŞ!C:C,"")</f>
        <v/>
      </c>
      <c r="CB493" s="8" t="str">
        <f>Table1[[#This Row],[L4 Code]]&amp;"-"&amp;Table1[[#This Row],[T1 Code]]</f>
        <v>E-06.MBL-08.MBE-050-1000</v>
      </c>
    </row>
    <row r="494" spans="1:80">
      <c r="A494" s="3" t="s">
        <v>5444</v>
      </c>
      <c r="B494" t="s">
        <v>5211</v>
      </c>
      <c r="D494" t="s">
        <v>4967</v>
      </c>
      <c r="F494" s="77" t="s">
        <v>4973</v>
      </c>
      <c r="H494" s="3" t="s">
        <v>4984</v>
      </c>
      <c r="I494" s="3"/>
      <c r="J494" s="78"/>
      <c r="K494" s="78"/>
      <c r="M494" s="78"/>
      <c r="X494" s="10"/>
      <c r="Y494" s="8">
        <v>0.16666666666666666</v>
      </c>
      <c r="Z494" s="8">
        <v>0.16666666666666666</v>
      </c>
      <c r="AA494" s="8">
        <v>0.16666666666666666</v>
      </c>
      <c r="AB494" s="8">
        <v>0.16666666666666666</v>
      </c>
      <c r="AC494" s="8">
        <v>0.16666666666666666</v>
      </c>
      <c r="AD494" s="8">
        <v>0.16666666666666666</v>
      </c>
      <c r="BY494" s="8" t="str">
        <f>+_xlfn.XLOOKUP(Table1[[#This Row],[L4 Code]],KIRMATAŞ!B:B,KIRMATAŞ!B:B,"")</f>
        <v/>
      </c>
      <c r="BZ494" s="8" t="str">
        <f>+_xlfn.XLOOKUP(Table1[[#This Row],[L4 Code]],'SU TEMİNİ'!C:C,'SU TEMİNİ'!C:C,"")</f>
        <v/>
      </c>
      <c r="CA494" s="8" t="str">
        <f>+_xlfn.XLOOKUP(Table1[[#This Row],[L4 Code]],TAŞ!C:C,TAŞ!C:C,"")</f>
        <v/>
      </c>
      <c r="CB494" s="8" t="str">
        <f>Table1[[#This Row],[L4 Code]]&amp;"-"&amp;Table1[[#This Row],[T1 Code]]</f>
        <v>E-06.MBL-08.MBE-051-1000</v>
      </c>
    </row>
    <row r="495" spans="1:80">
      <c r="A495" s="3" t="s">
        <v>5444</v>
      </c>
      <c r="B495" t="s">
        <v>4671</v>
      </c>
      <c r="D495" t="s">
        <v>4967</v>
      </c>
      <c r="F495" s="77" t="s">
        <v>4973</v>
      </c>
      <c r="H495" s="3" t="s">
        <v>4984</v>
      </c>
      <c r="I495" s="3"/>
      <c r="J495" s="78"/>
      <c r="K495" s="78"/>
      <c r="M495" s="78"/>
      <c r="X495" s="10"/>
      <c r="Y495" s="8">
        <v>2.5000000000000001E-2</v>
      </c>
      <c r="Z495" s="8">
        <v>2.5000000000000001E-2</v>
      </c>
      <c r="AA495" s="8">
        <v>2.5000000000000001E-2</v>
      </c>
      <c r="AB495" s="8">
        <v>2.5000000000000001E-2</v>
      </c>
      <c r="AC495" s="8">
        <v>2.5000000000000001E-2</v>
      </c>
      <c r="AD495" s="8">
        <v>2.5000000000000001E-2</v>
      </c>
      <c r="AE495" s="8">
        <v>2.5000000000000001E-2</v>
      </c>
      <c r="AF495" s="8">
        <v>2.5000000000000001E-2</v>
      </c>
      <c r="AG495" s="8">
        <v>2.5000000000000001E-2</v>
      </c>
      <c r="AH495" s="8">
        <v>2.5000000000000001E-2</v>
      </c>
      <c r="AI495" s="8">
        <v>2.5000000000000001E-2</v>
      </c>
      <c r="AJ495" s="8">
        <v>2.5000000000000001E-2</v>
      </c>
      <c r="AK495" s="8">
        <v>2.5000000000000001E-2</v>
      </c>
      <c r="AL495" s="8">
        <v>2.5000000000000001E-2</v>
      </c>
      <c r="AM495" s="8">
        <v>2.5000000000000001E-2</v>
      </c>
      <c r="AN495" s="8">
        <v>2.5000000000000001E-2</v>
      </c>
      <c r="AO495" s="8">
        <v>2.5000000000000001E-2</v>
      </c>
      <c r="AP495" s="8">
        <v>2.5000000000000001E-2</v>
      </c>
      <c r="AQ495" s="8">
        <v>2.5000000000000001E-2</v>
      </c>
      <c r="AR495" s="8">
        <v>2.5000000000000001E-2</v>
      </c>
      <c r="AS495" s="8">
        <v>2.5000000000000001E-2</v>
      </c>
      <c r="AT495" s="8">
        <v>2.5000000000000001E-2</v>
      </c>
      <c r="AU495" s="8">
        <v>2.5000000000000001E-2</v>
      </c>
      <c r="AV495" s="8">
        <v>2.5000000000000001E-2</v>
      </c>
      <c r="AW495" s="8">
        <v>2.5000000000000001E-2</v>
      </c>
      <c r="AX495" s="8">
        <v>2.5000000000000001E-2</v>
      </c>
      <c r="AY495" s="8">
        <v>2.5000000000000001E-2</v>
      </c>
      <c r="AZ495" s="8">
        <v>2.5000000000000001E-2</v>
      </c>
      <c r="BA495" s="8">
        <v>2.5000000000000001E-2</v>
      </c>
      <c r="BB495" s="8">
        <v>2.5000000000000001E-2</v>
      </c>
      <c r="BC495" s="8">
        <v>2.5000000000000001E-2</v>
      </c>
      <c r="BD495" s="8">
        <v>2.5000000000000001E-2</v>
      </c>
      <c r="BE495" s="8">
        <v>2.5000000000000001E-2</v>
      </c>
      <c r="BF495" s="8">
        <v>2.5000000000000001E-2</v>
      </c>
      <c r="BG495" s="8">
        <v>2.5000000000000001E-2</v>
      </c>
      <c r="BH495" s="8">
        <v>2.5000000000000001E-2</v>
      </c>
      <c r="BI495" s="8">
        <v>2.5000000000000001E-2</v>
      </c>
      <c r="BJ495" s="8">
        <v>2.5000000000000001E-2</v>
      </c>
      <c r="BK495" s="8">
        <v>2.5000000000000001E-2</v>
      </c>
      <c r="BL495" s="8">
        <v>2.5000000000000001E-2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BX495" s="8">
        <v>1.8867924528301886E-2</v>
      </c>
      <c r="BY495" s="8" t="str">
        <f>+_xlfn.XLOOKUP(Table1[[#This Row],[L4 Code]],KIRMATAŞ!B:B,KIRMATAŞ!B:B,"")</f>
        <v/>
      </c>
      <c r="BZ495" s="8" t="str">
        <f>+_xlfn.XLOOKUP(Table1[[#This Row],[L4 Code]],'SU TEMİNİ'!C:C,'SU TEMİNİ'!C:C,"")</f>
        <v/>
      </c>
      <c r="CA495" s="8" t="str">
        <f>+_xlfn.XLOOKUP(Table1[[#This Row],[L4 Code]],TAŞ!C:C,TAŞ!C:C,"")</f>
        <v/>
      </c>
      <c r="CB495" s="8" t="str">
        <f>Table1[[#This Row],[L4 Code]]&amp;"-"&amp;Table1[[#This Row],[T1 Code]]</f>
        <v>E-06.MBL-10.OFE-015-1000</v>
      </c>
    </row>
    <row r="496" spans="1:80">
      <c r="A496" s="3" t="s">
        <v>5444</v>
      </c>
      <c r="B496" t="s">
        <v>4681</v>
      </c>
      <c r="D496" t="s">
        <v>4967</v>
      </c>
      <c r="F496" s="77" t="s">
        <v>4973</v>
      </c>
      <c r="H496" s="3" t="s">
        <v>4984</v>
      </c>
      <c r="I496" s="3"/>
      <c r="J496" s="78"/>
      <c r="K496" s="78"/>
      <c r="M496" s="78"/>
      <c r="X496" s="10"/>
      <c r="Y496" s="8">
        <v>2.5000000000000001E-2</v>
      </c>
      <c r="Z496" s="8">
        <v>2.5000000000000001E-2</v>
      </c>
      <c r="AA496" s="8">
        <v>2.5000000000000001E-2</v>
      </c>
      <c r="AB496" s="8">
        <v>2.5000000000000001E-2</v>
      </c>
      <c r="AC496" s="8">
        <v>2.5000000000000001E-2</v>
      </c>
      <c r="AD496" s="8">
        <v>2.5000000000000001E-2</v>
      </c>
      <c r="AE496" s="8">
        <v>2.5000000000000001E-2</v>
      </c>
      <c r="AF496" s="8">
        <v>2.5000000000000001E-2</v>
      </c>
      <c r="AG496" s="8">
        <v>2.5000000000000001E-2</v>
      </c>
      <c r="AH496" s="8">
        <v>2.5000000000000001E-2</v>
      </c>
      <c r="AI496" s="8">
        <v>2.5000000000000001E-2</v>
      </c>
      <c r="AJ496" s="8">
        <v>2.5000000000000001E-2</v>
      </c>
      <c r="AK496" s="8">
        <v>2.5000000000000001E-2</v>
      </c>
      <c r="AL496" s="8">
        <v>2.5000000000000001E-2</v>
      </c>
      <c r="AM496" s="8">
        <v>2.5000000000000001E-2</v>
      </c>
      <c r="AN496" s="8">
        <v>2.5000000000000001E-2</v>
      </c>
      <c r="AO496" s="8">
        <v>2.5000000000000001E-2</v>
      </c>
      <c r="AP496" s="8">
        <v>2.5000000000000001E-2</v>
      </c>
      <c r="AQ496" s="8">
        <v>2.5000000000000001E-2</v>
      </c>
      <c r="AR496" s="8">
        <v>2.5000000000000001E-2</v>
      </c>
      <c r="AS496" s="8">
        <v>2.5000000000000001E-2</v>
      </c>
      <c r="AT496" s="8">
        <v>2.5000000000000001E-2</v>
      </c>
      <c r="AU496" s="8">
        <v>2.5000000000000001E-2</v>
      </c>
      <c r="AV496" s="8">
        <v>2.5000000000000001E-2</v>
      </c>
      <c r="AW496" s="8">
        <v>2.5000000000000001E-2</v>
      </c>
      <c r="AX496" s="8">
        <v>2.5000000000000001E-2</v>
      </c>
      <c r="AY496" s="8">
        <v>2.5000000000000001E-2</v>
      </c>
      <c r="AZ496" s="8">
        <v>2.5000000000000001E-2</v>
      </c>
      <c r="BA496" s="8">
        <v>2.5000000000000001E-2</v>
      </c>
      <c r="BB496" s="8">
        <v>2.5000000000000001E-2</v>
      </c>
      <c r="BC496" s="8">
        <v>2.5000000000000001E-2</v>
      </c>
      <c r="BD496" s="8">
        <v>2.5000000000000001E-2</v>
      </c>
      <c r="BE496" s="8">
        <v>2.5000000000000001E-2</v>
      </c>
      <c r="BF496" s="8">
        <v>2.5000000000000001E-2</v>
      </c>
      <c r="BG496" s="8">
        <v>2.5000000000000001E-2</v>
      </c>
      <c r="BH496" s="8">
        <v>2.5000000000000001E-2</v>
      </c>
      <c r="BI496" s="8">
        <v>2.5000000000000001E-2</v>
      </c>
      <c r="BJ496" s="8">
        <v>2.5000000000000001E-2</v>
      </c>
      <c r="BK496" s="8">
        <v>2.5000000000000001E-2</v>
      </c>
      <c r="BL496" s="8">
        <v>2.5000000000000001E-2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BX496" s="8">
        <v>1.8867924528301886E-2</v>
      </c>
      <c r="BY496" s="8" t="str">
        <f>+_xlfn.XLOOKUP(Table1[[#This Row],[L4 Code]],KIRMATAŞ!B:B,KIRMATAŞ!B:B,"")</f>
        <v/>
      </c>
      <c r="BZ496" s="8" t="str">
        <f>+_xlfn.XLOOKUP(Table1[[#This Row],[L4 Code]],'SU TEMİNİ'!C:C,'SU TEMİNİ'!C:C,"")</f>
        <v/>
      </c>
      <c r="CA496" s="8" t="str">
        <f>+_xlfn.XLOOKUP(Table1[[#This Row],[L4 Code]],TAŞ!C:C,TAŞ!C:C,"")</f>
        <v/>
      </c>
      <c r="CB496" s="8" t="str">
        <f>Table1[[#This Row],[L4 Code]]&amp;"-"&amp;Table1[[#This Row],[T1 Code]]</f>
        <v>E-06.MBL-10.OFE-021-1000</v>
      </c>
    </row>
    <row r="497" spans="1:80">
      <c r="A497" s="3" t="s">
        <v>5444</v>
      </c>
      <c r="B497" t="s">
        <v>4683</v>
      </c>
      <c r="D497" t="s">
        <v>4967</v>
      </c>
      <c r="F497" s="77" t="s">
        <v>4973</v>
      </c>
      <c r="H497" s="3" t="s">
        <v>4984</v>
      </c>
      <c r="I497" s="3"/>
      <c r="J497" s="78"/>
      <c r="K497" s="78"/>
      <c r="M497" s="78"/>
      <c r="X497" s="10"/>
      <c r="Y497" s="8">
        <v>2.5000000000000001E-2</v>
      </c>
      <c r="Z497" s="8">
        <v>2.5000000000000001E-2</v>
      </c>
      <c r="AA497" s="8">
        <v>2.5000000000000001E-2</v>
      </c>
      <c r="AB497" s="8">
        <v>2.5000000000000001E-2</v>
      </c>
      <c r="AC497" s="8">
        <v>2.5000000000000001E-2</v>
      </c>
      <c r="AD497" s="8">
        <v>2.5000000000000001E-2</v>
      </c>
      <c r="AE497" s="8">
        <v>2.5000000000000001E-2</v>
      </c>
      <c r="AF497" s="8">
        <v>2.5000000000000001E-2</v>
      </c>
      <c r="AG497" s="8">
        <v>2.5000000000000001E-2</v>
      </c>
      <c r="AH497" s="8">
        <v>2.5000000000000001E-2</v>
      </c>
      <c r="AI497" s="8">
        <v>2.5000000000000001E-2</v>
      </c>
      <c r="AJ497" s="8">
        <v>2.5000000000000001E-2</v>
      </c>
      <c r="AK497" s="8">
        <v>2.5000000000000001E-2</v>
      </c>
      <c r="AL497" s="8">
        <v>2.5000000000000001E-2</v>
      </c>
      <c r="AM497" s="8">
        <v>2.5000000000000001E-2</v>
      </c>
      <c r="AN497" s="8">
        <v>2.5000000000000001E-2</v>
      </c>
      <c r="AO497" s="8">
        <v>2.5000000000000001E-2</v>
      </c>
      <c r="AP497" s="8">
        <v>2.5000000000000001E-2</v>
      </c>
      <c r="AQ497" s="8">
        <v>2.5000000000000001E-2</v>
      </c>
      <c r="AR497" s="8">
        <v>2.5000000000000001E-2</v>
      </c>
      <c r="AS497" s="8">
        <v>2.5000000000000001E-2</v>
      </c>
      <c r="AT497" s="8">
        <v>2.5000000000000001E-2</v>
      </c>
      <c r="AU497" s="8">
        <v>2.5000000000000001E-2</v>
      </c>
      <c r="AV497" s="8">
        <v>2.5000000000000001E-2</v>
      </c>
      <c r="AW497" s="8">
        <v>2.5000000000000001E-2</v>
      </c>
      <c r="AX497" s="8">
        <v>2.5000000000000001E-2</v>
      </c>
      <c r="AY497" s="8">
        <v>2.5000000000000001E-2</v>
      </c>
      <c r="AZ497" s="8">
        <v>2.5000000000000001E-2</v>
      </c>
      <c r="BA497" s="8">
        <v>2.5000000000000001E-2</v>
      </c>
      <c r="BB497" s="8">
        <v>2.5000000000000001E-2</v>
      </c>
      <c r="BC497" s="8">
        <v>2.5000000000000001E-2</v>
      </c>
      <c r="BD497" s="8">
        <v>2.5000000000000001E-2</v>
      </c>
      <c r="BE497" s="8">
        <v>2.5000000000000001E-2</v>
      </c>
      <c r="BF497" s="8">
        <v>2.5000000000000001E-2</v>
      </c>
      <c r="BG497" s="8">
        <v>2.5000000000000001E-2</v>
      </c>
      <c r="BH497" s="8">
        <v>2.5000000000000001E-2</v>
      </c>
      <c r="BI497" s="8">
        <v>2.5000000000000001E-2</v>
      </c>
      <c r="BJ497" s="8">
        <v>2.5000000000000001E-2</v>
      </c>
      <c r="BK497" s="8">
        <v>2.5000000000000001E-2</v>
      </c>
      <c r="BL497" s="8">
        <v>2.5000000000000001E-2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BX497" s="8">
        <v>1.8867924528301886E-2</v>
      </c>
      <c r="BY497" s="8" t="str">
        <f>+_xlfn.XLOOKUP(Table1[[#This Row],[L4 Code]],KIRMATAŞ!B:B,KIRMATAŞ!B:B,"")</f>
        <v/>
      </c>
      <c r="BZ497" s="8" t="str">
        <f>+_xlfn.XLOOKUP(Table1[[#This Row],[L4 Code]],'SU TEMİNİ'!C:C,'SU TEMİNİ'!C:C,"")</f>
        <v/>
      </c>
      <c r="CA497" s="8" t="str">
        <f>+_xlfn.XLOOKUP(Table1[[#This Row],[L4 Code]],TAŞ!C:C,TAŞ!C:C,"")</f>
        <v/>
      </c>
      <c r="CB497" s="8" t="str">
        <f>Table1[[#This Row],[L4 Code]]&amp;"-"&amp;Table1[[#This Row],[T1 Code]]</f>
        <v>E-06.MBL-10.OFE-022-1000</v>
      </c>
    </row>
    <row r="498" spans="1:80">
      <c r="A498" s="3" t="s">
        <v>5444</v>
      </c>
      <c r="B498" t="s">
        <v>4685</v>
      </c>
      <c r="D498" t="s">
        <v>4967</v>
      </c>
      <c r="F498" s="77" t="s">
        <v>4973</v>
      </c>
      <c r="H498" s="3" t="s">
        <v>4984</v>
      </c>
      <c r="I498" s="3"/>
      <c r="J498" s="78"/>
      <c r="K498" s="78"/>
      <c r="M498" s="78"/>
      <c r="X498" s="10"/>
      <c r="Y498" s="8">
        <v>2.5000000000000001E-2</v>
      </c>
      <c r="Z498" s="8">
        <v>2.5000000000000001E-2</v>
      </c>
      <c r="AA498" s="8">
        <v>2.5000000000000001E-2</v>
      </c>
      <c r="AB498" s="8">
        <v>2.5000000000000001E-2</v>
      </c>
      <c r="AC498" s="8">
        <v>2.5000000000000001E-2</v>
      </c>
      <c r="AD498" s="8">
        <v>2.5000000000000001E-2</v>
      </c>
      <c r="AE498" s="8">
        <v>2.5000000000000001E-2</v>
      </c>
      <c r="AF498" s="8">
        <v>2.5000000000000001E-2</v>
      </c>
      <c r="AG498" s="8">
        <v>2.5000000000000001E-2</v>
      </c>
      <c r="AH498" s="8">
        <v>2.5000000000000001E-2</v>
      </c>
      <c r="AI498" s="8">
        <v>2.5000000000000001E-2</v>
      </c>
      <c r="AJ498" s="8">
        <v>2.5000000000000001E-2</v>
      </c>
      <c r="AK498" s="8">
        <v>2.5000000000000001E-2</v>
      </c>
      <c r="AL498" s="8">
        <v>2.5000000000000001E-2</v>
      </c>
      <c r="AM498" s="8">
        <v>2.5000000000000001E-2</v>
      </c>
      <c r="AN498" s="8">
        <v>2.5000000000000001E-2</v>
      </c>
      <c r="AO498" s="8">
        <v>2.5000000000000001E-2</v>
      </c>
      <c r="AP498" s="8">
        <v>2.5000000000000001E-2</v>
      </c>
      <c r="AQ498" s="8">
        <v>2.5000000000000001E-2</v>
      </c>
      <c r="AR498" s="8">
        <v>2.5000000000000001E-2</v>
      </c>
      <c r="AS498" s="8">
        <v>2.5000000000000001E-2</v>
      </c>
      <c r="AT498" s="8">
        <v>2.5000000000000001E-2</v>
      </c>
      <c r="AU498" s="8">
        <v>2.5000000000000001E-2</v>
      </c>
      <c r="AV498" s="8">
        <v>2.5000000000000001E-2</v>
      </c>
      <c r="AW498" s="8">
        <v>2.5000000000000001E-2</v>
      </c>
      <c r="AX498" s="8">
        <v>2.5000000000000001E-2</v>
      </c>
      <c r="AY498" s="8">
        <v>2.5000000000000001E-2</v>
      </c>
      <c r="AZ498" s="8">
        <v>2.5000000000000001E-2</v>
      </c>
      <c r="BA498" s="8">
        <v>2.5000000000000001E-2</v>
      </c>
      <c r="BB498" s="8">
        <v>2.5000000000000001E-2</v>
      </c>
      <c r="BC498" s="8">
        <v>2.5000000000000001E-2</v>
      </c>
      <c r="BD498" s="8">
        <v>2.5000000000000001E-2</v>
      </c>
      <c r="BE498" s="8">
        <v>2.5000000000000001E-2</v>
      </c>
      <c r="BF498" s="8">
        <v>2.5000000000000001E-2</v>
      </c>
      <c r="BG498" s="8">
        <v>2.5000000000000001E-2</v>
      </c>
      <c r="BH498" s="8">
        <v>2.5000000000000001E-2</v>
      </c>
      <c r="BI498" s="8">
        <v>2.5000000000000001E-2</v>
      </c>
      <c r="BJ498" s="8">
        <v>2.5000000000000001E-2</v>
      </c>
      <c r="BK498" s="8">
        <v>2.5000000000000001E-2</v>
      </c>
      <c r="BL498" s="8">
        <v>2.5000000000000001E-2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BX498" s="8">
        <v>1.8867924528301886E-2</v>
      </c>
      <c r="BY498" s="8" t="str">
        <f>+_xlfn.XLOOKUP(Table1[[#This Row],[L4 Code]],KIRMATAŞ!B:B,KIRMATAŞ!B:B,"")</f>
        <v/>
      </c>
      <c r="BZ498" s="8" t="str">
        <f>+_xlfn.XLOOKUP(Table1[[#This Row],[L4 Code]],'SU TEMİNİ'!C:C,'SU TEMİNİ'!C:C,"")</f>
        <v/>
      </c>
      <c r="CA498" s="8" t="str">
        <f>+_xlfn.XLOOKUP(Table1[[#This Row],[L4 Code]],TAŞ!C:C,TAŞ!C:C,"")</f>
        <v/>
      </c>
      <c r="CB498" s="8" t="str">
        <f>Table1[[#This Row],[L4 Code]]&amp;"-"&amp;Table1[[#This Row],[T1 Code]]</f>
        <v>E-06.MBL-10.OFE-110-1000</v>
      </c>
    </row>
    <row r="499" spans="1:80">
      <c r="A499" s="3" t="s">
        <v>5444</v>
      </c>
      <c r="B499" t="s">
        <v>4740</v>
      </c>
      <c r="D499" t="s">
        <v>4967</v>
      </c>
      <c r="F499" s="77" t="s">
        <v>4973</v>
      </c>
      <c r="H499" s="3" t="s">
        <v>4984</v>
      </c>
      <c r="I499" s="3"/>
      <c r="J499" s="78"/>
      <c r="K499" s="78"/>
      <c r="M499" s="78"/>
      <c r="X499" s="10"/>
      <c r="Y499" s="8">
        <v>2.5000000000000001E-2</v>
      </c>
      <c r="Z499" s="8">
        <v>2.5000000000000001E-2</v>
      </c>
      <c r="AA499" s="8">
        <v>2.5000000000000001E-2</v>
      </c>
      <c r="AB499" s="8">
        <v>2.5000000000000001E-2</v>
      </c>
      <c r="AC499" s="8">
        <v>2.5000000000000001E-2</v>
      </c>
      <c r="AD499" s="8">
        <v>2.5000000000000001E-2</v>
      </c>
      <c r="AE499" s="8">
        <v>2.5000000000000001E-2</v>
      </c>
      <c r="AF499" s="8">
        <v>2.5000000000000001E-2</v>
      </c>
      <c r="AG499" s="8">
        <v>2.5000000000000001E-2</v>
      </c>
      <c r="AH499" s="8">
        <v>2.5000000000000001E-2</v>
      </c>
      <c r="AI499" s="8">
        <v>2.5000000000000001E-2</v>
      </c>
      <c r="AJ499" s="8">
        <v>2.5000000000000001E-2</v>
      </c>
      <c r="AK499" s="8">
        <v>2.5000000000000001E-2</v>
      </c>
      <c r="AL499" s="8">
        <v>2.5000000000000001E-2</v>
      </c>
      <c r="AM499" s="8">
        <v>2.5000000000000001E-2</v>
      </c>
      <c r="AN499" s="8">
        <v>2.5000000000000001E-2</v>
      </c>
      <c r="AO499" s="8">
        <v>2.5000000000000001E-2</v>
      </c>
      <c r="AP499" s="8">
        <v>2.5000000000000001E-2</v>
      </c>
      <c r="AQ499" s="8">
        <v>2.5000000000000001E-2</v>
      </c>
      <c r="AR499" s="8">
        <v>2.5000000000000001E-2</v>
      </c>
      <c r="AS499" s="8">
        <v>2.5000000000000001E-2</v>
      </c>
      <c r="AT499" s="8">
        <v>2.5000000000000001E-2</v>
      </c>
      <c r="AU499" s="8">
        <v>2.5000000000000001E-2</v>
      </c>
      <c r="AV499" s="8">
        <v>2.5000000000000001E-2</v>
      </c>
      <c r="AW499" s="8">
        <v>2.5000000000000001E-2</v>
      </c>
      <c r="AX499" s="8">
        <v>2.5000000000000001E-2</v>
      </c>
      <c r="AY499" s="8">
        <v>2.5000000000000001E-2</v>
      </c>
      <c r="AZ499" s="8">
        <v>2.5000000000000001E-2</v>
      </c>
      <c r="BA499" s="8">
        <v>2.5000000000000001E-2</v>
      </c>
      <c r="BB499" s="8">
        <v>2.5000000000000001E-2</v>
      </c>
      <c r="BC499" s="8">
        <v>2.5000000000000001E-2</v>
      </c>
      <c r="BD499" s="8">
        <v>2.5000000000000001E-2</v>
      </c>
      <c r="BE499" s="8">
        <v>2.5000000000000001E-2</v>
      </c>
      <c r="BF499" s="8">
        <v>2.5000000000000001E-2</v>
      </c>
      <c r="BG499" s="8">
        <v>2.5000000000000001E-2</v>
      </c>
      <c r="BH499" s="8">
        <v>2.5000000000000001E-2</v>
      </c>
      <c r="BI499" s="8">
        <v>2.5000000000000001E-2</v>
      </c>
      <c r="BJ499" s="8">
        <v>2.5000000000000001E-2</v>
      </c>
      <c r="BK499" s="8">
        <v>2.5000000000000001E-2</v>
      </c>
      <c r="BL499" s="8">
        <v>2.5000000000000001E-2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BX499" s="8">
        <v>1.8867924528301886E-2</v>
      </c>
      <c r="BY499" s="8" t="str">
        <f>+_xlfn.XLOOKUP(Table1[[#This Row],[L4 Code]],KIRMATAŞ!B:B,KIRMATAŞ!B:B,"")</f>
        <v/>
      </c>
      <c r="BZ499" s="8" t="str">
        <f>+_xlfn.XLOOKUP(Table1[[#This Row],[L4 Code]],'SU TEMİNİ'!C:C,'SU TEMİNİ'!C:C,"")</f>
        <v/>
      </c>
      <c r="CA499" s="8" t="str">
        <f>+_xlfn.XLOOKUP(Table1[[#This Row],[L4 Code]],TAŞ!C:C,TAŞ!C:C,"")</f>
        <v/>
      </c>
      <c r="CB499" s="8" t="str">
        <f>Table1[[#This Row],[L4 Code]]&amp;"-"&amp;Table1[[#This Row],[T1 Code]]</f>
        <v>E-06.MBL-12.ITE-121-1000</v>
      </c>
    </row>
    <row r="500" spans="1:80">
      <c r="A500" s="3" t="s">
        <v>5444</v>
      </c>
      <c r="B500" t="s">
        <v>4742</v>
      </c>
      <c r="D500" t="s">
        <v>4967</v>
      </c>
      <c r="F500" s="77" t="s">
        <v>4973</v>
      </c>
      <c r="H500" s="3" t="s">
        <v>4984</v>
      </c>
      <c r="I500" s="3"/>
      <c r="J500" s="78"/>
      <c r="K500" s="78"/>
      <c r="M500" s="78"/>
      <c r="X500" s="10"/>
      <c r="Y500" s="8">
        <v>2.5000000000000001E-2</v>
      </c>
      <c r="Z500" s="8">
        <v>2.5000000000000001E-2</v>
      </c>
      <c r="AA500" s="8">
        <v>2.5000000000000001E-2</v>
      </c>
      <c r="AB500" s="8">
        <v>2.5000000000000001E-2</v>
      </c>
      <c r="AC500" s="8">
        <v>2.5000000000000001E-2</v>
      </c>
      <c r="AD500" s="8">
        <v>2.5000000000000001E-2</v>
      </c>
      <c r="AE500" s="8">
        <v>2.5000000000000001E-2</v>
      </c>
      <c r="AF500" s="8">
        <v>2.5000000000000001E-2</v>
      </c>
      <c r="AG500" s="8">
        <v>2.5000000000000001E-2</v>
      </c>
      <c r="AH500" s="8">
        <v>2.5000000000000001E-2</v>
      </c>
      <c r="AI500" s="8">
        <v>2.5000000000000001E-2</v>
      </c>
      <c r="AJ500" s="8">
        <v>2.5000000000000001E-2</v>
      </c>
      <c r="AK500" s="8">
        <v>2.5000000000000001E-2</v>
      </c>
      <c r="AL500" s="8">
        <v>2.5000000000000001E-2</v>
      </c>
      <c r="AM500" s="8">
        <v>2.5000000000000001E-2</v>
      </c>
      <c r="AN500" s="8">
        <v>2.5000000000000001E-2</v>
      </c>
      <c r="AO500" s="8">
        <v>2.5000000000000001E-2</v>
      </c>
      <c r="AP500" s="8">
        <v>2.5000000000000001E-2</v>
      </c>
      <c r="AQ500" s="8">
        <v>2.5000000000000001E-2</v>
      </c>
      <c r="AR500" s="8">
        <v>2.5000000000000001E-2</v>
      </c>
      <c r="AS500" s="8">
        <v>2.5000000000000001E-2</v>
      </c>
      <c r="AT500" s="8">
        <v>2.5000000000000001E-2</v>
      </c>
      <c r="AU500" s="8">
        <v>2.5000000000000001E-2</v>
      </c>
      <c r="AV500" s="8">
        <v>2.5000000000000001E-2</v>
      </c>
      <c r="AW500" s="8">
        <v>2.5000000000000001E-2</v>
      </c>
      <c r="AX500" s="8">
        <v>2.5000000000000001E-2</v>
      </c>
      <c r="AY500" s="8">
        <v>2.5000000000000001E-2</v>
      </c>
      <c r="AZ500" s="8">
        <v>2.5000000000000001E-2</v>
      </c>
      <c r="BA500" s="8">
        <v>2.5000000000000001E-2</v>
      </c>
      <c r="BB500" s="8">
        <v>2.5000000000000001E-2</v>
      </c>
      <c r="BC500" s="8">
        <v>2.5000000000000001E-2</v>
      </c>
      <c r="BD500" s="8">
        <v>2.5000000000000001E-2</v>
      </c>
      <c r="BE500" s="8">
        <v>2.5000000000000001E-2</v>
      </c>
      <c r="BF500" s="8">
        <v>2.5000000000000001E-2</v>
      </c>
      <c r="BG500" s="8">
        <v>2.5000000000000001E-2</v>
      </c>
      <c r="BH500" s="8">
        <v>2.5000000000000001E-2</v>
      </c>
      <c r="BI500" s="8">
        <v>2.5000000000000001E-2</v>
      </c>
      <c r="BJ500" s="8">
        <v>2.5000000000000001E-2</v>
      </c>
      <c r="BK500" s="8">
        <v>2.5000000000000001E-2</v>
      </c>
      <c r="BL500" s="8">
        <v>2.5000000000000001E-2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BX500" s="8">
        <v>1.8867924528301886E-2</v>
      </c>
      <c r="BY500" s="8" t="str">
        <f>+_xlfn.XLOOKUP(Table1[[#This Row],[L4 Code]],KIRMATAŞ!B:B,KIRMATAŞ!B:B,"")</f>
        <v/>
      </c>
      <c r="BZ500" s="8" t="str">
        <f>+_xlfn.XLOOKUP(Table1[[#This Row],[L4 Code]],'SU TEMİNİ'!C:C,'SU TEMİNİ'!C:C,"")</f>
        <v/>
      </c>
      <c r="CA500" s="8" t="str">
        <f>+_xlfn.XLOOKUP(Table1[[#This Row],[L4 Code]],TAŞ!C:C,TAŞ!C:C,"")</f>
        <v/>
      </c>
      <c r="CB500" s="8" t="str">
        <f>Table1[[#This Row],[L4 Code]]&amp;"-"&amp;Table1[[#This Row],[T1 Code]]</f>
        <v>E-06.MBL-12.ITE-131-1000</v>
      </c>
    </row>
    <row r="501" spans="1:80">
      <c r="A501" s="3" t="s">
        <v>5444</v>
      </c>
      <c r="B501" t="s">
        <v>4744</v>
      </c>
      <c r="D501" t="s">
        <v>4967</v>
      </c>
      <c r="F501" s="77" t="s">
        <v>4973</v>
      </c>
      <c r="H501" s="3" t="s">
        <v>4984</v>
      </c>
      <c r="I501" s="3"/>
      <c r="J501" s="78"/>
      <c r="K501" s="78"/>
      <c r="M501" s="78"/>
      <c r="X501" s="10"/>
      <c r="Y501" s="8">
        <v>2.5000000000000001E-2</v>
      </c>
      <c r="Z501" s="8">
        <v>2.5000000000000001E-2</v>
      </c>
      <c r="AA501" s="8">
        <v>2.5000000000000001E-2</v>
      </c>
      <c r="AB501" s="8">
        <v>2.5000000000000001E-2</v>
      </c>
      <c r="AC501" s="8">
        <v>2.5000000000000001E-2</v>
      </c>
      <c r="AD501" s="8">
        <v>2.5000000000000001E-2</v>
      </c>
      <c r="AE501" s="8">
        <v>2.5000000000000001E-2</v>
      </c>
      <c r="AF501" s="8">
        <v>2.5000000000000001E-2</v>
      </c>
      <c r="AG501" s="8">
        <v>2.5000000000000001E-2</v>
      </c>
      <c r="AH501" s="8">
        <v>2.5000000000000001E-2</v>
      </c>
      <c r="AI501" s="8">
        <v>2.5000000000000001E-2</v>
      </c>
      <c r="AJ501" s="8">
        <v>2.5000000000000001E-2</v>
      </c>
      <c r="AK501" s="8">
        <v>2.5000000000000001E-2</v>
      </c>
      <c r="AL501" s="8">
        <v>2.5000000000000001E-2</v>
      </c>
      <c r="AM501" s="8">
        <v>2.5000000000000001E-2</v>
      </c>
      <c r="AN501" s="8">
        <v>2.5000000000000001E-2</v>
      </c>
      <c r="AO501" s="8">
        <v>2.5000000000000001E-2</v>
      </c>
      <c r="AP501" s="8">
        <v>2.5000000000000001E-2</v>
      </c>
      <c r="AQ501" s="8">
        <v>2.5000000000000001E-2</v>
      </c>
      <c r="AR501" s="8">
        <v>2.5000000000000001E-2</v>
      </c>
      <c r="AS501" s="8">
        <v>2.5000000000000001E-2</v>
      </c>
      <c r="AT501" s="8">
        <v>2.5000000000000001E-2</v>
      </c>
      <c r="AU501" s="8">
        <v>2.5000000000000001E-2</v>
      </c>
      <c r="AV501" s="8">
        <v>2.5000000000000001E-2</v>
      </c>
      <c r="AW501" s="8">
        <v>2.5000000000000001E-2</v>
      </c>
      <c r="AX501" s="8">
        <v>2.5000000000000001E-2</v>
      </c>
      <c r="AY501" s="8">
        <v>2.5000000000000001E-2</v>
      </c>
      <c r="AZ501" s="8">
        <v>2.5000000000000001E-2</v>
      </c>
      <c r="BA501" s="8">
        <v>2.5000000000000001E-2</v>
      </c>
      <c r="BB501" s="8">
        <v>2.5000000000000001E-2</v>
      </c>
      <c r="BC501" s="8">
        <v>2.5000000000000001E-2</v>
      </c>
      <c r="BD501" s="8">
        <v>2.5000000000000001E-2</v>
      </c>
      <c r="BE501" s="8">
        <v>2.5000000000000001E-2</v>
      </c>
      <c r="BF501" s="8">
        <v>2.5000000000000001E-2</v>
      </c>
      <c r="BG501" s="8">
        <v>2.5000000000000001E-2</v>
      </c>
      <c r="BH501" s="8">
        <v>2.5000000000000001E-2</v>
      </c>
      <c r="BI501" s="8">
        <v>2.5000000000000001E-2</v>
      </c>
      <c r="BJ501" s="8">
        <v>2.5000000000000001E-2</v>
      </c>
      <c r="BK501" s="8">
        <v>2.5000000000000001E-2</v>
      </c>
      <c r="BL501" s="8">
        <v>2.5000000000000001E-2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BX501" s="8">
        <v>1.8867924528301886E-2</v>
      </c>
      <c r="BY501" s="8" t="str">
        <f>+_xlfn.XLOOKUP(Table1[[#This Row],[L4 Code]],KIRMATAŞ!B:B,KIRMATAŞ!B:B,"")</f>
        <v/>
      </c>
      <c r="BZ501" s="8" t="str">
        <f>+_xlfn.XLOOKUP(Table1[[#This Row],[L4 Code]],'SU TEMİNİ'!C:C,'SU TEMİNİ'!C:C,"")</f>
        <v/>
      </c>
      <c r="CA501" s="8" t="str">
        <f>+_xlfn.XLOOKUP(Table1[[#This Row],[L4 Code]],TAŞ!C:C,TAŞ!C:C,"")</f>
        <v/>
      </c>
      <c r="CB501" s="8" t="str">
        <f>Table1[[#This Row],[L4 Code]]&amp;"-"&amp;Table1[[#This Row],[T1 Code]]</f>
        <v>E-06.MBL-12.ITE-132-1000</v>
      </c>
    </row>
    <row r="502" spans="1:80">
      <c r="A502" s="3" t="s">
        <v>5444</v>
      </c>
      <c r="B502" t="s">
        <v>4746</v>
      </c>
      <c r="D502" t="s">
        <v>4967</v>
      </c>
      <c r="F502" s="77" t="s">
        <v>4973</v>
      </c>
      <c r="H502" s="3" t="s">
        <v>4984</v>
      </c>
      <c r="I502" s="3"/>
      <c r="J502" s="78"/>
      <c r="K502" s="78"/>
      <c r="M502" s="78"/>
      <c r="X502" s="10"/>
      <c r="Y502" s="8">
        <v>2.5000000000000001E-2</v>
      </c>
      <c r="Z502" s="8">
        <v>2.5000000000000001E-2</v>
      </c>
      <c r="AA502" s="8">
        <v>2.5000000000000001E-2</v>
      </c>
      <c r="AB502" s="8">
        <v>2.5000000000000001E-2</v>
      </c>
      <c r="AC502" s="8">
        <v>2.5000000000000001E-2</v>
      </c>
      <c r="AD502" s="8">
        <v>2.5000000000000001E-2</v>
      </c>
      <c r="AE502" s="8">
        <v>2.5000000000000001E-2</v>
      </c>
      <c r="AF502" s="8">
        <v>2.5000000000000001E-2</v>
      </c>
      <c r="AG502" s="8">
        <v>2.5000000000000001E-2</v>
      </c>
      <c r="AH502" s="8">
        <v>2.5000000000000001E-2</v>
      </c>
      <c r="AI502" s="8">
        <v>2.5000000000000001E-2</v>
      </c>
      <c r="AJ502" s="8">
        <v>2.5000000000000001E-2</v>
      </c>
      <c r="AK502" s="8">
        <v>2.5000000000000001E-2</v>
      </c>
      <c r="AL502" s="8">
        <v>2.5000000000000001E-2</v>
      </c>
      <c r="AM502" s="8">
        <v>2.5000000000000001E-2</v>
      </c>
      <c r="AN502" s="8">
        <v>2.5000000000000001E-2</v>
      </c>
      <c r="AO502" s="8">
        <v>2.5000000000000001E-2</v>
      </c>
      <c r="AP502" s="8">
        <v>2.5000000000000001E-2</v>
      </c>
      <c r="AQ502" s="8">
        <v>2.5000000000000001E-2</v>
      </c>
      <c r="AR502" s="8">
        <v>2.5000000000000001E-2</v>
      </c>
      <c r="AS502" s="8">
        <v>2.5000000000000001E-2</v>
      </c>
      <c r="AT502" s="8">
        <v>2.5000000000000001E-2</v>
      </c>
      <c r="AU502" s="8">
        <v>2.5000000000000001E-2</v>
      </c>
      <c r="AV502" s="8">
        <v>2.5000000000000001E-2</v>
      </c>
      <c r="AW502" s="8">
        <v>2.5000000000000001E-2</v>
      </c>
      <c r="AX502" s="8">
        <v>2.5000000000000001E-2</v>
      </c>
      <c r="AY502" s="8">
        <v>2.5000000000000001E-2</v>
      </c>
      <c r="AZ502" s="8">
        <v>2.5000000000000001E-2</v>
      </c>
      <c r="BA502" s="8">
        <v>2.5000000000000001E-2</v>
      </c>
      <c r="BB502" s="8">
        <v>2.5000000000000001E-2</v>
      </c>
      <c r="BC502" s="8">
        <v>2.5000000000000001E-2</v>
      </c>
      <c r="BD502" s="8">
        <v>2.5000000000000001E-2</v>
      </c>
      <c r="BE502" s="8">
        <v>2.5000000000000001E-2</v>
      </c>
      <c r="BF502" s="8">
        <v>2.5000000000000001E-2</v>
      </c>
      <c r="BG502" s="8">
        <v>2.5000000000000001E-2</v>
      </c>
      <c r="BH502" s="8">
        <v>2.5000000000000001E-2</v>
      </c>
      <c r="BI502" s="8">
        <v>2.5000000000000001E-2</v>
      </c>
      <c r="BJ502" s="8">
        <v>2.5000000000000001E-2</v>
      </c>
      <c r="BK502" s="8">
        <v>2.5000000000000001E-2</v>
      </c>
      <c r="BL502" s="8">
        <v>2.5000000000000001E-2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BX502" s="8">
        <v>1.8867924528301886E-2</v>
      </c>
      <c r="BY502" s="8" t="str">
        <f>+_xlfn.XLOOKUP(Table1[[#This Row],[L4 Code]],KIRMATAŞ!B:B,KIRMATAŞ!B:B,"")</f>
        <v/>
      </c>
      <c r="BZ502" s="8" t="str">
        <f>+_xlfn.XLOOKUP(Table1[[#This Row],[L4 Code]],'SU TEMİNİ'!C:C,'SU TEMİNİ'!C:C,"")</f>
        <v/>
      </c>
      <c r="CA502" s="8" t="str">
        <f>+_xlfn.XLOOKUP(Table1[[#This Row],[L4 Code]],TAŞ!C:C,TAŞ!C:C,"")</f>
        <v/>
      </c>
      <c r="CB502" s="8" t="str">
        <f>Table1[[#This Row],[L4 Code]]&amp;"-"&amp;Table1[[#This Row],[T1 Code]]</f>
        <v>E-06.MBL-12.ITE-133-1000</v>
      </c>
    </row>
    <row r="503" spans="1:80">
      <c r="A503" s="3" t="s">
        <v>5444</v>
      </c>
      <c r="B503" t="s">
        <v>4748</v>
      </c>
      <c r="D503" t="s">
        <v>4967</v>
      </c>
      <c r="F503" s="77" t="s">
        <v>4973</v>
      </c>
      <c r="H503" s="3" t="s">
        <v>4984</v>
      </c>
      <c r="I503" s="3"/>
      <c r="J503" s="78"/>
      <c r="K503" s="78"/>
      <c r="M503" s="78"/>
      <c r="X503" s="10"/>
      <c r="Y503" s="8">
        <v>2.5000000000000001E-2</v>
      </c>
      <c r="Z503" s="8">
        <v>2.5000000000000001E-2</v>
      </c>
      <c r="AA503" s="8">
        <v>2.5000000000000001E-2</v>
      </c>
      <c r="AB503" s="8">
        <v>2.5000000000000001E-2</v>
      </c>
      <c r="AC503" s="8">
        <v>2.5000000000000001E-2</v>
      </c>
      <c r="AD503" s="8">
        <v>2.5000000000000001E-2</v>
      </c>
      <c r="AE503" s="8">
        <v>2.5000000000000001E-2</v>
      </c>
      <c r="AF503" s="8">
        <v>2.5000000000000001E-2</v>
      </c>
      <c r="AG503" s="8">
        <v>2.5000000000000001E-2</v>
      </c>
      <c r="AH503" s="8">
        <v>2.5000000000000001E-2</v>
      </c>
      <c r="AI503" s="8">
        <v>2.5000000000000001E-2</v>
      </c>
      <c r="AJ503" s="8">
        <v>2.5000000000000001E-2</v>
      </c>
      <c r="AK503" s="8">
        <v>2.5000000000000001E-2</v>
      </c>
      <c r="AL503" s="8">
        <v>2.5000000000000001E-2</v>
      </c>
      <c r="AM503" s="8">
        <v>2.5000000000000001E-2</v>
      </c>
      <c r="AN503" s="8">
        <v>2.5000000000000001E-2</v>
      </c>
      <c r="AO503" s="8">
        <v>2.5000000000000001E-2</v>
      </c>
      <c r="AP503" s="8">
        <v>2.5000000000000001E-2</v>
      </c>
      <c r="AQ503" s="8">
        <v>2.5000000000000001E-2</v>
      </c>
      <c r="AR503" s="8">
        <v>2.5000000000000001E-2</v>
      </c>
      <c r="AS503" s="8">
        <v>2.5000000000000001E-2</v>
      </c>
      <c r="AT503" s="8">
        <v>2.5000000000000001E-2</v>
      </c>
      <c r="AU503" s="8">
        <v>2.5000000000000001E-2</v>
      </c>
      <c r="AV503" s="8">
        <v>2.5000000000000001E-2</v>
      </c>
      <c r="AW503" s="8">
        <v>2.5000000000000001E-2</v>
      </c>
      <c r="AX503" s="8">
        <v>2.5000000000000001E-2</v>
      </c>
      <c r="AY503" s="8">
        <v>2.5000000000000001E-2</v>
      </c>
      <c r="AZ503" s="8">
        <v>2.5000000000000001E-2</v>
      </c>
      <c r="BA503" s="8">
        <v>2.5000000000000001E-2</v>
      </c>
      <c r="BB503" s="8">
        <v>2.5000000000000001E-2</v>
      </c>
      <c r="BC503" s="8">
        <v>2.5000000000000001E-2</v>
      </c>
      <c r="BD503" s="8">
        <v>2.5000000000000001E-2</v>
      </c>
      <c r="BE503" s="8">
        <v>2.5000000000000001E-2</v>
      </c>
      <c r="BF503" s="8">
        <v>2.5000000000000001E-2</v>
      </c>
      <c r="BG503" s="8">
        <v>2.5000000000000001E-2</v>
      </c>
      <c r="BH503" s="8">
        <v>2.5000000000000001E-2</v>
      </c>
      <c r="BI503" s="8">
        <v>2.5000000000000001E-2</v>
      </c>
      <c r="BJ503" s="8">
        <v>2.5000000000000001E-2</v>
      </c>
      <c r="BK503" s="8">
        <v>2.5000000000000001E-2</v>
      </c>
      <c r="BL503" s="8">
        <v>2.5000000000000001E-2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BX503" s="8">
        <v>1.8867924528301886E-2</v>
      </c>
      <c r="BY503" s="8" t="str">
        <f>+_xlfn.XLOOKUP(Table1[[#This Row],[L4 Code]],KIRMATAŞ!B:B,KIRMATAŞ!B:B,"")</f>
        <v/>
      </c>
      <c r="BZ503" s="8" t="str">
        <f>+_xlfn.XLOOKUP(Table1[[#This Row],[L4 Code]],'SU TEMİNİ'!C:C,'SU TEMİNİ'!C:C,"")</f>
        <v/>
      </c>
      <c r="CA503" s="8" t="str">
        <f>+_xlfn.XLOOKUP(Table1[[#This Row],[L4 Code]],TAŞ!C:C,TAŞ!C:C,"")</f>
        <v/>
      </c>
      <c r="CB503" s="8" t="str">
        <f>Table1[[#This Row],[L4 Code]]&amp;"-"&amp;Table1[[#This Row],[T1 Code]]</f>
        <v>E-06.MBL-12.ITE-141-1000</v>
      </c>
    </row>
    <row r="504" spans="1:80">
      <c r="A504" s="3" t="s">
        <v>5444</v>
      </c>
      <c r="B504" t="s">
        <v>4750</v>
      </c>
      <c r="D504" t="s">
        <v>4967</v>
      </c>
      <c r="F504" s="77" t="s">
        <v>4973</v>
      </c>
      <c r="H504" s="3" t="s">
        <v>4984</v>
      </c>
      <c r="I504" s="3"/>
      <c r="J504" s="78"/>
      <c r="K504" s="78"/>
      <c r="M504" s="78"/>
      <c r="X504" s="10"/>
      <c r="Y504" s="8">
        <v>2.5000000000000001E-2</v>
      </c>
      <c r="Z504" s="8">
        <v>2.5000000000000001E-2</v>
      </c>
      <c r="AA504" s="8">
        <v>2.5000000000000001E-2</v>
      </c>
      <c r="AB504" s="8">
        <v>2.5000000000000001E-2</v>
      </c>
      <c r="AC504" s="8">
        <v>2.5000000000000001E-2</v>
      </c>
      <c r="AD504" s="8">
        <v>2.5000000000000001E-2</v>
      </c>
      <c r="AE504" s="8">
        <v>2.5000000000000001E-2</v>
      </c>
      <c r="AF504" s="8">
        <v>2.5000000000000001E-2</v>
      </c>
      <c r="AG504" s="8">
        <v>2.5000000000000001E-2</v>
      </c>
      <c r="AH504" s="8">
        <v>2.5000000000000001E-2</v>
      </c>
      <c r="AI504" s="8">
        <v>2.5000000000000001E-2</v>
      </c>
      <c r="AJ504" s="8">
        <v>2.5000000000000001E-2</v>
      </c>
      <c r="AK504" s="8">
        <v>2.5000000000000001E-2</v>
      </c>
      <c r="AL504" s="8">
        <v>2.5000000000000001E-2</v>
      </c>
      <c r="AM504" s="8">
        <v>2.5000000000000001E-2</v>
      </c>
      <c r="AN504" s="8">
        <v>2.5000000000000001E-2</v>
      </c>
      <c r="AO504" s="8">
        <v>2.5000000000000001E-2</v>
      </c>
      <c r="AP504" s="8">
        <v>2.5000000000000001E-2</v>
      </c>
      <c r="AQ504" s="8">
        <v>2.5000000000000001E-2</v>
      </c>
      <c r="AR504" s="8">
        <v>2.5000000000000001E-2</v>
      </c>
      <c r="AS504" s="8">
        <v>2.5000000000000001E-2</v>
      </c>
      <c r="AT504" s="8">
        <v>2.5000000000000001E-2</v>
      </c>
      <c r="AU504" s="8">
        <v>2.5000000000000001E-2</v>
      </c>
      <c r="AV504" s="8">
        <v>2.5000000000000001E-2</v>
      </c>
      <c r="AW504" s="8">
        <v>2.5000000000000001E-2</v>
      </c>
      <c r="AX504" s="8">
        <v>2.5000000000000001E-2</v>
      </c>
      <c r="AY504" s="8">
        <v>2.5000000000000001E-2</v>
      </c>
      <c r="AZ504" s="8">
        <v>2.5000000000000001E-2</v>
      </c>
      <c r="BA504" s="8">
        <v>2.5000000000000001E-2</v>
      </c>
      <c r="BB504" s="8">
        <v>2.5000000000000001E-2</v>
      </c>
      <c r="BC504" s="8">
        <v>2.5000000000000001E-2</v>
      </c>
      <c r="BD504" s="8">
        <v>2.5000000000000001E-2</v>
      </c>
      <c r="BE504" s="8">
        <v>2.5000000000000001E-2</v>
      </c>
      <c r="BF504" s="8">
        <v>2.5000000000000001E-2</v>
      </c>
      <c r="BG504" s="8">
        <v>2.5000000000000001E-2</v>
      </c>
      <c r="BH504" s="8">
        <v>2.5000000000000001E-2</v>
      </c>
      <c r="BI504" s="8">
        <v>2.5000000000000001E-2</v>
      </c>
      <c r="BJ504" s="8">
        <v>2.5000000000000001E-2</v>
      </c>
      <c r="BK504" s="8">
        <v>2.5000000000000001E-2</v>
      </c>
      <c r="BL504" s="8">
        <v>2.5000000000000001E-2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BX504" s="8">
        <v>1.8867924528301886E-2</v>
      </c>
      <c r="BY504" s="8" t="str">
        <f>+_xlfn.XLOOKUP(Table1[[#This Row],[L4 Code]],KIRMATAŞ!B:B,KIRMATAŞ!B:B,"")</f>
        <v/>
      </c>
      <c r="BZ504" s="8" t="str">
        <f>+_xlfn.XLOOKUP(Table1[[#This Row],[L4 Code]],'SU TEMİNİ'!C:C,'SU TEMİNİ'!C:C,"")</f>
        <v/>
      </c>
      <c r="CA504" s="8" t="str">
        <f>+_xlfn.XLOOKUP(Table1[[#This Row],[L4 Code]],TAŞ!C:C,TAŞ!C:C,"")</f>
        <v/>
      </c>
      <c r="CB504" s="8" t="str">
        <f>Table1[[#This Row],[L4 Code]]&amp;"-"&amp;Table1[[#This Row],[T1 Code]]</f>
        <v>E-06.MBL-12.ITE-142-1000</v>
      </c>
    </row>
    <row r="505" spans="1:80">
      <c r="A505" s="3" t="s">
        <v>5444</v>
      </c>
      <c r="B505" t="s">
        <v>4753</v>
      </c>
      <c r="D505" t="s">
        <v>4967</v>
      </c>
      <c r="F505" s="77" t="s">
        <v>4973</v>
      </c>
      <c r="H505" s="3" t="s">
        <v>4984</v>
      </c>
      <c r="I505" s="3"/>
      <c r="J505" s="78"/>
      <c r="K505" s="78"/>
      <c r="M505" s="78"/>
      <c r="X505" s="10"/>
      <c r="Y505" s="8">
        <v>2.5000000000000001E-2</v>
      </c>
      <c r="Z505" s="8">
        <v>2.5000000000000001E-2</v>
      </c>
      <c r="AA505" s="8">
        <v>2.5000000000000001E-2</v>
      </c>
      <c r="AB505" s="8">
        <v>2.5000000000000001E-2</v>
      </c>
      <c r="AC505" s="8">
        <v>2.5000000000000001E-2</v>
      </c>
      <c r="AD505" s="8">
        <v>2.5000000000000001E-2</v>
      </c>
      <c r="AE505" s="8">
        <v>2.5000000000000001E-2</v>
      </c>
      <c r="AF505" s="8">
        <v>2.5000000000000001E-2</v>
      </c>
      <c r="AG505" s="8">
        <v>2.5000000000000001E-2</v>
      </c>
      <c r="AH505" s="8">
        <v>2.5000000000000001E-2</v>
      </c>
      <c r="AI505" s="8">
        <v>2.5000000000000001E-2</v>
      </c>
      <c r="AJ505" s="8">
        <v>2.5000000000000001E-2</v>
      </c>
      <c r="AK505" s="8">
        <v>2.5000000000000001E-2</v>
      </c>
      <c r="AL505" s="8">
        <v>2.5000000000000001E-2</v>
      </c>
      <c r="AM505" s="8">
        <v>2.5000000000000001E-2</v>
      </c>
      <c r="AN505" s="8">
        <v>2.5000000000000001E-2</v>
      </c>
      <c r="AO505" s="8">
        <v>2.5000000000000001E-2</v>
      </c>
      <c r="AP505" s="8">
        <v>2.5000000000000001E-2</v>
      </c>
      <c r="AQ505" s="8">
        <v>2.5000000000000001E-2</v>
      </c>
      <c r="AR505" s="8">
        <v>2.5000000000000001E-2</v>
      </c>
      <c r="AS505" s="8">
        <v>2.5000000000000001E-2</v>
      </c>
      <c r="AT505" s="8">
        <v>2.5000000000000001E-2</v>
      </c>
      <c r="AU505" s="8">
        <v>2.5000000000000001E-2</v>
      </c>
      <c r="AV505" s="8">
        <v>2.5000000000000001E-2</v>
      </c>
      <c r="AW505" s="8">
        <v>2.5000000000000001E-2</v>
      </c>
      <c r="AX505" s="8">
        <v>2.5000000000000001E-2</v>
      </c>
      <c r="AY505" s="8">
        <v>2.5000000000000001E-2</v>
      </c>
      <c r="AZ505" s="8">
        <v>2.5000000000000001E-2</v>
      </c>
      <c r="BA505" s="8">
        <v>2.5000000000000001E-2</v>
      </c>
      <c r="BB505" s="8">
        <v>2.5000000000000001E-2</v>
      </c>
      <c r="BC505" s="8">
        <v>2.5000000000000001E-2</v>
      </c>
      <c r="BD505" s="8">
        <v>2.5000000000000001E-2</v>
      </c>
      <c r="BE505" s="8">
        <v>2.5000000000000001E-2</v>
      </c>
      <c r="BF505" s="8">
        <v>2.5000000000000001E-2</v>
      </c>
      <c r="BG505" s="8">
        <v>2.5000000000000001E-2</v>
      </c>
      <c r="BH505" s="8">
        <v>2.5000000000000001E-2</v>
      </c>
      <c r="BI505" s="8">
        <v>2.5000000000000001E-2</v>
      </c>
      <c r="BJ505" s="8">
        <v>2.5000000000000001E-2</v>
      </c>
      <c r="BK505" s="8">
        <v>2.5000000000000001E-2</v>
      </c>
      <c r="BL505" s="8">
        <v>2.5000000000000001E-2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BX505" s="8">
        <v>1.8867924528301886E-2</v>
      </c>
      <c r="BY505" s="8" t="str">
        <f>+_xlfn.XLOOKUP(Table1[[#This Row],[L4 Code]],KIRMATAŞ!B:B,KIRMATAŞ!B:B,"")</f>
        <v/>
      </c>
      <c r="BZ505" s="8" t="str">
        <f>+_xlfn.XLOOKUP(Table1[[#This Row],[L4 Code]],'SU TEMİNİ'!C:C,'SU TEMİNİ'!C:C,"")</f>
        <v/>
      </c>
      <c r="CA505" s="8" t="str">
        <f>+_xlfn.XLOOKUP(Table1[[#This Row],[L4 Code]],TAŞ!C:C,TAŞ!C:C,"")</f>
        <v/>
      </c>
      <c r="CB505" s="8" t="str">
        <f>Table1[[#This Row],[L4 Code]]&amp;"-"&amp;Table1[[#This Row],[T1 Code]]</f>
        <v>E-06.MBL-12.ITE-143-1000</v>
      </c>
    </row>
    <row r="506" spans="1:80">
      <c r="A506" s="3" t="s">
        <v>5444</v>
      </c>
      <c r="B506" t="s">
        <v>4756</v>
      </c>
      <c r="D506" t="s">
        <v>4967</v>
      </c>
      <c r="F506" s="77" t="s">
        <v>4973</v>
      </c>
      <c r="H506" s="3" t="s">
        <v>4984</v>
      </c>
      <c r="I506" s="3"/>
      <c r="J506" s="78"/>
      <c r="K506" s="78"/>
      <c r="M506" s="78"/>
      <c r="X506" s="10"/>
      <c r="Y506" s="8">
        <v>2.5000000000000001E-2</v>
      </c>
      <c r="Z506" s="8">
        <v>2.5000000000000001E-2</v>
      </c>
      <c r="AA506" s="8">
        <v>2.5000000000000001E-2</v>
      </c>
      <c r="AB506" s="8">
        <v>2.5000000000000001E-2</v>
      </c>
      <c r="AC506" s="8">
        <v>2.5000000000000001E-2</v>
      </c>
      <c r="AD506" s="8">
        <v>2.5000000000000001E-2</v>
      </c>
      <c r="AE506" s="8">
        <v>2.5000000000000001E-2</v>
      </c>
      <c r="AF506" s="8">
        <v>2.5000000000000001E-2</v>
      </c>
      <c r="AG506" s="8">
        <v>2.5000000000000001E-2</v>
      </c>
      <c r="AH506" s="8">
        <v>2.5000000000000001E-2</v>
      </c>
      <c r="AI506" s="8">
        <v>2.5000000000000001E-2</v>
      </c>
      <c r="AJ506" s="8">
        <v>2.5000000000000001E-2</v>
      </c>
      <c r="AK506" s="8">
        <v>2.5000000000000001E-2</v>
      </c>
      <c r="AL506" s="8">
        <v>2.5000000000000001E-2</v>
      </c>
      <c r="AM506" s="8">
        <v>2.5000000000000001E-2</v>
      </c>
      <c r="AN506" s="8">
        <v>2.5000000000000001E-2</v>
      </c>
      <c r="AO506" s="8">
        <v>2.5000000000000001E-2</v>
      </c>
      <c r="AP506" s="8">
        <v>2.5000000000000001E-2</v>
      </c>
      <c r="AQ506" s="8">
        <v>2.5000000000000001E-2</v>
      </c>
      <c r="AR506" s="8">
        <v>2.5000000000000001E-2</v>
      </c>
      <c r="AS506" s="8">
        <v>2.5000000000000001E-2</v>
      </c>
      <c r="AT506" s="8">
        <v>2.5000000000000001E-2</v>
      </c>
      <c r="AU506" s="8">
        <v>2.5000000000000001E-2</v>
      </c>
      <c r="AV506" s="8">
        <v>2.5000000000000001E-2</v>
      </c>
      <c r="AW506" s="8">
        <v>2.5000000000000001E-2</v>
      </c>
      <c r="AX506" s="8">
        <v>2.5000000000000001E-2</v>
      </c>
      <c r="AY506" s="8">
        <v>2.5000000000000001E-2</v>
      </c>
      <c r="AZ506" s="8">
        <v>2.5000000000000001E-2</v>
      </c>
      <c r="BA506" s="8">
        <v>2.5000000000000001E-2</v>
      </c>
      <c r="BB506" s="8">
        <v>2.5000000000000001E-2</v>
      </c>
      <c r="BC506" s="8">
        <v>2.5000000000000001E-2</v>
      </c>
      <c r="BD506" s="8">
        <v>2.5000000000000001E-2</v>
      </c>
      <c r="BE506" s="8">
        <v>2.5000000000000001E-2</v>
      </c>
      <c r="BF506" s="8">
        <v>2.5000000000000001E-2</v>
      </c>
      <c r="BG506" s="8">
        <v>2.5000000000000001E-2</v>
      </c>
      <c r="BH506" s="8">
        <v>2.5000000000000001E-2</v>
      </c>
      <c r="BI506" s="8">
        <v>2.5000000000000001E-2</v>
      </c>
      <c r="BJ506" s="8">
        <v>2.5000000000000001E-2</v>
      </c>
      <c r="BK506" s="8">
        <v>2.5000000000000001E-2</v>
      </c>
      <c r="BL506" s="8">
        <v>2.5000000000000001E-2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BX506" s="8">
        <v>1.8867924528301886E-2</v>
      </c>
      <c r="BY506" s="8" t="str">
        <f>+_xlfn.XLOOKUP(Table1[[#This Row],[L4 Code]],KIRMATAŞ!B:B,KIRMATAŞ!B:B,"")</f>
        <v/>
      </c>
      <c r="BZ506" s="8" t="str">
        <f>+_xlfn.XLOOKUP(Table1[[#This Row],[L4 Code]],'SU TEMİNİ'!C:C,'SU TEMİNİ'!C:C,"")</f>
        <v/>
      </c>
      <c r="CA506" s="8" t="str">
        <f>+_xlfn.XLOOKUP(Table1[[#This Row],[L4 Code]],TAŞ!C:C,TAŞ!C:C,"")</f>
        <v/>
      </c>
      <c r="CB506" s="8" t="str">
        <f>Table1[[#This Row],[L4 Code]]&amp;"-"&amp;Table1[[#This Row],[T1 Code]]</f>
        <v>E-06.MBL-12.ITE-144-1000</v>
      </c>
    </row>
    <row r="507" spans="1:80">
      <c r="A507" s="3" t="s">
        <v>5444</v>
      </c>
      <c r="B507" t="s">
        <v>4759</v>
      </c>
      <c r="D507" t="s">
        <v>4967</v>
      </c>
      <c r="F507" s="77" t="s">
        <v>4973</v>
      </c>
      <c r="H507" s="3" t="s">
        <v>4984</v>
      </c>
      <c r="I507" s="3"/>
      <c r="J507" s="78"/>
      <c r="K507" s="78"/>
      <c r="M507" s="78"/>
      <c r="X507" s="10"/>
      <c r="Y507" s="8">
        <v>2.5000000000000001E-2</v>
      </c>
      <c r="Z507" s="8">
        <v>2.5000000000000001E-2</v>
      </c>
      <c r="AA507" s="8">
        <v>2.5000000000000001E-2</v>
      </c>
      <c r="AB507" s="8">
        <v>2.5000000000000001E-2</v>
      </c>
      <c r="AC507" s="8">
        <v>2.5000000000000001E-2</v>
      </c>
      <c r="AD507" s="8">
        <v>2.5000000000000001E-2</v>
      </c>
      <c r="AE507" s="8">
        <v>2.5000000000000001E-2</v>
      </c>
      <c r="AF507" s="8">
        <v>2.5000000000000001E-2</v>
      </c>
      <c r="AG507" s="8">
        <v>2.5000000000000001E-2</v>
      </c>
      <c r="AH507" s="8">
        <v>2.5000000000000001E-2</v>
      </c>
      <c r="AI507" s="8">
        <v>2.5000000000000001E-2</v>
      </c>
      <c r="AJ507" s="8">
        <v>2.5000000000000001E-2</v>
      </c>
      <c r="AK507" s="8">
        <v>2.5000000000000001E-2</v>
      </c>
      <c r="AL507" s="8">
        <v>2.5000000000000001E-2</v>
      </c>
      <c r="AM507" s="8">
        <v>2.5000000000000001E-2</v>
      </c>
      <c r="AN507" s="8">
        <v>2.5000000000000001E-2</v>
      </c>
      <c r="AO507" s="8">
        <v>2.5000000000000001E-2</v>
      </c>
      <c r="AP507" s="8">
        <v>2.5000000000000001E-2</v>
      </c>
      <c r="AQ507" s="8">
        <v>2.5000000000000001E-2</v>
      </c>
      <c r="AR507" s="8">
        <v>2.5000000000000001E-2</v>
      </c>
      <c r="AS507" s="8">
        <v>2.5000000000000001E-2</v>
      </c>
      <c r="AT507" s="8">
        <v>2.5000000000000001E-2</v>
      </c>
      <c r="AU507" s="8">
        <v>2.5000000000000001E-2</v>
      </c>
      <c r="AV507" s="8">
        <v>2.5000000000000001E-2</v>
      </c>
      <c r="AW507" s="8">
        <v>2.5000000000000001E-2</v>
      </c>
      <c r="AX507" s="8">
        <v>2.5000000000000001E-2</v>
      </c>
      <c r="AY507" s="8">
        <v>2.5000000000000001E-2</v>
      </c>
      <c r="AZ507" s="8">
        <v>2.5000000000000001E-2</v>
      </c>
      <c r="BA507" s="8">
        <v>2.5000000000000001E-2</v>
      </c>
      <c r="BB507" s="8">
        <v>2.5000000000000001E-2</v>
      </c>
      <c r="BC507" s="8">
        <v>2.5000000000000001E-2</v>
      </c>
      <c r="BD507" s="8">
        <v>2.5000000000000001E-2</v>
      </c>
      <c r="BE507" s="8">
        <v>2.5000000000000001E-2</v>
      </c>
      <c r="BF507" s="8">
        <v>2.5000000000000001E-2</v>
      </c>
      <c r="BG507" s="8">
        <v>2.5000000000000001E-2</v>
      </c>
      <c r="BH507" s="8">
        <v>2.5000000000000001E-2</v>
      </c>
      <c r="BI507" s="8">
        <v>2.5000000000000001E-2</v>
      </c>
      <c r="BJ507" s="8">
        <v>2.5000000000000001E-2</v>
      </c>
      <c r="BK507" s="8">
        <v>2.5000000000000001E-2</v>
      </c>
      <c r="BL507" s="8">
        <v>2.5000000000000001E-2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BX507" s="8">
        <v>1.8867924528301886E-2</v>
      </c>
      <c r="BY507" s="8" t="str">
        <f>+_xlfn.XLOOKUP(Table1[[#This Row],[L4 Code]],KIRMATAŞ!B:B,KIRMATAŞ!B:B,"")</f>
        <v/>
      </c>
      <c r="BZ507" s="8" t="str">
        <f>+_xlfn.XLOOKUP(Table1[[#This Row],[L4 Code]],'SU TEMİNİ'!C:C,'SU TEMİNİ'!C:C,"")</f>
        <v/>
      </c>
      <c r="CA507" s="8" t="str">
        <f>+_xlfn.XLOOKUP(Table1[[#This Row],[L4 Code]],TAŞ!C:C,TAŞ!C:C,"")</f>
        <v/>
      </c>
      <c r="CB507" s="8" t="str">
        <f>Table1[[#This Row],[L4 Code]]&amp;"-"&amp;Table1[[#This Row],[T1 Code]]</f>
        <v>E-06.MBL-12.ITE-145-1000</v>
      </c>
    </row>
    <row r="508" spans="1:80">
      <c r="A508" s="3" t="s">
        <v>5444</v>
      </c>
      <c r="B508" t="s">
        <v>4762</v>
      </c>
      <c r="D508" t="s">
        <v>4967</v>
      </c>
      <c r="F508" s="77" t="s">
        <v>4973</v>
      </c>
      <c r="H508" s="3" t="s">
        <v>4984</v>
      </c>
      <c r="I508" s="3"/>
      <c r="J508" s="78"/>
      <c r="K508" s="78"/>
      <c r="M508" s="78"/>
      <c r="X508" s="10"/>
      <c r="Y508" s="8">
        <v>2.5000000000000001E-2</v>
      </c>
      <c r="Z508" s="8">
        <v>2.5000000000000001E-2</v>
      </c>
      <c r="AA508" s="8">
        <v>2.5000000000000001E-2</v>
      </c>
      <c r="AB508" s="8">
        <v>2.5000000000000001E-2</v>
      </c>
      <c r="AC508" s="8">
        <v>2.5000000000000001E-2</v>
      </c>
      <c r="AD508" s="8">
        <v>2.5000000000000001E-2</v>
      </c>
      <c r="AE508" s="8">
        <v>2.5000000000000001E-2</v>
      </c>
      <c r="AF508" s="8">
        <v>2.5000000000000001E-2</v>
      </c>
      <c r="AG508" s="8">
        <v>2.5000000000000001E-2</v>
      </c>
      <c r="AH508" s="8">
        <v>2.5000000000000001E-2</v>
      </c>
      <c r="AI508" s="8">
        <v>2.5000000000000001E-2</v>
      </c>
      <c r="AJ508" s="8">
        <v>2.5000000000000001E-2</v>
      </c>
      <c r="AK508" s="8">
        <v>2.5000000000000001E-2</v>
      </c>
      <c r="AL508" s="8">
        <v>2.5000000000000001E-2</v>
      </c>
      <c r="AM508" s="8">
        <v>2.5000000000000001E-2</v>
      </c>
      <c r="AN508" s="8">
        <v>2.5000000000000001E-2</v>
      </c>
      <c r="AO508" s="8">
        <v>2.5000000000000001E-2</v>
      </c>
      <c r="AP508" s="8">
        <v>2.5000000000000001E-2</v>
      </c>
      <c r="AQ508" s="8">
        <v>2.5000000000000001E-2</v>
      </c>
      <c r="AR508" s="8">
        <v>2.5000000000000001E-2</v>
      </c>
      <c r="AS508" s="8">
        <v>2.5000000000000001E-2</v>
      </c>
      <c r="AT508" s="8">
        <v>2.5000000000000001E-2</v>
      </c>
      <c r="AU508" s="8">
        <v>2.5000000000000001E-2</v>
      </c>
      <c r="AV508" s="8">
        <v>2.5000000000000001E-2</v>
      </c>
      <c r="AW508" s="8">
        <v>2.5000000000000001E-2</v>
      </c>
      <c r="AX508" s="8">
        <v>2.5000000000000001E-2</v>
      </c>
      <c r="AY508" s="8">
        <v>2.5000000000000001E-2</v>
      </c>
      <c r="AZ508" s="8">
        <v>2.5000000000000001E-2</v>
      </c>
      <c r="BA508" s="8">
        <v>2.5000000000000001E-2</v>
      </c>
      <c r="BB508" s="8">
        <v>2.5000000000000001E-2</v>
      </c>
      <c r="BC508" s="8">
        <v>2.5000000000000001E-2</v>
      </c>
      <c r="BD508" s="8">
        <v>2.5000000000000001E-2</v>
      </c>
      <c r="BE508" s="8">
        <v>2.5000000000000001E-2</v>
      </c>
      <c r="BF508" s="8">
        <v>2.5000000000000001E-2</v>
      </c>
      <c r="BG508" s="8">
        <v>2.5000000000000001E-2</v>
      </c>
      <c r="BH508" s="8">
        <v>2.5000000000000001E-2</v>
      </c>
      <c r="BI508" s="8">
        <v>2.5000000000000001E-2</v>
      </c>
      <c r="BJ508" s="8">
        <v>2.5000000000000001E-2</v>
      </c>
      <c r="BK508" s="8">
        <v>2.5000000000000001E-2</v>
      </c>
      <c r="BL508" s="8">
        <v>2.5000000000000001E-2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BX508" s="8">
        <v>1.8867924528301886E-2</v>
      </c>
      <c r="BY508" s="8" t="str">
        <f>+_xlfn.XLOOKUP(Table1[[#This Row],[L4 Code]],KIRMATAŞ!B:B,KIRMATAŞ!B:B,"")</f>
        <v/>
      </c>
      <c r="BZ508" s="8" t="str">
        <f>+_xlfn.XLOOKUP(Table1[[#This Row],[L4 Code]],'SU TEMİNİ'!C:C,'SU TEMİNİ'!C:C,"")</f>
        <v/>
      </c>
      <c r="CA508" s="8" t="str">
        <f>+_xlfn.XLOOKUP(Table1[[#This Row],[L4 Code]],TAŞ!C:C,TAŞ!C:C,"")</f>
        <v/>
      </c>
      <c r="CB508" s="8" t="str">
        <f>Table1[[#This Row],[L4 Code]]&amp;"-"&amp;Table1[[#This Row],[T1 Code]]</f>
        <v>E-06.MBL-12.ITE-146-1000</v>
      </c>
    </row>
    <row r="509" spans="1:80">
      <c r="A509" s="3" t="s">
        <v>5444</v>
      </c>
      <c r="B509" t="s">
        <v>4765</v>
      </c>
      <c r="D509" t="s">
        <v>4967</v>
      </c>
      <c r="F509" s="77" t="s">
        <v>4973</v>
      </c>
      <c r="H509" s="3" t="s">
        <v>4984</v>
      </c>
      <c r="I509" s="3"/>
      <c r="J509" s="78"/>
      <c r="K509" s="78"/>
      <c r="M509" s="78"/>
      <c r="X509" s="10"/>
      <c r="Y509" s="8">
        <v>2.5000000000000001E-2</v>
      </c>
      <c r="Z509" s="8">
        <v>2.5000000000000001E-2</v>
      </c>
      <c r="AA509" s="8">
        <v>2.5000000000000001E-2</v>
      </c>
      <c r="AB509" s="8">
        <v>2.5000000000000001E-2</v>
      </c>
      <c r="AC509" s="8">
        <v>2.5000000000000001E-2</v>
      </c>
      <c r="AD509" s="8">
        <v>2.5000000000000001E-2</v>
      </c>
      <c r="AE509" s="8">
        <v>2.5000000000000001E-2</v>
      </c>
      <c r="AF509" s="8">
        <v>2.5000000000000001E-2</v>
      </c>
      <c r="AG509" s="8">
        <v>2.5000000000000001E-2</v>
      </c>
      <c r="AH509" s="8">
        <v>2.5000000000000001E-2</v>
      </c>
      <c r="AI509" s="8">
        <v>2.5000000000000001E-2</v>
      </c>
      <c r="AJ509" s="8">
        <v>2.5000000000000001E-2</v>
      </c>
      <c r="AK509" s="8">
        <v>2.5000000000000001E-2</v>
      </c>
      <c r="AL509" s="8">
        <v>2.5000000000000001E-2</v>
      </c>
      <c r="AM509" s="8">
        <v>2.5000000000000001E-2</v>
      </c>
      <c r="AN509" s="8">
        <v>2.5000000000000001E-2</v>
      </c>
      <c r="AO509" s="8">
        <v>2.5000000000000001E-2</v>
      </c>
      <c r="AP509" s="8">
        <v>2.5000000000000001E-2</v>
      </c>
      <c r="AQ509" s="8">
        <v>2.5000000000000001E-2</v>
      </c>
      <c r="AR509" s="8">
        <v>2.5000000000000001E-2</v>
      </c>
      <c r="AS509" s="8">
        <v>2.5000000000000001E-2</v>
      </c>
      <c r="AT509" s="8">
        <v>2.5000000000000001E-2</v>
      </c>
      <c r="AU509" s="8">
        <v>2.5000000000000001E-2</v>
      </c>
      <c r="AV509" s="8">
        <v>2.5000000000000001E-2</v>
      </c>
      <c r="AW509" s="8">
        <v>2.5000000000000001E-2</v>
      </c>
      <c r="AX509" s="8">
        <v>2.5000000000000001E-2</v>
      </c>
      <c r="AY509" s="8">
        <v>2.5000000000000001E-2</v>
      </c>
      <c r="AZ509" s="8">
        <v>2.5000000000000001E-2</v>
      </c>
      <c r="BA509" s="8">
        <v>2.5000000000000001E-2</v>
      </c>
      <c r="BB509" s="8">
        <v>2.5000000000000001E-2</v>
      </c>
      <c r="BC509" s="8">
        <v>2.5000000000000001E-2</v>
      </c>
      <c r="BD509" s="8">
        <v>2.5000000000000001E-2</v>
      </c>
      <c r="BE509" s="8">
        <v>2.5000000000000001E-2</v>
      </c>
      <c r="BF509" s="8">
        <v>2.5000000000000001E-2</v>
      </c>
      <c r="BG509" s="8">
        <v>2.5000000000000001E-2</v>
      </c>
      <c r="BH509" s="8">
        <v>2.5000000000000001E-2</v>
      </c>
      <c r="BI509" s="8">
        <v>2.5000000000000001E-2</v>
      </c>
      <c r="BJ509" s="8">
        <v>2.5000000000000001E-2</v>
      </c>
      <c r="BK509" s="8">
        <v>2.5000000000000001E-2</v>
      </c>
      <c r="BL509" s="8">
        <v>2.5000000000000001E-2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BX509" s="8">
        <v>1.8867924528301886E-2</v>
      </c>
      <c r="BY509" s="8" t="str">
        <f>+_xlfn.XLOOKUP(Table1[[#This Row],[L4 Code]],KIRMATAŞ!B:B,KIRMATAŞ!B:B,"")</f>
        <v/>
      </c>
      <c r="BZ509" s="8" t="str">
        <f>+_xlfn.XLOOKUP(Table1[[#This Row],[L4 Code]],'SU TEMİNİ'!C:C,'SU TEMİNİ'!C:C,"")</f>
        <v/>
      </c>
      <c r="CA509" s="8" t="str">
        <f>+_xlfn.XLOOKUP(Table1[[#This Row],[L4 Code]],TAŞ!C:C,TAŞ!C:C,"")</f>
        <v/>
      </c>
      <c r="CB509" s="8" t="str">
        <f>Table1[[#This Row],[L4 Code]]&amp;"-"&amp;Table1[[#This Row],[T1 Code]]</f>
        <v>E-06.MBL-12.ITE-210-1000</v>
      </c>
    </row>
    <row r="510" spans="1:80">
      <c r="A510" s="3" t="s">
        <v>5444</v>
      </c>
      <c r="B510" t="s">
        <v>4767</v>
      </c>
      <c r="D510" t="s">
        <v>4967</v>
      </c>
      <c r="F510" s="77" t="s">
        <v>4973</v>
      </c>
      <c r="H510" s="3" t="s">
        <v>4984</v>
      </c>
      <c r="I510" s="3"/>
      <c r="J510" s="78"/>
      <c r="K510" s="78"/>
      <c r="M510" s="78"/>
      <c r="X510" s="10"/>
      <c r="Y510" s="8">
        <v>2.5000000000000001E-2</v>
      </c>
      <c r="Z510" s="8">
        <v>2.5000000000000001E-2</v>
      </c>
      <c r="AA510" s="8">
        <v>2.5000000000000001E-2</v>
      </c>
      <c r="AB510" s="8">
        <v>2.5000000000000001E-2</v>
      </c>
      <c r="AC510" s="8">
        <v>2.5000000000000001E-2</v>
      </c>
      <c r="AD510" s="8">
        <v>2.5000000000000001E-2</v>
      </c>
      <c r="AE510" s="8">
        <v>2.5000000000000001E-2</v>
      </c>
      <c r="AF510" s="8">
        <v>2.5000000000000001E-2</v>
      </c>
      <c r="AG510" s="8">
        <v>2.5000000000000001E-2</v>
      </c>
      <c r="AH510" s="8">
        <v>2.5000000000000001E-2</v>
      </c>
      <c r="AI510" s="8">
        <v>2.5000000000000001E-2</v>
      </c>
      <c r="AJ510" s="8">
        <v>2.5000000000000001E-2</v>
      </c>
      <c r="AK510" s="8">
        <v>2.5000000000000001E-2</v>
      </c>
      <c r="AL510" s="8">
        <v>2.5000000000000001E-2</v>
      </c>
      <c r="AM510" s="8">
        <v>2.5000000000000001E-2</v>
      </c>
      <c r="AN510" s="8">
        <v>2.5000000000000001E-2</v>
      </c>
      <c r="AO510" s="8">
        <v>2.5000000000000001E-2</v>
      </c>
      <c r="AP510" s="8">
        <v>2.5000000000000001E-2</v>
      </c>
      <c r="AQ510" s="8">
        <v>2.5000000000000001E-2</v>
      </c>
      <c r="AR510" s="8">
        <v>2.5000000000000001E-2</v>
      </c>
      <c r="AS510" s="8">
        <v>2.5000000000000001E-2</v>
      </c>
      <c r="AT510" s="8">
        <v>2.5000000000000001E-2</v>
      </c>
      <c r="AU510" s="8">
        <v>2.5000000000000001E-2</v>
      </c>
      <c r="AV510" s="8">
        <v>2.5000000000000001E-2</v>
      </c>
      <c r="AW510" s="8">
        <v>2.5000000000000001E-2</v>
      </c>
      <c r="AX510" s="8">
        <v>2.5000000000000001E-2</v>
      </c>
      <c r="AY510" s="8">
        <v>2.5000000000000001E-2</v>
      </c>
      <c r="AZ510" s="8">
        <v>2.5000000000000001E-2</v>
      </c>
      <c r="BA510" s="8">
        <v>2.5000000000000001E-2</v>
      </c>
      <c r="BB510" s="8">
        <v>2.5000000000000001E-2</v>
      </c>
      <c r="BC510" s="8">
        <v>2.5000000000000001E-2</v>
      </c>
      <c r="BD510" s="8">
        <v>2.5000000000000001E-2</v>
      </c>
      <c r="BE510" s="8">
        <v>2.5000000000000001E-2</v>
      </c>
      <c r="BF510" s="8">
        <v>2.5000000000000001E-2</v>
      </c>
      <c r="BG510" s="8">
        <v>2.5000000000000001E-2</v>
      </c>
      <c r="BH510" s="8">
        <v>2.5000000000000001E-2</v>
      </c>
      <c r="BI510" s="8">
        <v>2.5000000000000001E-2</v>
      </c>
      <c r="BJ510" s="8">
        <v>2.5000000000000001E-2</v>
      </c>
      <c r="BK510" s="8">
        <v>2.5000000000000001E-2</v>
      </c>
      <c r="BL510" s="8">
        <v>2.5000000000000001E-2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BX510" s="8">
        <v>1.8867924528301886E-2</v>
      </c>
      <c r="BY510" s="8" t="str">
        <f>+_xlfn.XLOOKUP(Table1[[#This Row],[L4 Code]],KIRMATAŞ!B:B,KIRMATAŞ!B:B,"")</f>
        <v/>
      </c>
      <c r="BZ510" s="8" t="str">
        <f>+_xlfn.XLOOKUP(Table1[[#This Row],[L4 Code]],'SU TEMİNİ'!C:C,'SU TEMİNİ'!C:C,"")</f>
        <v/>
      </c>
      <c r="CA510" s="8" t="str">
        <f>+_xlfn.XLOOKUP(Table1[[#This Row],[L4 Code]],TAŞ!C:C,TAŞ!C:C,"")</f>
        <v/>
      </c>
      <c r="CB510" s="8" t="str">
        <f>Table1[[#This Row],[L4 Code]]&amp;"-"&amp;Table1[[#This Row],[T1 Code]]</f>
        <v>E-06.MBL-12.ITE-220-1000</v>
      </c>
    </row>
    <row r="511" spans="1:80">
      <c r="A511" s="3" t="s">
        <v>5444</v>
      </c>
      <c r="B511" t="s">
        <v>4769</v>
      </c>
      <c r="D511" t="s">
        <v>4967</v>
      </c>
      <c r="F511" s="77" t="s">
        <v>4973</v>
      </c>
      <c r="H511" s="3" t="s">
        <v>4984</v>
      </c>
      <c r="I511" s="3"/>
      <c r="J511" s="78"/>
      <c r="K511" s="78"/>
      <c r="M511" s="78"/>
      <c r="X511" s="10"/>
      <c r="Y511" s="8">
        <v>2.5000000000000001E-2</v>
      </c>
      <c r="Z511" s="8">
        <v>2.5000000000000001E-2</v>
      </c>
      <c r="AA511" s="8">
        <v>2.5000000000000001E-2</v>
      </c>
      <c r="AB511" s="8">
        <v>2.5000000000000001E-2</v>
      </c>
      <c r="AC511" s="8">
        <v>2.5000000000000001E-2</v>
      </c>
      <c r="AD511" s="8">
        <v>2.5000000000000001E-2</v>
      </c>
      <c r="AE511" s="8">
        <v>2.5000000000000001E-2</v>
      </c>
      <c r="AF511" s="8">
        <v>2.5000000000000001E-2</v>
      </c>
      <c r="AG511" s="8">
        <v>2.5000000000000001E-2</v>
      </c>
      <c r="AH511" s="8">
        <v>2.5000000000000001E-2</v>
      </c>
      <c r="AI511" s="8">
        <v>2.5000000000000001E-2</v>
      </c>
      <c r="AJ511" s="8">
        <v>2.5000000000000001E-2</v>
      </c>
      <c r="AK511" s="8">
        <v>2.5000000000000001E-2</v>
      </c>
      <c r="AL511" s="8">
        <v>2.5000000000000001E-2</v>
      </c>
      <c r="AM511" s="8">
        <v>2.5000000000000001E-2</v>
      </c>
      <c r="AN511" s="8">
        <v>2.5000000000000001E-2</v>
      </c>
      <c r="AO511" s="8">
        <v>2.5000000000000001E-2</v>
      </c>
      <c r="AP511" s="8">
        <v>2.5000000000000001E-2</v>
      </c>
      <c r="AQ511" s="8">
        <v>2.5000000000000001E-2</v>
      </c>
      <c r="AR511" s="8">
        <v>2.5000000000000001E-2</v>
      </c>
      <c r="AS511" s="8">
        <v>2.5000000000000001E-2</v>
      </c>
      <c r="AT511" s="8">
        <v>2.5000000000000001E-2</v>
      </c>
      <c r="AU511" s="8">
        <v>2.5000000000000001E-2</v>
      </c>
      <c r="AV511" s="8">
        <v>2.5000000000000001E-2</v>
      </c>
      <c r="AW511" s="8">
        <v>2.5000000000000001E-2</v>
      </c>
      <c r="AX511" s="8">
        <v>2.5000000000000001E-2</v>
      </c>
      <c r="AY511" s="8">
        <v>2.5000000000000001E-2</v>
      </c>
      <c r="AZ511" s="8">
        <v>2.5000000000000001E-2</v>
      </c>
      <c r="BA511" s="8">
        <v>2.5000000000000001E-2</v>
      </c>
      <c r="BB511" s="8">
        <v>2.5000000000000001E-2</v>
      </c>
      <c r="BC511" s="8">
        <v>2.5000000000000001E-2</v>
      </c>
      <c r="BD511" s="8">
        <v>2.5000000000000001E-2</v>
      </c>
      <c r="BE511" s="8">
        <v>2.5000000000000001E-2</v>
      </c>
      <c r="BF511" s="8">
        <v>2.5000000000000001E-2</v>
      </c>
      <c r="BG511" s="8">
        <v>2.5000000000000001E-2</v>
      </c>
      <c r="BH511" s="8">
        <v>2.5000000000000001E-2</v>
      </c>
      <c r="BI511" s="8">
        <v>2.5000000000000001E-2</v>
      </c>
      <c r="BJ511" s="8">
        <v>2.5000000000000001E-2</v>
      </c>
      <c r="BK511" s="8">
        <v>2.5000000000000001E-2</v>
      </c>
      <c r="BL511" s="8">
        <v>2.5000000000000001E-2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BX511" s="8">
        <v>1.8867924528301886E-2</v>
      </c>
      <c r="BY511" s="8" t="str">
        <f>+_xlfn.XLOOKUP(Table1[[#This Row],[L4 Code]],KIRMATAŞ!B:B,KIRMATAŞ!B:B,"")</f>
        <v/>
      </c>
      <c r="BZ511" s="8" t="str">
        <f>+_xlfn.XLOOKUP(Table1[[#This Row],[L4 Code]],'SU TEMİNİ'!C:C,'SU TEMİNİ'!C:C,"")</f>
        <v/>
      </c>
      <c r="CA511" s="8" t="str">
        <f>+_xlfn.XLOOKUP(Table1[[#This Row],[L4 Code]],TAŞ!C:C,TAŞ!C:C,"")</f>
        <v/>
      </c>
      <c r="CB511" s="8" t="str">
        <f>Table1[[#This Row],[L4 Code]]&amp;"-"&amp;Table1[[#This Row],[T1 Code]]</f>
        <v>E-06.MBL-12.ITE-230-1000</v>
      </c>
    </row>
    <row r="512" spans="1:80">
      <c r="A512" s="3" t="s">
        <v>5444</v>
      </c>
      <c r="B512" t="s">
        <v>4771</v>
      </c>
      <c r="D512" t="s">
        <v>4967</v>
      </c>
      <c r="F512" s="77" t="s">
        <v>4973</v>
      </c>
      <c r="H512" s="3" t="s">
        <v>4984</v>
      </c>
      <c r="I512" s="3"/>
      <c r="J512" s="78"/>
      <c r="K512" s="78"/>
      <c r="M512" s="78"/>
      <c r="X512" s="10"/>
      <c r="Y512" s="8">
        <v>2.5000000000000001E-2</v>
      </c>
      <c r="Z512" s="8">
        <v>2.5000000000000001E-2</v>
      </c>
      <c r="AA512" s="8">
        <v>2.5000000000000001E-2</v>
      </c>
      <c r="AB512" s="8">
        <v>2.5000000000000001E-2</v>
      </c>
      <c r="AC512" s="8">
        <v>2.5000000000000001E-2</v>
      </c>
      <c r="AD512" s="8">
        <v>2.5000000000000001E-2</v>
      </c>
      <c r="AE512" s="8">
        <v>2.5000000000000001E-2</v>
      </c>
      <c r="AF512" s="8">
        <v>2.5000000000000001E-2</v>
      </c>
      <c r="AG512" s="8">
        <v>2.5000000000000001E-2</v>
      </c>
      <c r="AH512" s="8">
        <v>2.5000000000000001E-2</v>
      </c>
      <c r="AI512" s="8">
        <v>2.5000000000000001E-2</v>
      </c>
      <c r="AJ512" s="8">
        <v>2.5000000000000001E-2</v>
      </c>
      <c r="AK512" s="8">
        <v>2.5000000000000001E-2</v>
      </c>
      <c r="AL512" s="8">
        <v>2.5000000000000001E-2</v>
      </c>
      <c r="AM512" s="8">
        <v>2.5000000000000001E-2</v>
      </c>
      <c r="AN512" s="8">
        <v>2.5000000000000001E-2</v>
      </c>
      <c r="AO512" s="8">
        <v>2.5000000000000001E-2</v>
      </c>
      <c r="AP512" s="8">
        <v>2.5000000000000001E-2</v>
      </c>
      <c r="AQ512" s="8">
        <v>2.5000000000000001E-2</v>
      </c>
      <c r="AR512" s="8">
        <v>2.5000000000000001E-2</v>
      </c>
      <c r="AS512" s="8">
        <v>2.5000000000000001E-2</v>
      </c>
      <c r="AT512" s="8">
        <v>2.5000000000000001E-2</v>
      </c>
      <c r="AU512" s="8">
        <v>2.5000000000000001E-2</v>
      </c>
      <c r="AV512" s="8">
        <v>2.5000000000000001E-2</v>
      </c>
      <c r="AW512" s="8">
        <v>2.5000000000000001E-2</v>
      </c>
      <c r="AX512" s="8">
        <v>2.5000000000000001E-2</v>
      </c>
      <c r="AY512" s="8">
        <v>2.5000000000000001E-2</v>
      </c>
      <c r="AZ512" s="8">
        <v>2.5000000000000001E-2</v>
      </c>
      <c r="BA512" s="8">
        <v>2.5000000000000001E-2</v>
      </c>
      <c r="BB512" s="8">
        <v>2.5000000000000001E-2</v>
      </c>
      <c r="BC512" s="8">
        <v>2.5000000000000001E-2</v>
      </c>
      <c r="BD512" s="8">
        <v>2.5000000000000001E-2</v>
      </c>
      <c r="BE512" s="8">
        <v>2.5000000000000001E-2</v>
      </c>
      <c r="BF512" s="8">
        <v>2.5000000000000001E-2</v>
      </c>
      <c r="BG512" s="8">
        <v>2.5000000000000001E-2</v>
      </c>
      <c r="BH512" s="8">
        <v>2.5000000000000001E-2</v>
      </c>
      <c r="BI512" s="8">
        <v>2.5000000000000001E-2</v>
      </c>
      <c r="BJ512" s="8">
        <v>2.5000000000000001E-2</v>
      </c>
      <c r="BK512" s="8">
        <v>2.5000000000000001E-2</v>
      </c>
      <c r="BL512" s="8">
        <v>2.5000000000000001E-2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BX512" s="8">
        <v>1.8867924528301886E-2</v>
      </c>
      <c r="BY512" s="8" t="str">
        <f>+_xlfn.XLOOKUP(Table1[[#This Row],[L4 Code]],KIRMATAŞ!B:B,KIRMATAŞ!B:B,"")</f>
        <v/>
      </c>
      <c r="BZ512" s="8" t="str">
        <f>+_xlfn.XLOOKUP(Table1[[#This Row],[L4 Code]],'SU TEMİNİ'!C:C,'SU TEMİNİ'!C:C,"")</f>
        <v/>
      </c>
      <c r="CA512" s="8" t="str">
        <f>+_xlfn.XLOOKUP(Table1[[#This Row],[L4 Code]],TAŞ!C:C,TAŞ!C:C,"")</f>
        <v/>
      </c>
      <c r="CB512" s="8" t="str">
        <f>Table1[[#This Row],[L4 Code]]&amp;"-"&amp;Table1[[#This Row],[T1 Code]]</f>
        <v>E-06.MBL-12.ITE-240-1000</v>
      </c>
    </row>
    <row r="513" spans="1:80">
      <c r="A513" s="3" t="s">
        <v>5444</v>
      </c>
      <c r="B513" t="s">
        <v>4773</v>
      </c>
      <c r="D513" t="s">
        <v>4967</v>
      </c>
      <c r="F513" s="77" t="s">
        <v>4973</v>
      </c>
      <c r="H513" s="3" t="s">
        <v>4984</v>
      </c>
      <c r="I513" s="3"/>
      <c r="J513" s="78"/>
      <c r="K513" s="78"/>
      <c r="M513" s="78"/>
      <c r="X513" s="10"/>
      <c r="Y513" s="8">
        <v>2.5000000000000001E-2</v>
      </c>
      <c r="Z513" s="8">
        <v>2.5000000000000001E-2</v>
      </c>
      <c r="AA513" s="8">
        <v>2.5000000000000001E-2</v>
      </c>
      <c r="AB513" s="8">
        <v>2.5000000000000001E-2</v>
      </c>
      <c r="AC513" s="8">
        <v>2.5000000000000001E-2</v>
      </c>
      <c r="AD513" s="8">
        <v>2.5000000000000001E-2</v>
      </c>
      <c r="AE513" s="8">
        <v>2.5000000000000001E-2</v>
      </c>
      <c r="AF513" s="8">
        <v>2.5000000000000001E-2</v>
      </c>
      <c r="AG513" s="8">
        <v>2.5000000000000001E-2</v>
      </c>
      <c r="AH513" s="8">
        <v>2.5000000000000001E-2</v>
      </c>
      <c r="AI513" s="8">
        <v>2.5000000000000001E-2</v>
      </c>
      <c r="AJ513" s="8">
        <v>2.5000000000000001E-2</v>
      </c>
      <c r="AK513" s="8">
        <v>2.5000000000000001E-2</v>
      </c>
      <c r="AL513" s="8">
        <v>2.5000000000000001E-2</v>
      </c>
      <c r="AM513" s="8">
        <v>2.5000000000000001E-2</v>
      </c>
      <c r="AN513" s="8">
        <v>2.5000000000000001E-2</v>
      </c>
      <c r="AO513" s="8">
        <v>2.5000000000000001E-2</v>
      </c>
      <c r="AP513" s="8">
        <v>2.5000000000000001E-2</v>
      </c>
      <c r="AQ513" s="8">
        <v>2.5000000000000001E-2</v>
      </c>
      <c r="AR513" s="8">
        <v>2.5000000000000001E-2</v>
      </c>
      <c r="AS513" s="8">
        <v>2.5000000000000001E-2</v>
      </c>
      <c r="AT513" s="8">
        <v>2.5000000000000001E-2</v>
      </c>
      <c r="AU513" s="8">
        <v>2.5000000000000001E-2</v>
      </c>
      <c r="AV513" s="8">
        <v>2.5000000000000001E-2</v>
      </c>
      <c r="AW513" s="8">
        <v>2.5000000000000001E-2</v>
      </c>
      <c r="AX513" s="8">
        <v>2.5000000000000001E-2</v>
      </c>
      <c r="AY513" s="8">
        <v>2.5000000000000001E-2</v>
      </c>
      <c r="AZ513" s="8">
        <v>2.5000000000000001E-2</v>
      </c>
      <c r="BA513" s="8">
        <v>2.5000000000000001E-2</v>
      </c>
      <c r="BB513" s="8">
        <v>2.5000000000000001E-2</v>
      </c>
      <c r="BC513" s="8">
        <v>2.5000000000000001E-2</v>
      </c>
      <c r="BD513" s="8">
        <v>2.5000000000000001E-2</v>
      </c>
      <c r="BE513" s="8">
        <v>2.5000000000000001E-2</v>
      </c>
      <c r="BF513" s="8">
        <v>2.5000000000000001E-2</v>
      </c>
      <c r="BG513" s="8">
        <v>2.5000000000000001E-2</v>
      </c>
      <c r="BH513" s="8">
        <v>2.5000000000000001E-2</v>
      </c>
      <c r="BI513" s="8">
        <v>2.5000000000000001E-2</v>
      </c>
      <c r="BJ513" s="8">
        <v>2.5000000000000001E-2</v>
      </c>
      <c r="BK513" s="8">
        <v>2.5000000000000001E-2</v>
      </c>
      <c r="BL513" s="8">
        <v>2.5000000000000001E-2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BX513" s="8">
        <v>1.8867924528301886E-2</v>
      </c>
      <c r="BY513" s="8" t="str">
        <f>+_xlfn.XLOOKUP(Table1[[#This Row],[L4 Code]],KIRMATAŞ!B:B,KIRMATAŞ!B:B,"")</f>
        <v/>
      </c>
      <c r="BZ513" s="8" t="str">
        <f>+_xlfn.XLOOKUP(Table1[[#This Row],[L4 Code]],'SU TEMİNİ'!C:C,'SU TEMİNİ'!C:C,"")</f>
        <v/>
      </c>
      <c r="CA513" s="8" t="str">
        <f>+_xlfn.XLOOKUP(Table1[[#This Row],[L4 Code]],TAŞ!C:C,TAŞ!C:C,"")</f>
        <v/>
      </c>
      <c r="CB513" s="8" t="str">
        <f>Table1[[#This Row],[L4 Code]]&amp;"-"&amp;Table1[[#This Row],[T1 Code]]</f>
        <v>E-06.MBL-12.ITE-250-1000</v>
      </c>
    </row>
    <row r="514" spans="1:80">
      <c r="A514" s="3" t="s">
        <v>5444</v>
      </c>
      <c r="B514" t="s">
        <v>4775</v>
      </c>
      <c r="D514" t="s">
        <v>4967</v>
      </c>
      <c r="F514" s="77" t="s">
        <v>4973</v>
      </c>
      <c r="H514" s="3" t="s">
        <v>4984</v>
      </c>
      <c r="I514" s="3"/>
      <c r="J514" s="78"/>
      <c r="K514" s="78"/>
      <c r="M514" s="78"/>
      <c r="X514" s="10"/>
      <c r="Y514" s="8">
        <v>2.5000000000000001E-2</v>
      </c>
      <c r="Z514" s="8">
        <v>2.5000000000000001E-2</v>
      </c>
      <c r="AA514" s="8">
        <v>2.5000000000000001E-2</v>
      </c>
      <c r="AB514" s="8">
        <v>2.5000000000000001E-2</v>
      </c>
      <c r="AC514" s="8">
        <v>2.5000000000000001E-2</v>
      </c>
      <c r="AD514" s="8">
        <v>2.5000000000000001E-2</v>
      </c>
      <c r="AE514" s="8">
        <v>2.5000000000000001E-2</v>
      </c>
      <c r="AF514" s="8">
        <v>2.5000000000000001E-2</v>
      </c>
      <c r="AG514" s="8">
        <v>2.5000000000000001E-2</v>
      </c>
      <c r="AH514" s="8">
        <v>2.5000000000000001E-2</v>
      </c>
      <c r="AI514" s="8">
        <v>2.5000000000000001E-2</v>
      </c>
      <c r="AJ514" s="8">
        <v>2.5000000000000001E-2</v>
      </c>
      <c r="AK514" s="8">
        <v>2.5000000000000001E-2</v>
      </c>
      <c r="AL514" s="8">
        <v>2.5000000000000001E-2</v>
      </c>
      <c r="AM514" s="8">
        <v>2.5000000000000001E-2</v>
      </c>
      <c r="AN514" s="8">
        <v>2.5000000000000001E-2</v>
      </c>
      <c r="AO514" s="8">
        <v>2.5000000000000001E-2</v>
      </c>
      <c r="AP514" s="8">
        <v>2.5000000000000001E-2</v>
      </c>
      <c r="AQ514" s="8">
        <v>2.5000000000000001E-2</v>
      </c>
      <c r="AR514" s="8">
        <v>2.5000000000000001E-2</v>
      </c>
      <c r="AS514" s="8">
        <v>2.5000000000000001E-2</v>
      </c>
      <c r="AT514" s="8">
        <v>2.5000000000000001E-2</v>
      </c>
      <c r="AU514" s="8">
        <v>2.5000000000000001E-2</v>
      </c>
      <c r="AV514" s="8">
        <v>2.5000000000000001E-2</v>
      </c>
      <c r="AW514" s="8">
        <v>2.5000000000000001E-2</v>
      </c>
      <c r="AX514" s="8">
        <v>2.5000000000000001E-2</v>
      </c>
      <c r="AY514" s="8">
        <v>2.5000000000000001E-2</v>
      </c>
      <c r="AZ514" s="8">
        <v>2.5000000000000001E-2</v>
      </c>
      <c r="BA514" s="8">
        <v>2.5000000000000001E-2</v>
      </c>
      <c r="BB514" s="8">
        <v>2.5000000000000001E-2</v>
      </c>
      <c r="BC514" s="8">
        <v>2.5000000000000001E-2</v>
      </c>
      <c r="BD514" s="8">
        <v>2.5000000000000001E-2</v>
      </c>
      <c r="BE514" s="8">
        <v>2.5000000000000001E-2</v>
      </c>
      <c r="BF514" s="8">
        <v>2.5000000000000001E-2</v>
      </c>
      <c r="BG514" s="8">
        <v>2.5000000000000001E-2</v>
      </c>
      <c r="BH514" s="8">
        <v>2.5000000000000001E-2</v>
      </c>
      <c r="BI514" s="8">
        <v>2.5000000000000001E-2</v>
      </c>
      <c r="BJ514" s="8">
        <v>2.5000000000000001E-2</v>
      </c>
      <c r="BK514" s="8">
        <v>2.5000000000000001E-2</v>
      </c>
      <c r="BL514" s="8">
        <v>2.5000000000000001E-2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BX514" s="8">
        <v>1.8867924528301886E-2</v>
      </c>
      <c r="BY514" s="8" t="str">
        <f>+_xlfn.XLOOKUP(Table1[[#This Row],[L4 Code]],KIRMATAŞ!B:B,KIRMATAŞ!B:B,"")</f>
        <v/>
      </c>
      <c r="BZ514" s="8" t="str">
        <f>+_xlfn.XLOOKUP(Table1[[#This Row],[L4 Code]],'SU TEMİNİ'!C:C,'SU TEMİNİ'!C:C,"")</f>
        <v/>
      </c>
      <c r="CA514" s="8" t="str">
        <f>+_xlfn.XLOOKUP(Table1[[#This Row],[L4 Code]],TAŞ!C:C,TAŞ!C:C,"")</f>
        <v/>
      </c>
      <c r="CB514" s="8" t="str">
        <f>Table1[[#This Row],[L4 Code]]&amp;"-"&amp;Table1[[#This Row],[T1 Code]]</f>
        <v>E-06.MBL-12.ITE-260-1000</v>
      </c>
    </row>
    <row r="515" spans="1:80">
      <c r="A515" s="3" t="s">
        <v>5444</v>
      </c>
      <c r="B515" t="s">
        <v>4817</v>
      </c>
      <c r="D515" t="s">
        <v>4967</v>
      </c>
      <c r="F515" s="77" t="s">
        <v>4973</v>
      </c>
      <c r="H515" s="3" t="s">
        <v>4984</v>
      </c>
      <c r="I515" s="3"/>
      <c r="J515" s="78"/>
      <c r="K515" s="78"/>
      <c r="M515" s="78"/>
      <c r="X515" s="10"/>
      <c r="Y515" s="8">
        <v>2.5000000000000001E-2</v>
      </c>
      <c r="Z515" s="8">
        <v>2.5000000000000001E-2</v>
      </c>
      <c r="AA515" s="8">
        <v>2.5000000000000001E-2</v>
      </c>
      <c r="AB515" s="8">
        <v>2.5000000000000001E-2</v>
      </c>
      <c r="AC515" s="8">
        <v>2.5000000000000001E-2</v>
      </c>
      <c r="AD515" s="8">
        <v>2.5000000000000001E-2</v>
      </c>
      <c r="AE515" s="8">
        <v>2.5000000000000001E-2</v>
      </c>
      <c r="AF515" s="8">
        <v>2.5000000000000001E-2</v>
      </c>
      <c r="AG515" s="8">
        <v>2.5000000000000001E-2</v>
      </c>
      <c r="AH515" s="8">
        <v>2.5000000000000001E-2</v>
      </c>
      <c r="AI515" s="8">
        <v>2.5000000000000001E-2</v>
      </c>
      <c r="AJ515" s="8">
        <v>2.5000000000000001E-2</v>
      </c>
      <c r="AK515" s="8">
        <v>2.5000000000000001E-2</v>
      </c>
      <c r="AL515" s="8">
        <v>2.5000000000000001E-2</v>
      </c>
      <c r="AM515" s="8">
        <v>2.5000000000000001E-2</v>
      </c>
      <c r="AN515" s="8">
        <v>2.5000000000000001E-2</v>
      </c>
      <c r="AO515" s="8">
        <v>2.5000000000000001E-2</v>
      </c>
      <c r="AP515" s="8">
        <v>2.5000000000000001E-2</v>
      </c>
      <c r="AQ515" s="8">
        <v>2.5000000000000001E-2</v>
      </c>
      <c r="AR515" s="8">
        <v>2.5000000000000001E-2</v>
      </c>
      <c r="AS515" s="8">
        <v>2.5000000000000001E-2</v>
      </c>
      <c r="AT515" s="8">
        <v>2.5000000000000001E-2</v>
      </c>
      <c r="AU515" s="8">
        <v>2.5000000000000001E-2</v>
      </c>
      <c r="AV515" s="8">
        <v>2.5000000000000001E-2</v>
      </c>
      <c r="AW515" s="8">
        <v>2.5000000000000001E-2</v>
      </c>
      <c r="AX515" s="8">
        <v>2.5000000000000001E-2</v>
      </c>
      <c r="AY515" s="8">
        <v>2.5000000000000001E-2</v>
      </c>
      <c r="AZ515" s="8">
        <v>2.5000000000000001E-2</v>
      </c>
      <c r="BA515" s="8">
        <v>2.5000000000000001E-2</v>
      </c>
      <c r="BB515" s="8">
        <v>2.5000000000000001E-2</v>
      </c>
      <c r="BC515" s="8">
        <v>2.5000000000000001E-2</v>
      </c>
      <c r="BD515" s="8">
        <v>2.5000000000000001E-2</v>
      </c>
      <c r="BE515" s="8">
        <v>2.5000000000000001E-2</v>
      </c>
      <c r="BF515" s="8">
        <v>2.5000000000000001E-2</v>
      </c>
      <c r="BG515" s="8">
        <v>2.5000000000000001E-2</v>
      </c>
      <c r="BH515" s="8">
        <v>2.5000000000000001E-2</v>
      </c>
      <c r="BI515" s="8">
        <v>2.5000000000000001E-2</v>
      </c>
      <c r="BJ515" s="8">
        <v>2.5000000000000001E-2</v>
      </c>
      <c r="BK515" s="8">
        <v>2.5000000000000001E-2</v>
      </c>
      <c r="BL515" s="8">
        <v>2.5000000000000001E-2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BX515" s="8">
        <v>1.8867924528301886E-2</v>
      </c>
      <c r="BY515" s="8" t="str">
        <f>+_xlfn.XLOOKUP(Table1[[#This Row],[L4 Code]],KIRMATAŞ!B:B,KIRMATAŞ!B:B,"")</f>
        <v/>
      </c>
      <c r="BZ515" s="8" t="str">
        <f>+_xlfn.XLOOKUP(Table1[[#This Row],[L4 Code]],'SU TEMİNİ'!C:C,'SU TEMİNİ'!C:C,"")</f>
        <v/>
      </c>
      <c r="CA515" s="8" t="str">
        <f>+_xlfn.XLOOKUP(Table1[[#This Row],[L4 Code]],TAŞ!C:C,TAŞ!C:C,"")</f>
        <v/>
      </c>
      <c r="CB515" s="8" t="str">
        <f>Table1[[#This Row],[L4 Code]]&amp;"-"&amp;Table1[[#This Row],[T1 Code]]</f>
        <v>E-06.MBL-21.CVR-130-1000</v>
      </c>
    </row>
    <row r="516" spans="1:80">
      <c r="A516" s="3" t="s">
        <v>5444</v>
      </c>
      <c r="B516" t="s">
        <v>4838</v>
      </c>
      <c r="D516" t="s">
        <v>4967</v>
      </c>
      <c r="F516" s="77" t="s">
        <v>4973</v>
      </c>
      <c r="H516" s="3" t="s">
        <v>4984</v>
      </c>
      <c r="I516" s="3"/>
      <c r="J516" s="78"/>
      <c r="K516" s="78"/>
      <c r="M516" s="78"/>
      <c r="X516" s="10"/>
      <c r="Y516" s="8">
        <v>2.5000000000000001E-2</v>
      </c>
      <c r="Z516" s="8">
        <v>2.5000000000000001E-2</v>
      </c>
      <c r="AA516" s="8">
        <v>2.5000000000000001E-2</v>
      </c>
      <c r="AB516" s="8">
        <v>2.5000000000000001E-2</v>
      </c>
      <c r="AC516" s="8">
        <v>2.5000000000000001E-2</v>
      </c>
      <c r="AD516" s="8">
        <v>2.5000000000000001E-2</v>
      </c>
      <c r="AE516" s="8">
        <v>2.5000000000000001E-2</v>
      </c>
      <c r="AF516" s="8">
        <v>2.5000000000000001E-2</v>
      </c>
      <c r="AG516" s="8">
        <v>2.5000000000000001E-2</v>
      </c>
      <c r="AH516" s="8">
        <v>2.5000000000000001E-2</v>
      </c>
      <c r="AI516" s="8">
        <v>2.5000000000000001E-2</v>
      </c>
      <c r="AJ516" s="8">
        <v>2.5000000000000001E-2</v>
      </c>
      <c r="AK516" s="8">
        <v>2.5000000000000001E-2</v>
      </c>
      <c r="AL516" s="8">
        <v>2.5000000000000001E-2</v>
      </c>
      <c r="AM516" s="8">
        <v>2.5000000000000001E-2</v>
      </c>
      <c r="AN516" s="8">
        <v>2.5000000000000001E-2</v>
      </c>
      <c r="AO516" s="8">
        <v>2.5000000000000001E-2</v>
      </c>
      <c r="AP516" s="8">
        <v>2.5000000000000001E-2</v>
      </c>
      <c r="AQ516" s="8">
        <v>2.5000000000000001E-2</v>
      </c>
      <c r="AR516" s="8">
        <v>2.5000000000000001E-2</v>
      </c>
      <c r="AS516" s="8">
        <v>2.5000000000000001E-2</v>
      </c>
      <c r="AT516" s="8">
        <v>2.5000000000000001E-2</v>
      </c>
      <c r="AU516" s="8">
        <v>2.5000000000000001E-2</v>
      </c>
      <c r="AV516" s="8">
        <v>2.5000000000000001E-2</v>
      </c>
      <c r="AW516" s="8">
        <v>2.5000000000000001E-2</v>
      </c>
      <c r="AX516" s="8">
        <v>2.5000000000000001E-2</v>
      </c>
      <c r="AY516" s="8">
        <v>2.5000000000000001E-2</v>
      </c>
      <c r="AZ516" s="8">
        <v>2.5000000000000001E-2</v>
      </c>
      <c r="BA516" s="8">
        <v>2.5000000000000001E-2</v>
      </c>
      <c r="BB516" s="8">
        <v>2.5000000000000001E-2</v>
      </c>
      <c r="BC516" s="8">
        <v>2.5000000000000001E-2</v>
      </c>
      <c r="BD516" s="8">
        <v>2.5000000000000001E-2</v>
      </c>
      <c r="BE516" s="8">
        <v>2.5000000000000001E-2</v>
      </c>
      <c r="BF516" s="8">
        <v>2.5000000000000001E-2</v>
      </c>
      <c r="BG516" s="8">
        <v>2.5000000000000001E-2</v>
      </c>
      <c r="BH516" s="8">
        <v>2.5000000000000001E-2</v>
      </c>
      <c r="BI516" s="8">
        <v>2.5000000000000001E-2</v>
      </c>
      <c r="BJ516" s="8">
        <v>2.5000000000000001E-2</v>
      </c>
      <c r="BK516" s="8">
        <v>2.5000000000000001E-2</v>
      </c>
      <c r="BL516" s="8">
        <v>2.5000000000000001E-2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BX516" s="8">
        <v>1.8867924528301886E-2</v>
      </c>
      <c r="BY516" s="8" t="str">
        <f>+_xlfn.XLOOKUP(Table1[[#This Row],[L4 Code]],KIRMATAŞ!B:B,KIRMATAŞ!B:B,"")</f>
        <v/>
      </c>
      <c r="BZ516" s="8" t="str">
        <f>+_xlfn.XLOOKUP(Table1[[#This Row],[L4 Code]],'SU TEMİNİ'!C:C,'SU TEMİNİ'!C:C,"")</f>
        <v/>
      </c>
      <c r="CA516" s="8" t="str">
        <f>+_xlfn.XLOOKUP(Table1[[#This Row],[L4 Code]],TAŞ!C:C,TAŞ!C:C,"")</f>
        <v/>
      </c>
      <c r="CB516" s="8" t="str">
        <f>Table1[[#This Row],[L4 Code]]&amp;"-"&amp;Table1[[#This Row],[T1 Code]]</f>
        <v>E-06.MBL-80.DMB-110-1000</v>
      </c>
    </row>
    <row r="517" spans="1:80">
      <c r="A517" s="3" t="s">
        <v>5444</v>
      </c>
      <c r="B517" t="s">
        <v>4840</v>
      </c>
      <c r="D517" t="s">
        <v>4967</v>
      </c>
      <c r="F517" s="77" t="s">
        <v>4973</v>
      </c>
      <c r="H517" s="3" t="s">
        <v>4984</v>
      </c>
      <c r="I517" s="3"/>
      <c r="J517" s="78"/>
      <c r="K517" s="78"/>
      <c r="M517" s="78"/>
      <c r="X517" s="10"/>
      <c r="Y517" s="8">
        <v>2.5000000000000001E-2</v>
      </c>
      <c r="Z517" s="8">
        <v>2.5000000000000001E-2</v>
      </c>
      <c r="AA517" s="8">
        <v>2.5000000000000001E-2</v>
      </c>
      <c r="AB517" s="8">
        <v>2.5000000000000001E-2</v>
      </c>
      <c r="AC517" s="8">
        <v>2.5000000000000001E-2</v>
      </c>
      <c r="AD517" s="8">
        <v>2.5000000000000001E-2</v>
      </c>
      <c r="AE517" s="8">
        <v>2.5000000000000001E-2</v>
      </c>
      <c r="AF517" s="8">
        <v>2.5000000000000001E-2</v>
      </c>
      <c r="AG517" s="8">
        <v>2.5000000000000001E-2</v>
      </c>
      <c r="AH517" s="8">
        <v>2.5000000000000001E-2</v>
      </c>
      <c r="AI517" s="8">
        <v>2.5000000000000001E-2</v>
      </c>
      <c r="AJ517" s="8">
        <v>2.5000000000000001E-2</v>
      </c>
      <c r="AK517" s="8">
        <v>2.5000000000000001E-2</v>
      </c>
      <c r="AL517" s="8">
        <v>2.5000000000000001E-2</v>
      </c>
      <c r="AM517" s="8">
        <v>2.5000000000000001E-2</v>
      </c>
      <c r="AN517" s="8">
        <v>2.5000000000000001E-2</v>
      </c>
      <c r="AO517" s="8">
        <v>2.5000000000000001E-2</v>
      </c>
      <c r="AP517" s="8">
        <v>2.5000000000000001E-2</v>
      </c>
      <c r="AQ517" s="8">
        <v>2.5000000000000001E-2</v>
      </c>
      <c r="AR517" s="8">
        <v>2.5000000000000001E-2</v>
      </c>
      <c r="AS517" s="8">
        <v>2.5000000000000001E-2</v>
      </c>
      <c r="AT517" s="8">
        <v>2.5000000000000001E-2</v>
      </c>
      <c r="AU517" s="8">
        <v>2.5000000000000001E-2</v>
      </c>
      <c r="AV517" s="8">
        <v>2.5000000000000001E-2</v>
      </c>
      <c r="AW517" s="8">
        <v>2.5000000000000001E-2</v>
      </c>
      <c r="AX517" s="8">
        <v>2.5000000000000001E-2</v>
      </c>
      <c r="AY517" s="8">
        <v>2.5000000000000001E-2</v>
      </c>
      <c r="AZ517" s="8">
        <v>2.5000000000000001E-2</v>
      </c>
      <c r="BA517" s="8">
        <v>2.5000000000000001E-2</v>
      </c>
      <c r="BB517" s="8">
        <v>2.5000000000000001E-2</v>
      </c>
      <c r="BC517" s="8">
        <v>2.5000000000000001E-2</v>
      </c>
      <c r="BD517" s="8">
        <v>2.5000000000000001E-2</v>
      </c>
      <c r="BE517" s="8">
        <v>2.5000000000000001E-2</v>
      </c>
      <c r="BF517" s="8">
        <v>2.5000000000000001E-2</v>
      </c>
      <c r="BG517" s="8">
        <v>2.5000000000000001E-2</v>
      </c>
      <c r="BH517" s="8">
        <v>2.5000000000000001E-2</v>
      </c>
      <c r="BI517" s="8">
        <v>2.5000000000000001E-2</v>
      </c>
      <c r="BJ517" s="8">
        <v>2.5000000000000001E-2</v>
      </c>
      <c r="BK517" s="8">
        <v>2.5000000000000001E-2</v>
      </c>
      <c r="BL517" s="8">
        <v>2.5000000000000001E-2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BX517" s="8">
        <v>1.8867924528301886E-2</v>
      </c>
      <c r="BY517" s="8" t="str">
        <f>+_xlfn.XLOOKUP(Table1[[#This Row],[L4 Code]],KIRMATAŞ!B:B,KIRMATAŞ!B:B,"")</f>
        <v/>
      </c>
      <c r="BZ517" s="8" t="str">
        <f>+_xlfn.XLOOKUP(Table1[[#This Row],[L4 Code]],'SU TEMİNİ'!C:C,'SU TEMİNİ'!C:C,"")</f>
        <v/>
      </c>
      <c r="CA517" s="8" t="str">
        <f>+_xlfn.XLOOKUP(Table1[[#This Row],[L4 Code]],TAŞ!C:C,TAŞ!C:C,"")</f>
        <v/>
      </c>
      <c r="CB517" s="8" t="str">
        <f>Table1[[#This Row],[L4 Code]]&amp;"-"&amp;Table1[[#This Row],[T1 Code]]</f>
        <v>E-06.MBL-80.DMB-120-1000</v>
      </c>
    </row>
    <row r="518" spans="1:80">
      <c r="A518" s="3" t="s">
        <v>5444</v>
      </c>
      <c r="B518" t="s">
        <v>4842</v>
      </c>
      <c r="D518" t="s">
        <v>4967</v>
      </c>
      <c r="F518" s="77" t="s">
        <v>4973</v>
      </c>
      <c r="H518" s="3" t="s">
        <v>4984</v>
      </c>
      <c r="I518" s="3"/>
      <c r="J518" s="78"/>
      <c r="K518" s="78"/>
      <c r="M518" s="78"/>
      <c r="X518" s="10"/>
      <c r="Y518" s="8">
        <v>2.5000000000000001E-2</v>
      </c>
      <c r="Z518" s="8">
        <v>2.5000000000000001E-2</v>
      </c>
      <c r="AA518" s="8">
        <v>2.5000000000000001E-2</v>
      </c>
      <c r="AB518" s="8">
        <v>2.5000000000000001E-2</v>
      </c>
      <c r="AC518" s="8">
        <v>2.5000000000000001E-2</v>
      </c>
      <c r="AD518" s="8">
        <v>2.5000000000000001E-2</v>
      </c>
      <c r="AE518" s="8">
        <v>2.5000000000000001E-2</v>
      </c>
      <c r="AF518" s="8">
        <v>2.5000000000000001E-2</v>
      </c>
      <c r="AG518" s="8">
        <v>2.5000000000000001E-2</v>
      </c>
      <c r="AH518" s="8">
        <v>2.5000000000000001E-2</v>
      </c>
      <c r="AI518" s="8">
        <v>2.5000000000000001E-2</v>
      </c>
      <c r="AJ518" s="8">
        <v>2.5000000000000001E-2</v>
      </c>
      <c r="AK518" s="8">
        <v>2.5000000000000001E-2</v>
      </c>
      <c r="AL518" s="8">
        <v>2.5000000000000001E-2</v>
      </c>
      <c r="AM518" s="8">
        <v>2.5000000000000001E-2</v>
      </c>
      <c r="AN518" s="8">
        <v>2.5000000000000001E-2</v>
      </c>
      <c r="AO518" s="8">
        <v>2.5000000000000001E-2</v>
      </c>
      <c r="AP518" s="8">
        <v>2.5000000000000001E-2</v>
      </c>
      <c r="AQ518" s="8">
        <v>2.5000000000000001E-2</v>
      </c>
      <c r="AR518" s="8">
        <v>2.5000000000000001E-2</v>
      </c>
      <c r="AS518" s="8">
        <v>2.5000000000000001E-2</v>
      </c>
      <c r="AT518" s="8">
        <v>2.5000000000000001E-2</v>
      </c>
      <c r="AU518" s="8">
        <v>2.5000000000000001E-2</v>
      </c>
      <c r="AV518" s="8">
        <v>2.5000000000000001E-2</v>
      </c>
      <c r="AW518" s="8">
        <v>2.5000000000000001E-2</v>
      </c>
      <c r="AX518" s="8">
        <v>2.5000000000000001E-2</v>
      </c>
      <c r="AY518" s="8">
        <v>2.5000000000000001E-2</v>
      </c>
      <c r="AZ518" s="8">
        <v>2.5000000000000001E-2</v>
      </c>
      <c r="BA518" s="8">
        <v>2.5000000000000001E-2</v>
      </c>
      <c r="BB518" s="8">
        <v>2.5000000000000001E-2</v>
      </c>
      <c r="BC518" s="8">
        <v>2.5000000000000001E-2</v>
      </c>
      <c r="BD518" s="8">
        <v>2.5000000000000001E-2</v>
      </c>
      <c r="BE518" s="8">
        <v>2.5000000000000001E-2</v>
      </c>
      <c r="BF518" s="8">
        <v>2.5000000000000001E-2</v>
      </c>
      <c r="BG518" s="8">
        <v>2.5000000000000001E-2</v>
      </c>
      <c r="BH518" s="8">
        <v>2.5000000000000001E-2</v>
      </c>
      <c r="BI518" s="8">
        <v>2.5000000000000001E-2</v>
      </c>
      <c r="BJ518" s="8">
        <v>2.5000000000000001E-2</v>
      </c>
      <c r="BK518" s="8">
        <v>2.5000000000000001E-2</v>
      </c>
      <c r="BL518" s="8">
        <v>2.5000000000000001E-2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BX518" s="8">
        <v>1.8867924528301886E-2</v>
      </c>
      <c r="BY518" s="8" t="str">
        <f>+_xlfn.XLOOKUP(Table1[[#This Row],[L4 Code]],KIRMATAŞ!B:B,KIRMATAŞ!B:B,"")</f>
        <v/>
      </c>
      <c r="BZ518" s="8" t="str">
        <f>+_xlfn.XLOOKUP(Table1[[#This Row],[L4 Code]],'SU TEMİNİ'!C:C,'SU TEMİNİ'!C:C,"")</f>
        <v/>
      </c>
      <c r="CA518" s="8" t="str">
        <f>+_xlfn.XLOOKUP(Table1[[#This Row],[L4 Code]],TAŞ!C:C,TAŞ!C:C,"")</f>
        <v/>
      </c>
      <c r="CB518" s="8" t="str">
        <f>Table1[[#This Row],[L4 Code]]&amp;"-"&amp;Table1[[#This Row],[T1 Code]]</f>
        <v>E-06.MBL-80.DMB-130-1000</v>
      </c>
    </row>
    <row r="519" spans="1:80">
      <c r="A519" s="3" t="s">
        <v>5444</v>
      </c>
      <c r="B519" t="s">
        <v>4844</v>
      </c>
      <c r="D519" t="s">
        <v>4967</v>
      </c>
      <c r="F519" s="77" t="s">
        <v>4973</v>
      </c>
      <c r="H519" s="3" t="s">
        <v>4984</v>
      </c>
      <c r="I519" s="3"/>
      <c r="J519" s="78"/>
      <c r="K519" s="78"/>
      <c r="M519" s="78"/>
      <c r="X519" s="10"/>
      <c r="Y519" s="8">
        <v>2.5000000000000001E-2</v>
      </c>
      <c r="Z519" s="8">
        <v>2.5000000000000001E-2</v>
      </c>
      <c r="AA519" s="8">
        <v>2.5000000000000001E-2</v>
      </c>
      <c r="AB519" s="8">
        <v>2.5000000000000001E-2</v>
      </c>
      <c r="AC519" s="8">
        <v>2.5000000000000001E-2</v>
      </c>
      <c r="AD519" s="8">
        <v>2.5000000000000001E-2</v>
      </c>
      <c r="AE519" s="8">
        <v>2.5000000000000001E-2</v>
      </c>
      <c r="AF519" s="8">
        <v>2.5000000000000001E-2</v>
      </c>
      <c r="AG519" s="8">
        <v>2.5000000000000001E-2</v>
      </c>
      <c r="AH519" s="8">
        <v>2.5000000000000001E-2</v>
      </c>
      <c r="AI519" s="8">
        <v>2.5000000000000001E-2</v>
      </c>
      <c r="AJ519" s="8">
        <v>2.5000000000000001E-2</v>
      </c>
      <c r="AK519" s="8">
        <v>2.5000000000000001E-2</v>
      </c>
      <c r="AL519" s="8">
        <v>2.5000000000000001E-2</v>
      </c>
      <c r="AM519" s="8">
        <v>2.5000000000000001E-2</v>
      </c>
      <c r="AN519" s="8">
        <v>2.5000000000000001E-2</v>
      </c>
      <c r="AO519" s="8">
        <v>2.5000000000000001E-2</v>
      </c>
      <c r="AP519" s="8">
        <v>2.5000000000000001E-2</v>
      </c>
      <c r="AQ519" s="8">
        <v>2.5000000000000001E-2</v>
      </c>
      <c r="AR519" s="8">
        <v>2.5000000000000001E-2</v>
      </c>
      <c r="AS519" s="8">
        <v>2.5000000000000001E-2</v>
      </c>
      <c r="AT519" s="8">
        <v>2.5000000000000001E-2</v>
      </c>
      <c r="AU519" s="8">
        <v>2.5000000000000001E-2</v>
      </c>
      <c r="AV519" s="8">
        <v>2.5000000000000001E-2</v>
      </c>
      <c r="AW519" s="8">
        <v>2.5000000000000001E-2</v>
      </c>
      <c r="AX519" s="8">
        <v>2.5000000000000001E-2</v>
      </c>
      <c r="AY519" s="8">
        <v>2.5000000000000001E-2</v>
      </c>
      <c r="AZ519" s="8">
        <v>2.5000000000000001E-2</v>
      </c>
      <c r="BA519" s="8">
        <v>2.5000000000000001E-2</v>
      </c>
      <c r="BB519" s="8">
        <v>2.5000000000000001E-2</v>
      </c>
      <c r="BC519" s="8">
        <v>2.5000000000000001E-2</v>
      </c>
      <c r="BD519" s="8">
        <v>2.5000000000000001E-2</v>
      </c>
      <c r="BE519" s="8">
        <v>2.5000000000000001E-2</v>
      </c>
      <c r="BF519" s="8">
        <v>2.5000000000000001E-2</v>
      </c>
      <c r="BG519" s="8">
        <v>2.5000000000000001E-2</v>
      </c>
      <c r="BH519" s="8">
        <v>2.5000000000000001E-2</v>
      </c>
      <c r="BI519" s="8">
        <v>2.5000000000000001E-2</v>
      </c>
      <c r="BJ519" s="8">
        <v>2.5000000000000001E-2</v>
      </c>
      <c r="BK519" s="8">
        <v>2.5000000000000001E-2</v>
      </c>
      <c r="BL519" s="8">
        <v>2.5000000000000001E-2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BX519" s="8">
        <v>1.8867924528301886E-2</v>
      </c>
      <c r="BY519" s="8" t="str">
        <f>+_xlfn.XLOOKUP(Table1[[#This Row],[L4 Code]],KIRMATAŞ!B:B,KIRMATAŞ!B:B,"")</f>
        <v/>
      </c>
      <c r="BZ519" s="8" t="str">
        <f>+_xlfn.XLOOKUP(Table1[[#This Row],[L4 Code]],'SU TEMİNİ'!C:C,'SU TEMİNİ'!C:C,"")</f>
        <v/>
      </c>
      <c r="CA519" s="8" t="str">
        <f>+_xlfn.XLOOKUP(Table1[[#This Row],[L4 Code]],TAŞ!C:C,TAŞ!C:C,"")</f>
        <v/>
      </c>
      <c r="CB519" s="8" t="str">
        <f>Table1[[#This Row],[L4 Code]]&amp;"-"&amp;Table1[[#This Row],[T1 Code]]</f>
        <v>E-06.MBL-80.DMB-140-1000</v>
      </c>
    </row>
    <row r="520" spans="1:80">
      <c r="A520" s="3" t="s">
        <v>5444</v>
      </c>
      <c r="B520" t="s">
        <v>4846</v>
      </c>
      <c r="D520" t="s">
        <v>4967</v>
      </c>
      <c r="F520" s="77" t="s">
        <v>4973</v>
      </c>
      <c r="H520" s="3" t="s">
        <v>4984</v>
      </c>
      <c r="I520" s="3"/>
      <c r="J520" s="78"/>
      <c r="K520" s="78"/>
      <c r="M520" s="78"/>
      <c r="X520" s="10"/>
      <c r="Y520" s="8">
        <v>2.5000000000000001E-2</v>
      </c>
      <c r="Z520" s="8">
        <v>2.5000000000000001E-2</v>
      </c>
      <c r="AA520" s="8">
        <v>2.5000000000000001E-2</v>
      </c>
      <c r="AB520" s="8">
        <v>2.5000000000000001E-2</v>
      </c>
      <c r="AC520" s="8">
        <v>2.5000000000000001E-2</v>
      </c>
      <c r="AD520" s="8">
        <v>2.5000000000000001E-2</v>
      </c>
      <c r="AE520" s="8">
        <v>2.5000000000000001E-2</v>
      </c>
      <c r="AF520" s="8">
        <v>2.5000000000000001E-2</v>
      </c>
      <c r="AG520" s="8">
        <v>2.5000000000000001E-2</v>
      </c>
      <c r="AH520" s="8">
        <v>2.5000000000000001E-2</v>
      </c>
      <c r="AI520" s="8">
        <v>2.5000000000000001E-2</v>
      </c>
      <c r="AJ520" s="8">
        <v>2.5000000000000001E-2</v>
      </c>
      <c r="AK520" s="8">
        <v>2.5000000000000001E-2</v>
      </c>
      <c r="AL520" s="8">
        <v>2.5000000000000001E-2</v>
      </c>
      <c r="AM520" s="8">
        <v>2.5000000000000001E-2</v>
      </c>
      <c r="AN520" s="8">
        <v>2.5000000000000001E-2</v>
      </c>
      <c r="AO520" s="8">
        <v>2.5000000000000001E-2</v>
      </c>
      <c r="AP520" s="8">
        <v>2.5000000000000001E-2</v>
      </c>
      <c r="AQ520" s="8">
        <v>2.5000000000000001E-2</v>
      </c>
      <c r="AR520" s="8">
        <v>2.5000000000000001E-2</v>
      </c>
      <c r="AS520" s="8">
        <v>2.5000000000000001E-2</v>
      </c>
      <c r="AT520" s="8">
        <v>2.5000000000000001E-2</v>
      </c>
      <c r="AU520" s="8">
        <v>2.5000000000000001E-2</v>
      </c>
      <c r="AV520" s="8">
        <v>2.5000000000000001E-2</v>
      </c>
      <c r="AW520" s="8">
        <v>2.5000000000000001E-2</v>
      </c>
      <c r="AX520" s="8">
        <v>2.5000000000000001E-2</v>
      </c>
      <c r="AY520" s="8">
        <v>2.5000000000000001E-2</v>
      </c>
      <c r="AZ520" s="8">
        <v>2.5000000000000001E-2</v>
      </c>
      <c r="BA520" s="8">
        <v>2.5000000000000001E-2</v>
      </c>
      <c r="BB520" s="8">
        <v>2.5000000000000001E-2</v>
      </c>
      <c r="BC520" s="8">
        <v>2.5000000000000001E-2</v>
      </c>
      <c r="BD520" s="8">
        <v>2.5000000000000001E-2</v>
      </c>
      <c r="BE520" s="8">
        <v>2.5000000000000001E-2</v>
      </c>
      <c r="BF520" s="8">
        <v>2.5000000000000001E-2</v>
      </c>
      <c r="BG520" s="8">
        <v>2.5000000000000001E-2</v>
      </c>
      <c r="BH520" s="8">
        <v>2.5000000000000001E-2</v>
      </c>
      <c r="BI520" s="8">
        <v>2.5000000000000001E-2</v>
      </c>
      <c r="BJ520" s="8">
        <v>2.5000000000000001E-2</v>
      </c>
      <c r="BK520" s="8">
        <v>2.5000000000000001E-2</v>
      </c>
      <c r="BL520" s="8">
        <v>2.5000000000000001E-2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BX520" s="8">
        <v>1.8867924528301886E-2</v>
      </c>
      <c r="BY520" s="8" t="str">
        <f>+_xlfn.XLOOKUP(Table1[[#This Row],[L4 Code]],KIRMATAŞ!B:B,KIRMATAŞ!B:B,"")</f>
        <v/>
      </c>
      <c r="BZ520" s="8" t="str">
        <f>+_xlfn.XLOOKUP(Table1[[#This Row],[L4 Code]],'SU TEMİNİ'!C:C,'SU TEMİNİ'!C:C,"")</f>
        <v/>
      </c>
      <c r="CA520" s="8" t="str">
        <f>+_xlfn.XLOOKUP(Table1[[#This Row],[L4 Code]],TAŞ!C:C,TAŞ!C:C,"")</f>
        <v/>
      </c>
      <c r="CB520" s="8" t="str">
        <f>Table1[[#This Row],[L4 Code]]&amp;"-"&amp;Table1[[#This Row],[T1 Code]]</f>
        <v>E-06.MBL-80.DMB-210-1000</v>
      </c>
    </row>
    <row r="521" spans="1:80">
      <c r="A521" s="3" t="s">
        <v>5444</v>
      </c>
      <c r="B521" t="s">
        <v>4850</v>
      </c>
      <c r="D521" t="s">
        <v>4967</v>
      </c>
      <c r="F521" s="77" t="s">
        <v>4973</v>
      </c>
      <c r="H521" s="3" t="s">
        <v>4984</v>
      </c>
      <c r="I521" s="3"/>
      <c r="J521" s="78"/>
      <c r="K521" s="78"/>
      <c r="M521" s="78"/>
      <c r="X521" s="10"/>
      <c r="Y521" s="8">
        <v>2.5000000000000001E-2</v>
      </c>
      <c r="Z521" s="8">
        <v>2.5000000000000001E-2</v>
      </c>
      <c r="AA521" s="8">
        <v>2.5000000000000001E-2</v>
      </c>
      <c r="AB521" s="8">
        <v>2.5000000000000001E-2</v>
      </c>
      <c r="AC521" s="8">
        <v>2.5000000000000001E-2</v>
      </c>
      <c r="AD521" s="8">
        <v>2.5000000000000001E-2</v>
      </c>
      <c r="AE521" s="8">
        <v>2.5000000000000001E-2</v>
      </c>
      <c r="AF521" s="8">
        <v>2.5000000000000001E-2</v>
      </c>
      <c r="AG521" s="8">
        <v>2.5000000000000001E-2</v>
      </c>
      <c r="AH521" s="8">
        <v>2.5000000000000001E-2</v>
      </c>
      <c r="AI521" s="8">
        <v>2.5000000000000001E-2</v>
      </c>
      <c r="AJ521" s="8">
        <v>2.5000000000000001E-2</v>
      </c>
      <c r="AK521" s="8">
        <v>2.5000000000000001E-2</v>
      </c>
      <c r="AL521" s="8">
        <v>2.5000000000000001E-2</v>
      </c>
      <c r="AM521" s="8">
        <v>2.5000000000000001E-2</v>
      </c>
      <c r="AN521" s="8">
        <v>2.5000000000000001E-2</v>
      </c>
      <c r="AO521" s="8">
        <v>2.5000000000000001E-2</v>
      </c>
      <c r="AP521" s="8">
        <v>2.5000000000000001E-2</v>
      </c>
      <c r="AQ521" s="8">
        <v>2.5000000000000001E-2</v>
      </c>
      <c r="AR521" s="8">
        <v>2.5000000000000001E-2</v>
      </c>
      <c r="AS521" s="8">
        <v>2.5000000000000001E-2</v>
      </c>
      <c r="AT521" s="8">
        <v>2.5000000000000001E-2</v>
      </c>
      <c r="AU521" s="8">
        <v>2.5000000000000001E-2</v>
      </c>
      <c r="AV521" s="8">
        <v>2.5000000000000001E-2</v>
      </c>
      <c r="AW521" s="8">
        <v>2.5000000000000001E-2</v>
      </c>
      <c r="AX521" s="8">
        <v>2.5000000000000001E-2</v>
      </c>
      <c r="AY521" s="8">
        <v>2.5000000000000001E-2</v>
      </c>
      <c r="AZ521" s="8">
        <v>2.5000000000000001E-2</v>
      </c>
      <c r="BA521" s="8">
        <v>2.5000000000000001E-2</v>
      </c>
      <c r="BB521" s="8">
        <v>2.5000000000000001E-2</v>
      </c>
      <c r="BC521" s="8">
        <v>2.5000000000000001E-2</v>
      </c>
      <c r="BD521" s="8">
        <v>2.5000000000000001E-2</v>
      </c>
      <c r="BE521" s="8">
        <v>2.5000000000000001E-2</v>
      </c>
      <c r="BF521" s="8">
        <v>2.5000000000000001E-2</v>
      </c>
      <c r="BG521" s="8">
        <v>2.5000000000000001E-2</v>
      </c>
      <c r="BH521" s="8">
        <v>2.5000000000000001E-2</v>
      </c>
      <c r="BI521" s="8">
        <v>2.5000000000000001E-2</v>
      </c>
      <c r="BJ521" s="8">
        <v>2.5000000000000001E-2</v>
      </c>
      <c r="BK521" s="8">
        <v>2.5000000000000001E-2</v>
      </c>
      <c r="BL521" s="8">
        <v>2.5000000000000001E-2</v>
      </c>
      <c r="BM521" s="8">
        <v>1.8867924528301886E-2</v>
      </c>
      <c r="BN521" s="8">
        <v>1.8867924528301886E-2</v>
      </c>
      <c r="BO521" s="8">
        <v>1.8867924528301886E-2</v>
      </c>
      <c r="BP521" s="8">
        <v>1.8867924528301886E-2</v>
      </c>
      <c r="BQ521" s="8">
        <v>1.8867924528301886E-2</v>
      </c>
      <c r="BR521" s="8">
        <v>1.8867924528301886E-2</v>
      </c>
      <c r="BS521" s="8">
        <v>1.8867924528301886E-2</v>
      </c>
      <c r="BT521" s="8">
        <v>1.8867924528301886E-2</v>
      </c>
      <c r="BU521" s="8">
        <v>1.8867924528301886E-2</v>
      </c>
      <c r="BV521" s="8">
        <v>1.8867924528301886E-2</v>
      </c>
      <c r="BW521" s="8">
        <v>1.8867924528301886E-2</v>
      </c>
      <c r="BX521" s="8">
        <v>1.8867924528301886E-2</v>
      </c>
      <c r="BY521" s="8" t="str">
        <f>+_xlfn.XLOOKUP(Table1[[#This Row],[L4 Code]],KIRMATAŞ!B:B,KIRMATAŞ!B:B,"")</f>
        <v/>
      </c>
      <c r="BZ521" s="8" t="str">
        <f>+_xlfn.XLOOKUP(Table1[[#This Row],[L4 Code]],'SU TEMİNİ'!C:C,'SU TEMİNİ'!C:C,"")</f>
        <v/>
      </c>
      <c r="CA521" s="8" t="str">
        <f>+_xlfn.XLOOKUP(Table1[[#This Row],[L4 Code]],TAŞ!C:C,TAŞ!C:C,"")</f>
        <v/>
      </c>
      <c r="CB521" s="8" t="str">
        <f>Table1[[#This Row],[L4 Code]]&amp;"-"&amp;Table1[[#This Row],[T1 Code]]</f>
        <v>E-06.MBL-90.DGR-110-1000</v>
      </c>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3836-85B5-4E4A-B340-30CED261C020}">
  <sheetPr>
    <tabColor theme="2" tint="-9.9978637043366805E-2"/>
  </sheetPr>
  <dimension ref="A1:BX517"/>
  <sheetViews>
    <sheetView tabSelected="1" topLeftCell="A31" workbookViewId="0">
      <selection activeCell="F56" sqref="F56"/>
    </sheetView>
  </sheetViews>
  <sheetFormatPr defaultRowHeight="14.5"/>
  <cols>
    <col min="2" max="2" width="22.7265625" style="100" customWidth="1"/>
    <col min="3" max="3" width="19.7265625" bestFit="1" customWidth="1"/>
    <col min="4" max="5" width="12.54296875" bestFit="1" customWidth="1"/>
    <col min="6" max="6" width="6.7265625" bestFit="1" customWidth="1"/>
    <col min="9" max="9" width="12.6328125" bestFit="1" customWidth="1"/>
    <col min="10" max="10" width="13.36328125" bestFit="1" customWidth="1"/>
    <col min="12" max="12" width="14.7265625" bestFit="1" customWidth="1"/>
    <col min="13" max="13" width="11.81640625" bestFit="1" customWidth="1"/>
    <col min="15" max="15" width="8.81640625" bestFit="1" customWidth="1"/>
    <col min="16" max="16" width="10.08984375" bestFit="1" customWidth="1"/>
    <col min="17" max="17" width="11.08984375" bestFit="1" customWidth="1"/>
    <col min="18" max="21" width="10.08984375" bestFit="1" customWidth="1"/>
    <col min="22" max="24" width="11.08984375" bestFit="1" customWidth="1"/>
    <col min="25" max="52" width="12.6328125" bestFit="1" customWidth="1"/>
    <col min="53" max="76" width="8.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5444</v>
      </c>
      <c r="B2" s="100" t="s">
        <v>2</v>
      </c>
      <c r="D2" t="s">
        <v>4967</v>
      </c>
      <c r="E2" t="s">
        <v>4968</v>
      </c>
      <c r="F2" t="s">
        <v>4973</v>
      </c>
      <c r="G2" t="s">
        <v>4983</v>
      </c>
      <c r="H2" t="s">
        <v>4984</v>
      </c>
      <c r="I2" t="s">
        <v>113</v>
      </c>
      <c r="M2">
        <v>1.2624660766029188</v>
      </c>
      <c r="N2">
        <v>0</v>
      </c>
      <c r="O2">
        <v>0</v>
      </c>
      <c r="P2">
        <v>0</v>
      </c>
      <c r="Q2">
        <v>0</v>
      </c>
      <c r="R2">
        <v>0</v>
      </c>
      <c r="S2">
        <v>0</v>
      </c>
      <c r="T2">
        <v>0</v>
      </c>
      <c r="U2">
        <v>0</v>
      </c>
      <c r="V2">
        <v>143508.30632568357</v>
      </c>
      <c r="W2">
        <v>169241.92246938759</v>
      </c>
      <c r="X2">
        <v>356930.72150756023</v>
      </c>
      <c r="Y2">
        <v>1024085.4829398995</v>
      </c>
      <c r="Z2">
        <v>1024378.7383526278</v>
      </c>
      <c r="AA2">
        <v>720462.36836328672</v>
      </c>
      <c r="AB2">
        <v>624235.72421680705</v>
      </c>
      <c r="AC2">
        <v>1113341.4992701034</v>
      </c>
      <c r="AD2">
        <v>1030023.6660853344</v>
      </c>
      <c r="AE2">
        <v>1190960.1470123685</v>
      </c>
      <c r="AF2">
        <v>1191563.8268539589</v>
      </c>
      <c r="AG2">
        <v>1186876.4928553591</v>
      </c>
      <c r="AH2">
        <v>1238741.378601731</v>
      </c>
      <c r="AI2">
        <v>1238137.6987601409</v>
      </c>
      <c r="AJ2">
        <v>1238137.6987601409</v>
      </c>
      <c r="AK2">
        <v>1235164.7296522739</v>
      </c>
      <c r="AL2">
        <v>1238137.6987601409</v>
      </c>
      <c r="AM2">
        <v>923417.60011876293</v>
      </c>
      <c r="AN2">
        <v>813742.32509651</v>
      </c>
      <c r="AO2">
        <v>813742.32509651</v>
      </c>
      <c r="AP2">
        <v>923417.60011876293</v>
      </c>
      <c r="AQ2">
        <v>1033696.5549826056</v>
      </c>
      <c r="AR2">
        <v>1135889.6868785734</v>
      </c>
      <c r="AS2">
        <v>1136712.8866625603</v>
      </c>
      <c r="AT2">
        <v>1111373.5326594375</v>
      </c>
      <c r="AU2">
        <v>1136712.8866625603</v>
      </c>
      <c r="AV2">
        <v>1085451.6807577789</v>
      </c>
      <c r="AW2">
        <v>1052913.1176976599</v>
      </c>
      <c r="AX2">
        <v>688837.398387213</v>
      </c>
      <c r="AY2">
        <v>604663.04076420784</v>
      </c>
      <c r="AZ2">
        <v>605513.68054099393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s="3" t="s">
        <v>5444</v>
      </c>
      <c r="B3" s="100" t="s">
        <v>2615</v>
      </c>
      <c r="D3" t="s">
        <v>4967</v>
      </c>
      <c r="E3" t="s">
        <v>4968</v>
      </c>
      <c r="F3" t="s">
        <v>4973</v>
      </c>
      <c r="G3" t="s">
        <v>4983</v>
      </c>
      <c r="H3" t="s">
        <v>4984</v>
      </c>
      <c r="I3" t="s">
        <v>121</v>
      </c>
      <c r="M3">
        <v>1.7573592539908314</v>
      </c>
      <c r="N3">
        <v>0</v>
      </c>
      <c r="O3">
        <v>0</v>
      </c>
      <c r="P3">
        <v>0</v>
      </c>
      <c r="Q3">
        <v>0</v>
      </c>
      <c r="R3">
        <v>0</v>
      </c>
      <c r="S3">
        <v>0</v>
      </c>
      <c r="T3">
        <v>0</v>
      </c>
      <c r="U3">
        <v>0</v>
      </c>
      <c r="V3">
        <v>0</v>
      </c>
      <c r="W3">
        <v>0</v>
      </c>
      <c r="X3">
        <v>0</v>
      </c>
      <c r="Y3">
        <v>527207.77619724942</v>
      </c>
      <c r="Z3">
        <v>527207.77619724942</v>
      </c>
      <c r="AA3">
        <v>527207.77619724942</v>
      </c>
      <c r="AB3">
        <v>474486.99857752444</v>
      </c>
      <c r="AC3">
        <v>263603.88809862471</v>
      </c>
      <c r="AD3">
        <v>263603.88809862471</v>
      </c>
      <c r="AE3">
        <v>439339.81349770783</v>
      </c>
      <c r="AF3">
        <v>615075.73889679101</v>
      </c>
      <c r="AG3">
        <v>790811.66429587407</v>
      </c>
      <c r="AH3">
        <v>790811.66429587407</v>
      </c>
      <c r="AI3">
        <v>790811.66429587407</v>
      </c>
      <c r="AJ3">
        <v>790811.66429587407</v>
      </c>
      <c r="AK3">
        <v>790811.66429587407</v>
      </c>
      <c r="AL3">
        <v>790811.66429587407</v>
      </c>
      <c r="AM3">
        <v>527207.77619724942</v>
      </c>
      <c r="AN3">
        <v>263603.88809862471</v>
      </c>
      <c r="AO3">
        <v>0</v>
      </c>
      <c r="AP3">
        <v>263603.88809862471</v>
      </c>
      <c r="AQ3">
        <v>439339.81349770783</v>
      </c>
      <c r="AR3">
        <v>615075.73889679101</v>
      </c>
      <c r="AS3">
        <v>790811.66429587407</v>
      </c>
      <c r="AT3">
        <v>790811.66429587407</v>
      </c>
      <c r="AU3">
        <v>790811.66429587407</v>
      </c>
      <c r="AV3">
        <v>790811.66429587407</v>
      </c>
      <c r="AW3">
        <v>790811.66429587407</v>
      </c>
      <c r="AX3">
        <v>790811.66429587407</v>
      </c>
      <c r="AY3">
        <v>351471.8507981663</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s="3" t="s">
        <v>5444</v>
      </c>
      <c r="B4" s="100" t="s">
        <v>2616</v>
      </c>
      <c r="D4" t="s">
        <v>4967</v>
      </c>
      <c r="E4" t="s">
        <v>4968</v>
      </c>
      <c r="F4" t="s">
        <v>4973</v>
      </c>
      <c r="G4" t="s">
        <v>4983</v>
      </c>
      <c r="H4" t="s">
        <v>4984</v>
      </c>
      <c r="I4" t="s">
        <v>126</v>
      </c>
      <c r="M4">
        <v>1.1191111111111107</v>
      </c>
      <c r="N4">
        <v>0</v>
      </c>
      <c r="O4">
        <v>0</v>
      </c>
      <c r="P4">
        <v>0</v>
      </c>
      <c r="Q4">
        <v>0</v>
      </c>
      <c r="R4">
        <v>0</v>
      </c>
      <c r="S4">
        <v>0</v>
      </c>
      <c r="T4">
        <v>0</v>
      </c>
      <c r="U4">
        <v>0</v>
      </c>
      <c r="V4">
        <v>2559.1318097777767</v>
      </c>
      <c r="W4">
        <v>495.02760888888889</v>
      </c>
      <c r="X4">
        <v>0</v>
      </c>
      <c r="Y4">
        <v>55882.323384316616</v>
      </c>
      <c r="Z4">
        <v>55882.323384316616</v>
      </c>
      <c r="AA4">
        <v>55882.323384316616</v>
      </c>
      <c r="AB4">
        <v>55882.323384316616</v>
      </c>
      <c r="AC4">
        <v>27941.161692158308</v>
      </c>
      <c r="AD4">
        <v>55882.323384316616</v>
      </c>
      <c r="AE4">
        <v>55882.323384316616</v>
      </c>
      <c r="AF4">
        <v>55882.323384316616</v>
      </c>
      <c r="AG4">
        <v>111764.64676863323</v>
      </c>
      <c r="AH4">
        <v>139705.80846079154</v>
      </c>
      <c r="AI4">
        <v>139705.80846079154</v>
      </c>
      <c r="AJ4">
        <v>139705.80846079154</v>
      </c>
      <c r="AK4">
        <v>111764.64676863323</v>
      </c>
      <c r="AL4">
        <v>111764.64676863323</v>
      </c>
      <c r="AM4">
        <v>55882.323384316616</v>
      </c>
      <c r="AN4">
        <v>27941.161692158308</v>
      </c>
      <c r="AO4">
        <v>27941.161692158308</v>
      </c>
      <c r="AP4">
        <v>27941.161692158308</v>
      </c>
      <c r="AQ4">
        <v>55882.323384316616</v>
      </c>
      <c r="AR4">
        <v>83823.485076474943</v>
      </c>
      <c r="AS4">
        <v>139705.80846079154</v>
      </c>
      <c r="AT4">
        <v>139705.80846079154</v>
      </c>
      <c r="AU4">
        <v>139705.80846079154</v>
      </c>
      <c r="AV4">
        <v>139705.80846079154</v>
      </c>
      <c r="AW4">
        <v>139705.80846079154</v>
      </c>
      <c r="AX4">
        <v>111764.64676863323</v>
      </c>
      <c r="AY4">
        <v>67347.14084984317</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s="3" t="s">
        <v>5444</v>
      </c>
      <c r="B5" s="100" t="s">
        <v>2617</v>
      </c>
      <c r="D5" t="s">
        <v>4967</v>
      </c>
      <c r="E5" t="s">
        <v>4968</v>
      </c>
      <c r="F5" t="s">
        <v>4973</v>
      </c>
      <c r="G5" t="s">
        <v>4983</v>
      </c>
      <c r="H5" t="s">
        <v>4984</v>
      </c>
      <c r="I5" s="101" t="s">
        <v>131</v>
      </c>
      <c r="M5">
        <v>1.7536068376068352</v>
      </c>
      <c r="N5">
        <v>0</v>
      </c>
      <c r="O5">
        <v>0</v>
      </c>
      <c r="P5">
        <v>0</v>
      </c>
      <c r="Q5">
        <v>0</v>
      </c>
      <c r="R5">
        <v>0</v>
      </c>
      <c r="S5">
        <v>0</v>
      </c>
      <c r="T5">
        <v>0</v>
      </c>
      <c r="U5">
        <v>0</v>
      </c>
      <c r="V5">
        <v>0</v>
      </c>
      <c r="W5">
        <v>0</v>
      </c>
      <c r="X5">
        <v>0</v>
      </c>
      <c r="Y5">
        <v>89018.447904275206</v>
      </c>
      <c r="Z5">
        <v>89018.447904275206</v>
      </c>
      <c r="AA5">
        <v>89018.447904275206</v>
      </c>
      <c r="AB5">
        <v>89018.447904275206</v>
      </c>
      <c r="AC5">
        <v>89018.447904275206</v>
      </c>
      <c r="AD5">
        <v>132900.78137821372</v>
      </c>
      <c r="AE5">
        <v>132900.78137821372</v>
      </c>
      <c r="AF5">
        <v>220665.4483260907</v>
      </c>
      <c r="AG5">
        <v>220665.4483260907</v>
      </c>
      <c r="AH5">
        <v>264547.78180002916</v>
      </c>
      <c r="AI5">
        <v>264547.78180002916</v>
      </c>
      <c r="AJ5">
        <v>264547.78180002916</v>
      </c>
      <c r="AK5">
        <v>220665.4483260907</v>
      </c>
      <c r="AL5">
        <v>220665.4483260907</v>
      </c>
      <c r="AM5">
        <v>132900.78137821372</v>
      </c>
      <c r="AN5">
        <v>89018.447904275206</v>
      </c>
      <c r="AO5">
        <v>106571.3812938506</v>
      </c>
      <c r="AP5">
        <v>106571.3812938506</v>
      </c>
      <c r="AQ5">
        <v>150453.71476778912</v>
      </c>
      <c r="AR5">
        <v>194336.04824172758</v>
      </c>
      <c r="AS5">
        <v>282100.71518960455</v>
      </c>
      <c r="AT5">
        <v>282100.71518960455</v>
      </c>
      <c r="AU5">
        <v>282100.71518960455</v>
      </c>
      <c r="AV5">
        <v>282100.71518960455</v>
      </c>
      <c r="AW5">
        <v>282100.71518960455</v>
      </c>
      <c r="AX5">
        <v>238218.38171566607</v>
      </c>
      <c r="AY5">
        <v>133353.64705966474</v>
      </c>
      <c r="AZ5">
        <v>27055.929621243275</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5444</v>
      </c>
      <c r="B6" s="100" t="s">
        <v>2618</v>
      </c>
      <c r="D6" t="s">
        <v>4967</v>
      </c>
      <c r="E6" t="s">
        <v>4968</v>
      </c>
      <c r="F6" t="s">
        <v>4973</v>
      </c>
      <c r="G6" t="s">
        <v>4983</v>
      </c>
      <c r="H6" t="s">
        <v>4984</v>
      </c>
      <c r="I6" s="101" t="s">
        <v>136</v>
      </c>
      <c r="M6">
        <v>2.4711111111111079</v>
      </c>
      <c r="N6">
        <v>0</v>
      </c>
      <c r="O6">
        <v>0</v>
      </c>
      <c r="P6">
        <v>0</v>
      </c>
      <c r="Q6">
        <v>0</v>
      </c>
      <c r="R6">
        <v>0</v>
      </c>
      <c r="S6">
        <v>0</v>
      </c>
      <c r="T6">
        <v>0</v>
      </c>
      <c r="U6">
        <v>0</v>
      </c>
      <c r="V6">
        <v>0</v>
      </c>
      <c r="W6">
        <v>0</v>
      </c>
      <c r="X6">
        <v>0</v>
      </c>
      <c r="Y6">
        <v>185333.33333333308</v>
      </c>
      <c r="Z6">
        <v>123555.5555555554</v>
      </c>
      <c r="AA6">
        <v>123555.5555555554</v>
      </c>
      <c r="AB6">
        <v>123555.5555555554</v>
      </c>
      <c r="AC6">
        <v>61777.777777777701</v>
      </c>
      <c r="AD6">
        <v>123555.5555555554</v>
      </c>
      <c r="AE6">
        <v>123555.5555555554</v>
      </c>
      <c r="AF6">
        <v>247111.1111111108</v>
      </c>
      <c r="AG6">
        <v>247111.1111111108</v>
      </c>
      <c r="AH6">
        <v>308888.88888888847</v>
      </c>
      <c r="AI6">
        <v>308888.88888888847</v>
      </c>
      <c r="AJ6">
        <v>308888.88888888847</v>
      </c>
      <c r="AK6">
        <v>308888.88888888847</v>
      </c>
      <c r="AL6">
        <v>247111.1111111108</v>
      </c>
      <c r="AM6">
        <v>123555.5555555554</v>
      </c>
      <c r="AN6">
        <v>49422.222222222161</v>
      </c>
      <c r="AO6">
        <v>49422.222222222161</v>
      </c>
      <c r="AP6">
        <v>49422.222222222161</v>
      </c>
      <c r="AQ6">
        <v>98844.444444444322</v>
      </c>
      <c r="AR6">
        <v>98844.444444444322</v>
      </c>
      <c r="AS6">
        <v>247111.1111111108</v>
      </c>
      <c r="AT6">
        <v>247111.1111111108</v>
      </c>
      <c r="AU6">
        <v>247111.1111111108</v>
      </c>
      <c r="AV6">
        <v>247111.1111111108</v>
      </c>
      <c r="AW6">
        <v>247111.1111111108</v>
      </c>
      <c r="AX6">
        <v>247111.1111111108</v>
      </c>
      <c r="AY6">
        <v>164897.24444444422</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row>
    <row r="7" spans="1:76">
      <c r="A7" s="3" t="s">
        <v>5444</v>
      </c>
      <c r="B7" s="100" t="s">
        <v>2619</v>
      </c>
      <c r="D7" t="s">
        <v>4967</v>
      </c>
      <c r="E7" t="s">
        <v>4968</v>
      </c>
      <c r="F7" t="s">
        <v>4973</v>
      </c>
      <c r="G7" t="s">
        <v>4983</v>
      </c>
      <c r="H7" t="s">
        <v>4984</v>
      </c>
      <c r="I7" t="s">
        <v>141</v>
      </c>
      <c r="M7">
        <v>2.9214772727272686</v>
      </c>
      <c r="N7">
        <v>0</v>
      </c>
      <c r="O7">
        <v>0</v>
      </c>
      <c r="P7">
        <v>0</v>
      </c>
      <c r="Q7">
        <v>0</v>
      </c>
      <c r="R7">
        <v>0</v>
      </c>
      <c r="S7">
        <v>0</v>
      </c>
      <c r="T7">
        <v>0</v>
      </c>
      <c r="U7">
        <v>0</v>
      </c>
      <c r="V7">
        <v>0</v>
      </c>
      <c r="W7">
        <v>0</v>
      </c>
      <c r="X7">
        <v>0</v>
      </c>
      <c r="Y7">
        <v>0</v>
      </c>
      <c r="Z7">
        <v>0</v>
      </c>
      <c r="AA7">
        <v>0</v>
      </c>
      <c r="AB7">
        <v>0</v>
      </c>
      <c r="AC7">
        <v>0</v>
      </c>
      <c r="AD7">
        <v>0</v>
      </c>
      <c r="AE7">
        <v>29214.772727272688</v>
      </c>
      <c r="AF7">
        <v>29214.772727272688</v>
      </c>
      <c r="AG7">
        <v>29214.772727272688</v>
      </c>
      <c r="AH7">
        <v>29214.772727272688</v>
      </c>
      <c r="AI7">
        <v>29214.772727272688</v>
      </c>
      <c r="AJ7">
        <v>29214.772727272688</v>
      </c>
      <c r="AK7">
        <v>29214.772727272688</v>
      </c>
      <c r="AL7">
        <v>0</v>
      </c>
      <c r="AM7">
        <v>0</v>
      </c>
      <c r="AN7">
        <v>0</v>
      </c>
      <c r="AO7">
        <v>0</v>
      </c>
      <c r="AP7">
        <v>0</v>
      </c>
      <c r="AQ7">
        <v>0</v>
      </c>
      <c r="AR7">
        <v>0</v>
      </c>
      <c r="AS7">
        <v>0</v>
      </c>
      <c r="AT7">
        <v>29214.772727272688</v>
      </c>
      <c r="AU7">
        <v>29214.772727272688</v>
      </c>
      <c r="AV7">
        <v>29214.772727272688</v>
      </c>
      <c r="AW7">
        <v>24890.98636363633</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s="3" t="s">
        <v>5444</v>
      </c>
      <c r="B8" s="100" t="s">
        <v>5</v>
      </c>
      <c r="D8" t="s">
        <v>4967</v>
      </c>
      <c r="E8" t="s">
        <v>4968</v>
      </c>
      <c r="F8" t="s">
        <v>4973</v>
      </c>
      <c r="G8" t="s">
        <v>4983</v>
      </c>
      <c r="H8" t="s">
        <v>4984</v>
      </c>
      <c r="I8" t="s">
        <v>149</v>
      </c>
      <c r="M8">
        <v>1.3507407407407406</v>
      </c>
      <c r="N8">
        <v>0</v>
      </c>
      <c r="O8">
        <v>0</v>
      </c>
      <c r="P8">
        <v>0</v>
      </c>
      <c r="Q8">
        <v>0</v>
      </c>
      <c r="R8">
        <v>0</v>
      </c>
      <c r="S8">
        <v>2858.3182210358009</v>
      </c>
      <c r="T8">
        <v>3843.3517021538273</v>
      </c>
      <c r="U8">
        <v>0</v>
      </c>
      <c r="V8">
        <v>1603.4819590027043</v>
      </c>
      <c r="W8">
        <v>-111.69545333333456</v>
      </c>
      <c r="X8">
        <v>0</v>
      </c>
      <c r="Y8">
        <v>5472.3729289635885</v>
      </c>
      <c r="Z8">
        <v>3725.2088261097256</v>
      </c>
      <c r="AA8">
        <v>5822.7282039292077</v>
      </c>
      <c r="AB8">
        <v>4075.5641010753448</v>
      </c>
      <c r="AC8">
        <v>5218.8927169126846</v>
      </c>
      <c r="AD8">
        <v>11283.963618129043</v>
      </c>
      <c r="AE8">
        <v>9963.0798827396738</v>
      </c>
      <c r="AF8">
        <v>8547.4671768026437</v>
      </c>
      <c r="AG8">
        <v>9612.7246077740547</v>
      </c>
      <c r="AH8">
        <v>9612.7246077740547</v>
      </c>
      <c r="AI8">
        <v>8197.1119018370227</v>
      </c>
      <c r="AJ8">
        <v>8197.1119018370227</v>
      </c>
      <c r="AK8">
        <v>7733.5205269754088</v>
      </c>
      <c r="AL8">
        <v>7733.5205269754088</v>
      </c>
      <c r="AM8">
        <v>7304.4461870649857</v>
      </c>
      <c r="AN8">
        <v>5557.2820842111205</v>
      </c>
      <c r="AO8">
        <v>5785.369355297551</v>
      </c>
      <c r="AP8">
        <v>10695.310266942312</v>
      </c>
      <c r="AQ8">
        <v>12110.922972879345</v>
      </c>
      <c r="AR8">
        <v>12110.922972879345</v>
      </c>
      <c r="AS8">
        <v>12110.922972879345</v>
      </c>
      <c r="AT8">
        <v>10695.310266942312</v>
      </c>
      <c r="AU8">
        <v>9279.6975610052796</v>
      </c>
      <c r="AV8">
        <v>9279.6975610052796</v>
      </c>
      <c r="AW8">
        <v>6956.2603430060908</v>
      </c>
      <c r="AX8">
        <v>8654.9955901305293</v>
      </c>
      <c r="AY8">
        <v>8654.9955901305293</v>
      </c>
      <c r="AZ8">
        <v>6956.2603430060908</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s="3" t="s">
        <v>5444</v>
      </c>
      <c r="B9" s="100" t="s">
        <v>6</v>
      </c>
      <c r="D9" t="s">
        <v>4967</v>
      </c>
      <c r="E9" t="s">
        <v>4968</v>
      </c>
      <c r="F9" t="s">
        <v>4973</v>
      </c>
      <c r="G9" t="s">
        <v>4983</v>
      </c>
      <c r="H9" t="s">
        <v>4984</v>
      </c>
      <c r="I9" t="s">
        <v>153</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s="3" t="s">
        <v>5444</v>
      </c>
      <c r="B10" s="100" t="s">
        <v>7</v>
      </c>
      <c r="D10" t="s">
        <v>4967</v>
      </c>
      <c r="E10" t="s">
        <v>4968</v>
      </c>
      <c r="F10" t="s">
        <v>4973</v>
      </c>
      <c r="G10" t="s">
        <v>4983</v>
      </c>
      <c r="H10" t="s">
        <v>4984</v>
      </c>
      <c r="I10" t="s">
        <v>157</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s="3" t="s">
        <v>5444</v>
      </c>
      <c r="B11" s="100" t="s">
        <v>5187</v>
      </c>
      <c r="D11" t="s">
        <v>4967</v>
      </c>
      <c r="E11" t="s">
        <v>4968</v>
      </c>
      <c r="F11" t="s">
        <v>4973</v>
      </c>
      <c r="G11" t="s">
        <v>4983</v>
      </c>
      <c r="H11" t="s">
        <v>4984</v>
      </c>
      <c r="I11" t="s">
        <v>161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s="3" t="s">
        <v>5444</v>
      </c>
      <c r="B12" s="100" t="s">
        <v>8</v>
      </c>
      <c r="D12" t="s">
        <v>4967</v>
      </c>
      <c r="E12" t="s">
        <v>4968</v>
      </c>
      <c r="F12" t="s">
        <v>4973</v>
      </c>
      <c r="G12" t="s">
        <v>4983</v>
      </c>
      <c r="H12" t="s">
        <v>4984</v>
      </c>
      <c r="I12" t="s">
        <v>166</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s="3" t="s">
        <v>5444</v>
      </c>
      <c r="B13" s="100" t="s">
        <v>2623</v>
      </c>
      <c r="D13" t="s">
        <v>4967</v>
      </c>
      <c r="E13" t="s">
        <v>4968</v>
      </c>
      <c r="F13" t="s">
        <v>4973</v>
      </c>
      <c r="G13" t="s">
        <v>4983</v>
      </c>
      <c r="H13" t="s">
        <v>4984</v>
      </c>
      <c r="I13" t="s">
        <v>170</v>
      </c>
      <c r="M13">
        <v>2.6902786516853907</v>
      </c>
      <c r="N13">
        <v>0</v>
      </c>
      <c r="O13">
        <v>0</v>
      </c>
      <c r="P13">
        <v>0</v>
      </c>
      <c r="Q13">
        <v>0</v>
      </c>
      <c r="R13">
        <v>0</v>
      </c>
      <c r="S13">
        <v>0</v>
      </c>
      <c r="T13">
        <v>0</v>
      </c>
      <c r="U13">
        <v>0</v>
      </c>
      <c r="V13">
        <v>0</v>
      </c>
      <c r="W13">
        <v>0</v>
      </c>
      <c r="X13">
        <v>0</v>
      </c>
      <c r="Y13">
        <v>0</v>
      </c>
      <c r="Z13">
        <v>0</v>
      </c>
      <c r="AA13">
        <v>0</v>
      </c>
      <c r="AB13">
        <v>0</v>
      </c>
      <c r="AC13">
        <v>0</v>
      </c>
      <c r="AD13">
        <v>0</v>
      </c>
      <c r="AE13">
        <v>2723.9071348314583</v>
      </c>
      <c r="AF13">
        <v>2723.9071348314583</v>
      </c>
      <c r="AG13">
        <v>2723.9071348314583</v>
      </c>
      <c r="AH13">
        <v>2723.9071348314583</v>
      </c>
      <c r="AI13">
        <v>2723.9071348314583</v>
      </c>
      <c r="AJ13">
        <v>2723.9071348314583</v>
      </c>
      <c r="AK13">
        <v>2723.9071348314583</v>
      </c>
      <c r="AL13">
        <v>2723.9071348314583</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s="3" t="s">
        <v>5444</v>
      </c>
      <c r="B14" s="100" t="s">
        <v>9</v>
      </c>
      <c r="D14" t="s">
        <v>4967</v>
      </c>
      <c r="E14" t="s">
        <v>4968</v>
      </c>
      <c r="F14" t="s">
        <v>4973</v>
      </c>
      <c r="G14" t="s">
        <v>4983</v>
      </c>
      <c r="H14" t="s">
        <v>4984</v>
      </c>
      <c r="I14" t="s">
        <v>174</v>
      </c>
      <c r="M14">
        <v>2.1349999999999976</v>
      </c>
      <c r="N14">
        <v>0</v>
      </c>
      <c r="O14">
        <v>0</v>
      </c>
      <c r="P14">
        <v>0</v>
      </c>
      <c r="Q14">
        <v>0</v>
      </c>
      <c r="R14">
        <v>0</v>
      </c>
      <c r="S14">
        <v>0</v>
      </c>
      <c r="T14">
        <v>0</v>
      </c>
      <c r="U14">
        <v>0</v>
      </c>
      <c r="V14">
        <v>0</v>
      </c>
      <c r="W14">
        <v>0</v>
      </c>
      <c r="X14">
        <v>0</v>
      </c>
      <c r="Y14">
        <v>0</v>
      </c>
      <c r="Z14">
        <v>203.83433308902852</v>
      </c>
      <c r="AA14">
        <v>229.11487418014053</v>
      </c>
      <c r="AB14">
        <v>242.07819029341712</v>
      </c>
      <c r="AC14">
        <v>233.5951117753518</v>
      </c>
      <c r="AD14">
        <v>450.72198424212081</v>
      </c>
      <c r="AE14">
        <v>187.96471017630566</v>
      </c>
      <c r="AF14">
        <v>198.46803666467474</v>
      </c>
      <c r="AG14">
        <v>450.97843778335323</v>
      </c>
      <c r="AH14">
        <v>720.52999895138942</v>
      </c>
      <c r="AI14">
        <v>731.03332543975887</v>
      </c>
      <c r="AJ14">
        <v>731.03332543975887</v>
      </c>
      <c r="AK14">
        <v>614.30119423369649</v>
      </c>
      <c r="AL14">
        <v>369.55044477239994</v>
      </c>
      <c r="AM14">
        <v>215.11488560012336</v>
      </c>
      <c r="AN14">
        <v>205.2348490720411</v>
      </c>
      <c r="AO14">
        <v>203.54252527047109</v>
      </c>
      <c r="AP14">
        <v>167.11256655554882</v>
      </c>
      <c r="AQ14">
        <v>156.60924006717971</v>
      </c>
      <c r="AR14">
        <v>156.60924006717971</v>
      </c>
      <c r="AS14">
        <v>104.75597561407336</v>
      </c>
      <c r="AT14">
        <v>102.65531031639944</v>
      </c>
      <c r="AU14">
        <v>113.15863680476853</v>
      </c>
      <c r="AV14">
        <v>125.76262859081153</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s="3" t="s">
        <v>5444</v>
      </c>
      <c r="B15" s="100" t="s">
        <v>10</v>
      </c>
      <c r="D15" t="s">
        <v>4967</v>
      </c>
      <c r="E15" t="s">
        <v>4968</v>
      </c>
      <c r="F15" t="s">
        <v>4973</v>
      </c>
      <c r="G15" t="s">
        <v>4983</v>
      </c>
      <c r="H15" t="s">
        <v>4984</v>
      </c>
      <c r="I15" t="s">
        <v>180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s="3" t="s">
        <v>5444</v>
      </c>
      <c r="B16" s="100" t="s">
        <v>2624</v>
      </c>
      <c r="D16" t="s">
        <v>4967</v>
      </c>
      <c r="E16" t="s">
        <v>4968</v>
      </c>
      <c r="F16" t="s">
        <v>4973</v>
      </c>
      <c r="G16" t="s">
        <v>4983</v>
      </c>
      <c r="H16" t="s">
        <v>4984</v>
      </c>
      <c r="I16" t="s">
        <v>185</v>
      </c>
      <c r="M16">
        <v>2.7499999999999951</v>
      </c>
      <c r="N16">
        <v>0</v>
      </c>
      <c r="O16">
        <v>0</v>
      </c>
      <c r="P16">
        <v>0</v>
      </c>
      <c r="Q16">
        <v>0</v>
      </c>
      <c r="R16">
        <v>0</v>
      </c>
      <c r="S16">
        <v>0</v>
      </c>
      <c r="T16">
        <v>0</v>
      </c>
      <c r="U16">
        <v>0</v>
      </c>
      <c r="V16">
        <v>0</v>
      </c>
      <c r="W16">
        <v>0</v>
      </c>
      <c r="X16">
        <v>0</v>
      </c>
      <c r="Y16">
        <v>0</v>
      </c>
      <c r="Z16">
        <v>0</v>
      </c>
      <c r="AA16">
        <v>0</v>
      </c>
      <c r="AB16">
        <v>0</v>
      </c>
      <c r="AC16">
        <v>0</v>
      </c>
      <c r="AD16">
        <v>0</v>
      </c>
      <c r="AE16">
        <v>476.17281249999917</v>
      </c>
      <c r="AF16">
        <v>476.17281249999917</v>
      </c>
      <c r="AG16">
        <v>476.17281249999917</v>
      </c>
      <c r="AH16">
        <v>476.17281249999917</v>
      </c>
      <c r="AI16">
        <v>476.17281249999917</v>
      </c>
      <c r="AJ16">
        <v>476.17281249999917</v>
      </c>
      <c r="AK16">
        <v>476.17281249999917</v>
      </c>
      <c r="AL16">
        <v>476.17281249999917</v>
      </c>
      <c r="AM16">
        <v>0</v>
      </c>
      <c r="AN16">
        <v>0</v>
      </c>
      <c r="AO16">
        <v>0</v>
      </c>
      <c r="AP16">
        <v>0</v>
      </c>
      <c r="AQ16">
        <v>476.17281249999917</v>
      </c>
      <c r="AR16">
        <v>476.17281249999917</v>
      </c>
      <c r="AS16">
        <v>476.17281249999917</v>
      </c>
      <c r="AT16">
        <v>476.17281249999917</v>
      </c>
      <c r="AU16">
        <v>476.17281249999917</v>
      </c>
      <c r="AV16">
        <v>476.17281249999917</v>
      </c>
      <c r="AW16">
        <v>476.17281249999917</v>
      </c>
      <c r="AX16">
        <v>476.17281249999917</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s="3" t="s">
        <v>5444</v>
      </c>
      <c r="B17" s="100" t="s">
        <v>11</v>
      </c>
      <c r="D17" t="s">
        <v>4967</v>
      </c>
      <c r="E17" t="s">
        <v>4968</v>
      </c>
      <c r="F17" t="s">
        <v>4973</v>
      </c>
      <c r="G17" t="s">
        <v>4983</v>
      </c>
      <c r="H17" t="s">
        <v>4984</v>
      </c>
      <c r="I17" t="s">
        <v>190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s="3" t="s">
        <v>5444</v>
      </c>
      <c r="B18" s="100" t="s">
        <v>2625</v>
      </c>
      <c r="D18" t="s">
        <v>4967</v>
      </c>
      <c r="E18" t="s">
        <v>4968</v>
      </c>
      <c r="F18" t="s">
        <v>4973</v>
      </c>
      <c r="G18" t="s">
        <v>4983</v>
      </c>
      <c r="H18" t="s">
        <v>4984</v>
      </c>
      <c r="I18" t="s">
        <v>196</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s="3" t="s">
        <v>5444</v>
      </c>
      <c r="B19" s="100" t="s">
        <v>12</v>
      </c>
      <c r="D19" t="s">
        <v>4967</v>
      </c>
      <c r="E19" t="s">
        <v>4968</v>
      </c>
      <c r="F19" t="s">
        <v>4973</v>
      </c>
      <c r="G19" t="s">
        <v>4983</v>
      </c>
      <c r="H19" t="s">
        <v>4984</v>
      </c>
      <c r="I19" t="s">
        <v>201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s="3" t="s">
        <v>5444</v>
      </c>
      <c r="B20" s="100" t="s">
        <v>2626</v>
      </c>
      <c r="D20" t="s">
        <v>4967</v>
      </c>
      <c r="E20" t="s">
        <v>4968</v>
      </c>
      <c r="F20" t="s">
        <v>4973</v>
      </c>
      <c r="G20" t="s">
        <v>4983</v>
      </c>
      <c r="H20" t="s">
        <v>4984</v>
      </c>
      <c r="I20" t="s">
        <v>206</v>
      </c>
      <c r="M20">
        <v>5.8976458947741763</v>
      </c>
      <c r="N20">
        <v>0</v>
      </c>
      <c r="O20">
        <v>0</v>
      </c>
      <c r="P20">
        <v>0</v>
      </c>
      <c r="Q20">
        <v>0</v>
      </c>
      <c r="R20">
        <v>0</v>
      </c>
      <c r="S20">
        <v>0</v>
      </c>
      <c r="T20">
        <v>0</v>
      </c>
      <c r="U20">
        <v>0</v>
      </c>
      <c r="V20">
        <v>0</v>
      </c>
      <c r="W20">
        <v>0</v>
      </c>
      <c r="X20">
        <v>0</v>
      </c>
      <c r="Y20">
        <v>0</v>
      </c>
      <c r="Z20">
        <v>0</v>
      </c>
      <c r="AA20">
        <v>0</v>
      </c>
      <c r="AB20">
        <v>0</v>
      </c>
      <c r="AC20">
        <v>0</v>
      </c>
      <c r="AD20">
        <v>0</v>
      </c>
      <c r="AE20">
        <v>353943.16374331957</v>
      </c>
      <c r="AF20">
        <v>353943.16374331957</v>
      </c>
      <c r="AG20">
        <v>353943.16374331957</v>
      </c>
      <c r="AH20">
        <v>353943.16374331957</v>
      </c>
      <c r="AI20">
        <v>353943.16374331957</v>
      </c>
      <c r="AJ20">
        <v>353943.16374331957</v>
      </c>
      <c r="AK20">
        <v>353943.16374331957</v>
      </c>
      <c r="AL20">
        <v>353943.16374331957</v>
      </c>
      <c r="AM20">
        <v>0</v>
      </c>
      <c r="AN20">
        <v>0</v>
      </c>
      <c r="AO20">
        <v>0</v>
      </c>
      <c r="AP20">
        <v>0</v>
      </c>
      <c r="AQ20">
        <v>353943.16374331957</v>
      </c>
      <c r="AR20">
        <v>353943.16374331957</v>
      </c>
      <c r="AS20">
        <v>353943.16374331957</v>
      </c>
      <c r="AT20">
        <v>353943.16374331957</v>
      </c>
      <c r="AU20">
        <v>353943.16374331957</v>
      </c>
      <c r="AV20">
        <v>353943.16374331957</v>
      </c>
      <c r="AW20">
        <v>353943.16374331957</v>
      </c>
      <c r="AX20">
        <v>353943.16374331957</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row>
    <row r="21" spans="1:76">
      <c r="A21" s="3" t="s">
        <v>5444</v>
      </c>
      <c r="B21" s="100" t="s">
        <v>2627</v>
      </c>
      <c r="D21" t="s">
        <v>4967</v>
      </c>
      <c r="E21" t="s">
        <v>4968</v>
      </c>
      <c r="F21" t="s">
        <v>4973</v>
      </c>
      <c r="G21" t="s">
        <v>4983</v>
      </c>
      <c r="H21" t="s">
        <v>4984</v>
      </c>
      <c r="I21" t="s">
        <v>211</v>
      </c>
      <c r="M21">
        <v>2.5614672244598702</v>
      </c>
      <c r="N21">
        <v>0</v>
      </c>
      <c r="O21">
        <v>0</v>
      </c>
      <c r="P21">
        <v>0</v>
      </c>
      <c r="Q21">
        <v>0</v>
      </c>
      <c r="R21">
        <v>0</v>
      </c>
      <c r="S21">
        <v>0</v>
      </c>
      <c r="T21">
        <v>0</v>
      </c>
      <c r="U21">
        <v>0</v>
      </c>
      <c r="V21">
        <v>0</v>
      </c>
      <c r="W21">
        <v>0</v>
      </c>
      <c r="X21">
        <v>0</v>
      </c>
      <c r="Y21">
        <v>0</v>
      </c>
      <c r="Z21">
        <v>0</v>
      </c>
      <c r="AA21">
        <v>0</v>
      </c>
      <c r="AB21">
        <v>0</v>
      </c>
      <c r="AC21">
        <v>0</v>
      </c>
      <c r="AD21">
        <v>0</v>
      </c>
      <c r="AE21">
        <v>181569.60420583791</v>
      </c>
      <c r="AF21">
        <v>181569.60420583791</v>
      </c>
      <c r="AG21">
        <v>181569.60420583791</v>
      </c>
      <c r="AH21">
        <v>181569.60420583791</v>
      </c>
      <c r="AI21">
        <v>181569.60420583791</v>
      </c>
      <c r="AJ21">
        <v>181569.60420583791</v>
      </c>
      <c r="AK21">
        <v>181569.60420583791</v>
      </c>
      <c r="AL21">
        <v>181569.60420583791</v>
      </c>
      <c r="AM21">
        <v>0</v>
      </c>
      <c r="AN21">
        <v>0</v>
      </c>
      <c r="AO21">
        <v>0</v>
      </c>
      <c r="AP21">
        <v>0</v>
      </c>
      <c r="AQ21">
        <v>181569.60420583791</v>
      </c>
      <c r="AR21">
        <v>181569.60420583791</v>
      </c>
      <c r="AS21">
        <v>181569.60420583791</v>
      </c>
      <c r="AT21">
        <v>181569.60420583791</v>
      </c>
      <c r="AU21">
        <v>181569.60420583791</v>
      </c>
      <c r="AV21">
        <v>181569.60420583791</v>
      </c>
      <c r="AW21">
        <v>181569.60420583791</v>
      </c>
      <c r="AX21">
        <v>181569.60420583791</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row>
    <row r="22" spans="1:76">
      <c r="A22" s="3" t="s">
        <v>5444</v>
      </c>
      <c r="B22" s="100" t="s">
        <v>13</v>
      </c>
      <c r="D22" t="s">
        <v>4967</v>
      </c>
      <c r="E22" t="s">
        <v>4968</v>
      </c>
      <c r="F22" t="s">
        <v>4973</v>
      </c>
      <c r="G22" t="s">
        <v>4983</v>
      </c>
      <c r="H22" t="s">
        <v>4984</v>
      </c>
      <c r="I22" t="s">
        <v>216</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row>
    <row r="23" spans="1:76">
      <c r="A23" s="3" t="s">
        <v>5444</v>
      </c>
      <c r="B23" s="100" t="s">
        <v>2628</v>
      </c>
      <c r="D23" t="s">
        <v>4967</v>
      </c>
      <c r="E23" t="s">
        <v>4968</v>
      </c>
      <c r="F23" t="s">
        <v>4973</v>
      </c>
      <c r="G23" t="s">
        <v>4983</v>
      </c>
      <c r="H23" t="s">
        <v>4984</v>
      </c>
      <c r="I23" t="s">
        <v>221</v>
      </c>
      <c r="M23">
        <v>4.0999999999999996</v>
      </c>
      <c r="N23">
        <v>0</v>
      </c>
      <c r="O23">
        <v>0</v>
      </c>
      <c r="P23">
        <v>12317.219883368261</v>
      </c>
      <c r="Q23">
        <v>30232.580116631732</v>
      </c>
      <c r="R23">
        <v>0</v>
      </c>
      <c r="S23">
        <v>0</v>
      </c>
      <c r="T23">
        <v>0</v>
      </c>
      <c r="U23">
        <v>0</v>
      </c>
      <c r="V23">
        <v>0</v>
      </c>
      <c r="W23">
        <v>0</v>
      </c>
      <c r="X23">
        <v>0</v>
      </c>
      <c r="Y23">
        <v>96265.628724774811</v>
      </c>
      <c r="Z23">
        <v>96265.628724774811</v>
      </c>
      <c r="AA23">
        <v>96265.628724774811</v>
      </c>
      <c r="AB23">
        <v>179230.02653499373</v>
      </c>
      <c r="AC23">
        <v>345158.82215543173</v>
      </c>
      <c r="AD23">
        <v>511087.61777586961</v>
      </c>
      <c r="AE23">
        <v>677016.4133963075</v>
      </c>
      <c r="AF23">
        <v>677016.4133963075</v>
      </c>
      <c r="AG23">
        <v>677016.4133963075</v>
      </c>
      <c r="AH23">
        <v>677016.4133963075</v>
      </c>
      <c r="AI23">
        <v>677016.4133963075</v>
      </c>
      <c r="AJ23">
        <v>677016.4133963075</v>
      </c>
      <c r="AK23">
        <v>677016.4133963075</v>
      </c>
      <c r="AL23">
        <v>677016.4133963075</v>
      </c>
      <c r="AM23">
        <v>677016.4133963075</v>
      </c>
      <c r="AN23">
        <v>677016.4133963075</v>
      </c>
      <c r="AO23">
        <v>677016.4133963075</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row>
    <row r="24" spans="1:76">
      <c r="A24" s="3" t="s">
        <v>5444</v>
      </c>
      <c r="B24" s="100" t="s">
        <v>2629</v>
      </c>
      <c r="D24" t="s">
        <v>4967</v>
      </c>
      <c r="E24" t="s">
        <v>4968</v>
      </c>
      <c r="F24" t="s">
        <v>4973</v>
      </c>
      <c r="G24" t="s">
        <v>4983</v>
      </c>
      <c r="H24" t="s">
        <v>4984</v>
      </c>
      <c r="I24" t="s">
        <v>226</v>
      </c>
      <c r="M24">
        <v>2.402376068376066</v>
      </c>
      <c r="N24">
        <v>0</v>
      </c>
      <c r="O24">
        <v>0</v>
      </c>
      <c r="P24">
        <v>0</v>
      </c>
      <c r="Q24">
        <v>0</v>
      </c>
      <c r="R24">
        <v>873.61296881318628</v>
      </c>
      <c r="S24">
        <v>1028.4152668919414</v>
      </c>
      <c r="T24">
        <v>1170.0173688589716</v>
      </c>
      <c r="U24">
        <v>0</v>
      </c>
      <c r="V24">
        <v>3484.2645093846122</v>
      </c>
      <c r="W24">
        <v>0</v>
      </c>
      <c r="X24">
        <v>0</v>
      </c>
      <c r="Y24">
        <v>4864.7743016324748</v>
      </c>
      <c r="Z24">
        <v>4864.7743016324748</v>
      </c>
      <c r="AA24">
        <v>4864.7743016324748</v>
      </c>
      <c r="AB24">
        <v>4864.7743016324748</v>
      </c>
      <c r="AC24">
        <v>4864.7743016324748</v>
      </c>
      <c r="AD24">
        <v>4864.7743016324748</v>
      </c>
      <c r="AE24">
        <v>4864.7743016324748</v>
      </c>
      <c r="AF24">
        <v>4864.7743016324748</v>
      </c>
      <c r="AG24">
        <v>4864.7743016324748</v>
      </c>
      <c r="AH24">
        <v>4864.7743016324748</v>
      </c>
      <c r="AI24">
        <v>4864.7743016324748</v>
      </c>
      <c r="AJ24">
        <v>4864.7743016324748</v>
      </c>
      <c r="AK24">
        <v>4864.7743016324748</v>
      </c>
      <c r="AL24">
        <v>4864.7743016324748</v>
      </c>
      <c r="AM24">
        <v>0</v>
      </c>
      <c r="AN24">
        <v>0</v>
      </c>
      <c r="AO24">
        <v>0</v>
      </c>
      <c r="AP24">
        <v>0</v>
      </c>
      <c r="AQ24">
        <v>4864.7743016324748</v>
      </c>
      <c r="AR24">
        <v>4864.7743016324748</v>
      </c>
      <c r="AS24">
        <v>4864.7743016324748</v>
      </c>
      <c r="AT24">
        <v>4864.7743016324748</v>
      </c>
      <c r="AU24">
        <v>4864.7743016324748</v>
      </c>
      <c r="AV24">
        <v>4864.7743016324748</v>
      </c>
      <c r="AW24">
        <v>4864.7743016324748</v>
      </c>
      <c r="AX24">
        <v>4864.7743016324748</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s="3" t="s">
        <v>5444</v>
      </c>
      <c r="B25" s="100" t="s">
        <v>2630</v>
      </c>
      <c r="D25" t="s">
        <v>4967</v>
      </c>
      <c r="E25" t="s">
        <v>4968</v>
      </c>
      <c r="F25" t="s">
        <v>4973</v>
      </c>
      <c r="G25" t="s">
        <v>4983</v>
      </c>
      <c r="H25" t="s">
        <v>4984</v>
      </c>
      <c r="I25" t="s">
        <v>231</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s="3" t="s">
        <v>5444</v>
      </c>
      <c r="B26" s="100" t="s">
        <v>14</v>
      </c>
      <c r="D26" t="s">
        <v>4967</v>
      </c>
      <c r="E26" t="s">
        <v>4968</v>
      </c>
      <c r="F26" t="s">
        <v>4973</v>
      </c>
      <c r="G26" t="s">
        <v>4983</v>
      </c>
      <c r="H26" t="s">
        <v>4984</v>
      </c>
      <c r="I26" t="s">
        <v>236</v>
      </c>
      <c r="M26">
        <v>0.23333333333333331</v>
      </c>
      <c r="N26">
        <v>0</v>
      </c>
      <c r="O26">
        <v>0</v>
      </c>
      <c r="P26">
        <v>0</v>
      </c>
      <c r="Q26">
        <v>0</v>
      </c>
      <c r="R26">
        <v>0</v>
      </c>
      <c r="S26">
        <v>0</v>
      </c>
      <c r="T26">
        <v>0</v>
      </c>
      <c r="U26">
        <v>0</v>
      </c>
      <c r="V26">
        <v>0</v>
      </c>
      <c r="W26">
        <v>0</v>
      </c>
      <c r="X26">
        <v>0</v>
      </c>
      <c r="Y26">
        <v>2577.9380833902019</v>
      </c>
      <c r="Z26">
        <v>5917.0255339086088</v>
      </c>
      <c r="AA26">
        <v>3843.7478585325684</v>
      </c>
      <c r="AB26">
        <v>3776.4347573205223</v>
      </c>
      <c r="AC26">
        <v>1712.290527705474</v>
      </c>
      <c r="AD26">
        <v>4011.9248786560265</v>
      </c>
      <c r="AE26">
        <v>9731.5838696444407</v>
      </c>
      <c r="AF26">
        <v>7305.2229794725126</v>
      </c>
      <c r="AG26">
        <v>5907.305376662388</v>
      </c>
      <c r="AH26">
        <v>5907.305376662388</v>
      </c>
      <c r="AI26">
        <v>320.79171116600673</v>
      </c>
      <c r="AJ26">
        <v>320.79171116600673</v>
      </c>
      <c r="AK26">
        <v>266.21775860844525</v>
      </c>
      <c r="AL26">
        <v>343.34793436040906</v>
      </c>
      <c r="AM26">
        <v>364.22471745608146</v>
      </c>
      <c r="AN26">
        <v>449.2336835374395</v>
      </c>
      <c r="AO26">
        <v>438.13600641615125</v>
      </c>
      <c r="AP26">
        <v>199.24087359050449</v>
      </c>
      <c r="AQ26">
        <v>130.36367292757137</v>
      </c>
      <c r="AR26">
        <v>130.36367292757137</v>
      </c>
      <c r="AS26">
        <v>130.36367292757137</v>
      </c>
      <c r="AT26">
        <v>169.61242256135762</v>
      </c>
      <c r="AU26">
        <v>0</v>
      </c>
      <c r="AV26">
        <v>0</v>
      </c>
      <c r="AW26">
        <v>41.129974207526551</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s="3" t="s">
        <v>5444</v>
      </c>
      <c r="B27" s="100" t="s">
        <v>15</v>
      </c>
      <c r="D27" t="s">
        <v>4967</v>
      </c>
      <c r="E27" t="s">
        <v>4968</v>
      </c>
      <c r="F27" t="s">
        <v>4973</v>
      </c>
      <c r="G27" t="s">
        <v>4983</v>
      </c>
      <c r="H27" t="s">
        <v>4984</v>
      </c>
      <c r="I27" t="s">
        <v>241</v>
      </c>
      <c r="M27">
        <v>0.23333333333333331</v>
      </c>
      <c r="N27">
        <v>0</v>
      </c>
      <c r="O27">
        <v>0</v>
      </c>
      <c r="P27">
        <v>161.26617880333831</v>
      </c>
      <c r="Q27">
        <v>1316.2338545299947</v>
      </c>
      <c r="R27">
        <v>0</v>
      </c>
      <c r="S27">
        <v>0</v>
      </c>
      <c r="T27">
        <v>0</v>
      </c>
      <c r="U27">
        <v>0.46666666666666662</v>
      </c>
      <c r="V27">
        <v>0</v>
      </c>
      <c r="W27">
        <v>0</v>
      </c>
      <c r="X27">
        <v>0</v>
      </c>
      <c r="Y27">
        <v>1160.9937586189426</v>
      </c>
      <c r="Z27">
        <v>2100.4562606881746</v>
      </c>
      <c r="AA27">
        <v>1487.1626491774982</v>
      </c>
      <c r="AB27">
        <v>1469.4423412419608</v>
      </c>
      <c r="AC27">
        <v>1168.4891688297459</v>
      </c>
      <c r="AD27">
        <v>1762.2286709457776</v>
      </c>
      <c r="AE27">
        <v>3235.4173614451906</v>
      </c>
      <c r="AF27">
        <v>2610.0140772525633</v>
      </c>
      <c r="AG27">
        <v>2250.146067189572</v>
      </c>
      <c r="AH27">
        <v>2250.146067189572</v>
      </c>
      <c r="AI27">
        <v>810.66353811809722</v>
      </c>
      <c r="AJ27">
        <v>810.66353811809722</v>
      </c>
      <c r="AK27">
        <v>795.88455876657997</v>
      </c>
      <c r="AL27">
        <v>816.37371755838592</v>
      </c>
      <c r="AM27">
        <v>821.65874141122038</v>
      </c>
      <c r="AN27">
        <v>843.17903078654558</v>
      </c>
      <c r="AO27">
        <v>840.36961862623912</v>
      </c>
      <c r="AP27">
        <v>779.89255807895051</v>
      </c>
      <c r="AQ27">
        <v>762.45607628231187</v>
      </c>
      <c r="AR27">
        <v>762.45607628231187</v>
      </c>
      <c r="AS27">
        <v>762.45607628231187</v>
      </c>
      <c r="AT27">
        <v>773.4134090135334</v>
      </c>
      <c r="AU27">
        <v>690.32410421832276</v>
      </c>
      <c r="AV27">
        <v>690.32410421832276</v>
      </c>
      <c r="AW27">
        <v>739.86628244047063</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s="3" t="s">
        <v>5444</v>
      </c>
      <c r="B28" s="100" t="s">
        <v>2639</v>
      </c>
      <c r="D28" t="s">
        <v>4967</v>
      </c>
      <c r="E28" t="s">
        <v>4968</v>
      </c>
      <c r="F28" t="s">
        <v>4973</v>
      </c>
      <c r="G28" t="s">
        <v>4983</v>
      </c>
      <c r="H28" t="s">
        <v>4984</v>
      </c>
      <c r="I28" t="s">
        <v>249</v>
      </c>
      <c r="M28">
        <v>3.0301692541856919</v>
      </c>
      <c r="N28">
        <v>0</v>
      </c>
      <c r="O28">
        <v>0</v>
      </c>
      <c r="P28">
        <v>0</v>
      </c>
      <c r="Q28">
        <v>0</v>
      </c>
      <c r="R28">
        <v>0</v>
      </c>
      <c r="S28">
        <v>0</v>
      </c>
      <c r="T28">
        <v>0</v>
      </c>
      <c r="U28">
        <v>0</v>
      </c>
      <c r="V28">
        <v>0</v>
      </c>
      <c r="W28">
        <v>0</v>
      </c>
      <c r="X28">
        <v>0</v>
      </c>
      <c r="Y28">
        <v>10918.020143617734</v>
      </c>
      <c r="Z28">
        <v>30488.857903269793</v>
      </c>
      <c r="AA28">
        <v>29205.678907209953</v>
      </c>
      <c r="AB28">
        <v>29205.678907209953</v>
      </c>
      <c r="AC28">
        <v>25304.814759188033</v>
      </c>
      <c r="AD28">
        <v>19710.154336367123</v>
      </c>
      <c r="AE28">
        <v>18641.731678607914</v>
      </c>
      <c r="AF28">
        <v>29566.404506991374</v>
      </c>
      <c r="AG28">
        <v>27224.60283918216</v>
      </c>
      <c r="AH28">
        <v>28507.781835242007</v>
      </c>
      <c r="AI28">
        <v>30133.141896917798</v>
      </c>
      <c r="AJ28">
        <v>23623.303695609218</v>
      </c>
      <c r="AK28">
        <v>13643.749488954832</v>
      </c>
      <c r="AL28">
        <v>10127.995611785886</v>
      </c>
      <c r="AM28">
        <v>6612.241734616935</v>
      </c>
      <c r="AN28">
        <v>6612.241734616935</v>
      </c>
      <c r="AO28">
        <v>11274.458753634357</v>
      </c>
      <c r="AP28">
        <v>11274.458753634357</v>
      </c>
      <c r="AQ28">
        <v>19668.114744965431</v>
      </c>
      <c r="AR28">
        <v>29344.949732356348</v>
      </c>
      <c r="AS28">
        <v>29344.949732356348</v>
      </c>
      <c r="AT28">
        <v>29344.949732356348</v>
      </c>
      <c r="AU28">
        <v>29344.949732356348</v>
      </c>
      <c r="AV28">
        <v>19668.114744965431</v>
      </c>
      <c r="AW28">
        <v>11274.458753634357</v>
      </c>
      <c r="AX28">
        <v>11274.458753634357</v>
      </c>
      <c r="AY28">
        <v>11274.458753634357</v>
      </c>
      <c r="AZ28">
        <v>11274.458753634357</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s="3" t="s">
        <v>5444</v>
      </c>
      <c r="B29" s="100" t="s">
        <v>2640</v>
      </c>
      <c r="D29" t="s">
        <v>4967</v>
      </c>
      <c r="E29" t="s">
        <v>4968</v>
      </c>
      <c r="F29" t="s">
        <v>4973</v>
      </c>
      <c r="G29" t="s">
        <v>4983</v>
      </c>
      <c r="H29" t="s">
        <v>4984</v>
      </c>
      <c r="I29" t="s">
        <v>253</v>
      </c>
      <c r="M29">
        <v>6.7863999999999995</v>
      </c>
      <c r="N29">
        <v>0</v>
      </c>
      <c r="O29">
        <v>0</v>
      </c>
      <c r="P29">
        <v>0</v>
      </c>
      <c r="Q29">
        <v>0</v>
      </c>
      <c r="R29">
        <v>0</v>
      </c>
      <c r="S29">
        <v>0</v>
      </c>
      <c r="T29">
        <v>0</v>
      </c>
      <c r="U29">
        <v>0</v>
      </c>
      <c r="V29">
        <v>0</v>
      </c>
      <c r="W29">
        <v>0</v>
      </c>
      <c r="X29">
        <v>0</v>
      </c>
      <c r="Y29">
        <v>3048.976443308271</v>
      </c>
      <c r="Z29">
        <v>5609.5764423725977</v>
      </c>
      <c r="AA29">
        <v>5345.2640213199657</v>
      </c>
      <c r="AB29">
        <v>5345.2640213199657</v>
      </c>
      <c r="AC29">
        <v>4541.7542613199657</v>
      </c>
      <c r="AD29">
        <v>3389.3521055304932</v>
      </c>
      <c r="AE29">
        <v>3191.5583104427737</v>
      </c>
      <c r="AF29">
        <v>3993.4821959164583</v>
      </c>
      <c r="AG29">
        <v>3511.1120274954055</v>
      </c>
      <c r="AH29">
        <v>3775.4244485480372</v>
      </c>
      <c r="AI29">
        <v>4110.2201818813701</v>
      </c>
      <c r="AJ29">
        <v>3493.4911994252302</v>
      </c>
      <c r="AK29">
        <v>2162.0614304427736</v>
      </c>
      <c r="AL29">
        <v>2162.0614304427736</v>
      </c>
      <c r="AM29">
        <v>2162.0614304427736</v>
      </c>
      <c r="AN29">
        <v>2162.0614304427736</v>
      </c>
      <c r="AO29">
        <v>3122.3965602673352</v>
      </c>
      <c r="AP29">
        <v>3122.3965602673352</v>
      </c>
      <c r="AQ29">
        <v>3386.7089813199668</v>
      </c>
      <c r="AR29">
        <v>3915.3338234252292</v>
      </c>
      <c r="AS29">
        <v>3915.3338234252301</v>
      </c>
      <c r="AT29">
        <v>3915.3338234252292</v>
      </c>
      <c r="AU29">
        <v>3915.3338234252301</v>
      </c>
      <c r="AV29">
        <v>3386.7089813199668</v>
      </c>
      <c r="AW29">
        <v>3122.3965602673352</v>
      </c>
      <c r="AX29">
        <v>3122.3965602673352</v>
      </c>
      <c r="AY29">
        <v>3122.3965602673352</v>
      </c>
      <c r="AZ29">
        <v>3122.3965602673352</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s="3" t="s">
        <v>5444</v>
      </c>
      <c r="B30" s="100" t="s">
        <v>2641</v>
      </c>
      <c r="D30" t="s">
        <v>4967</v>
      </c>
      <c r="E30" t="s">
        <v>4968</v>
      </c>
      <c r="F30" t="s">
        <v>4973</v>
      </c>
      <c r="G30" t="s">
        <v>4983</v>
      </c>
      <c r="H30" t="s">
        <v>4984</v>
      </c>
      <c r="I30" t="s">
        <v>257</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s="3" t="s">
        <v>5444</v>
      </c>
      <c r="B31" s="100" t="s">
        <v>2642</v>
      </c>
      <c r="D31" t="s">
        <v>4967</v>
      </c>
      <c r="E31" t="s">
        <v>4968</v>
      </c>
      <c r="F31" t="s">
        <v>4973</v>
      </c>
      <c r="G31" t="s">
        <v>4983</v>
      </c>
      <c r="H31" t="s">
        <v>4984</v>
      </c>
      <c r="I31" t="s">
        <v>262</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s="3" t="s">
        <v>5444</v>
      </c>
      <c r="B32" s="100" t="s">
        <v>2643</v>
      </c>
      <c r="D32" t="s">
        <v>4967</v>
      </c>
      <c r="E32" t="s">
        <v>4968</v>
      </c>
      <c r="F32" t="s">
        <v>4973</v>
      </c>
      <c r="G32" t="s">
        <v>4983</v>
      </c>
      <c r="H32" t="s">
        <v>4984</v>
      </c>
      <c r="I32" t="s">
        <v>266</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s="3" t="s">
        <v>5444</v>
      </c>
      <c r="B33" s="100" t="s">
        <v>2644</v>
      </c>
      <c r="D33" t="s">
        <v>4967</v>
      </c>
      <c r="E33" t="s">
        <v>4968</v>
      </c>
      <c r="F33" t="s">
        <v>4973</v>
      </c>
      <c r="G33" t="s">
        <v>4983</v>
      </c>
      <c r="H33" t="s">
        <v>4984</v>
      </c>
      <c r="I33" t="s">
        <v>271</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row>
    <row r="34" spans="1:76">
      <c r="A34" s="3" t="s">
        <v>5444</v>
      </c>
      <c r="B34" s="100" t="s">
        <v>2645</v>
      </c>
      <c r="D34" t="s">
        <v>4967</v>
      </c>
      <c r="E34" t="s">
        <v>4968</v>
      </c>
      <c r="F34" t="s">
        <v>4973</v>
      </c>
      <c r="G34" t="s">
        <v>4983</v>
      </c>
      <c r="H34" t="s">
        <v>4984</v>
      </c>
      <c r="I34" t="s">
        <v>277</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row>
    <row r="35" spans="1:76">
      <c r="A35" s="3" t="s">
        <v>5444</v>
      </c>
      <c r="B35" s="100" t="s">
        <v>2646</v>
      </c>
      <c r="D35" t="s">
        <v>4967</v>
      </c>
      <c r="E35" t="s">
        <v>4968</v>
      </c>
      <c r="F35" t="s">
        <v>4973</v>
      </c>
      <c r="G35" t="s">
        <v>4983</v>
      </c>
      <c r="H35" t="s">
        <v>4984</v>
      </c>
      <c r="I35" t="s">
        <v>281</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s="3" t="s">
        <v>5444</v>
      </c>
      <c r="B36" s="100" t="s">
        <v>2647</v>
      </c>
      <c r="D36" t="s">
        <v>4967</v>
      </c>
      <c r="E36" t="s">
        <v>4968</v>
      </c>
      <c r="F36" t="s">
        <v>4973</v>
      </c>
      <c r="G36" t="s">
        <v>4983</v>
      </c>
      <c r="H36" t="s">
        <v>4984</v>
      </c>
      <c r="I36" t="s">
        <v>286</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row>
    <row r="37" spans="1:76">
      <c r="A37" s="3" t="s">
        <v>5444</v>
      </c>
      <c r="B37" s="100" t="s">
        <v>2648</v>
      </c>
      <c r="D37" t="s">
        <v>4967</v>
      </c>
      <c r="E37" t="s">
        <v>4968</v>
      </c>
      <c r="F37" t="s">
        <v>4973</v>
      </c>
      <c r="G37" t="s">
        <v>4983</v>
      </c>
      <c r="H37" t="s">
        <v>4984</v>
      </c>
      <c r="I37" t="s">
        <v>292</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s="3" t="s">
        <v>5444</v>
      </c>
      <c r="B38" s="100" t="s">
        <v>2649</v>
      </c>
      <c r="D38" t="s">
        <v>4967</v>
      </c>
      <c r="E38" t="s">
        <v>4968</v>
      </c>
      <c r="F38" t="s">
        <v>4973</v>
      </c>
      <c r="G38" t="s">
        <v>4983</v>
      </c>
      <c r="H38" t="s">
        <v>4984</v>
      </c>
      <c r="I38" t="s">
        <v>296</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row>
    <row r="39" spans="1:76">
      <c r="A39" s="3" t="s">
        <v>5444</v>
      </c>
      <c r="B39" s="100" t="s">
        <v>2650</v>
      </c>
      <c r="D39" t="s">
        <v>4967</v>
      </c>
      <c r="E39" t="s">
        <v>4968</v>
      </c>
      <c r="F39" t="s">
        <v>4973</v>
      </c>
      <c r="G39" t="s">
        <v>4983</v>
      </c>
      <c r="H39" t="s">
        <v>4984</v>
      </c>
      <c r="I39" t="s">
        <v>301</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s="3" t="s">
        <v>5444</v>
      </c>
      <c r="B40" s="100" t="s">
        <v>16</v>
      </c>
      <c r="D40" t="s">
        <v>4967</v>
      </c>
      <c r="E40" t="s">
        <v>4968</v>
      </c>
      <c r="F40" t="s">
        <v>4973</v>
      </c>
      <c r="G40" t="s">
        <v>4983</v>
      </c>
      <c r="H40" t="s">
        <v>4984</v>
      </c>
      <c r="I40" t="s">
        <v>309</v>
      </c>
      <c r="M40">
        <v>4.2444823690559463</v>
      </c>
      <c r="N40">
        <v>0</v>
      </c>
      <c r="O40">
        <v>0</v>
      </c>
      <c r="P40">
        <v>18650.549029574715</v>
      </c>
      <c r="Q40">
        <v>45777.717950553837</v>
      </c>
      <c r="R40">
        <v>0</v>
      </c>
      <c r="S40">
        <v>0</v>
      </c>
      <c r="T40">
        <v>0</v>
      </c>
      <c r="U40">
        <v>300.635405781391</v>
      </c>
      <c r="V40">
        <v>27611.258921390065</v>
      </c>
      <c r="W40">
        <v>0</v>
      </c>
      <c r="X40">
        <v>0</v>
      </c>
      <c r="Y40">
        <v>74626.516318053647</v>
      </c>
      <c r="Z40">
        <v>82643.69239732351</v>
      </c>
      <c r="AA40">
        <v>98102.648805814926</v>
      </c>
      <c r="AB40">
        <v>179012.84490818772</v>
      </c>
      <c r="AC40">
        <v>127237.17285493251</v>
      </c>
      <c r="AD40">
        <v>128511.20790983204</v>
      </c>
      <c r="AE40">
        <v>127783.96385821652</v>
      </c>
      <c r="AF40">
        <v>127057.30966266665</v>
      </c>
      <c r="AG40">
        <v>169543.40492005221</v>
      </c>
      <c r="AH40">
        <v>202043.55090424235</v>
      </c>
      <c r="AI40">
        <v>229310.97386471936</v>
      </c>
      <c r="AJ40">
        <v>254112.77583899305</v>
      </c>
      <c r="AK40">
        <v>230945.21385564309</v>
      </c>
      <c r="AL40">
        <v>242263.83252449846</v>
      </c>
      <c r="AM40">
        <v>266608.71945110691</v>
      </c>
      <c r="AN40">
        <v>266608.71945110691</v>
      </c>
      <c r="AO40">
        <v>260110.60931375143</v>
      </c>
      <c r="AP40">
        <v>260804.52728195832</v>
      </c>
      <c r="AQ40">
        <v>254513.65140442961</v>
      </c>
      <c r="AR40">
        <v>249909.93593043074</v>
      </c>
      <c r="AS40">
        <v>316127.07653085241</v>
      </c>
      <c r="AT40">
        <v>288358.43927261321</v>
      </c>
      <c r="AU40">
        <v>312555.74693406915</v>
      </c>
      <c r="AV40">
        <v>312555.74693406915</v>
      </c>
      <c r="AW40">
        <v>311715.84931294975</v>
      </c>
      <c r="AX40">
        <v>300112.01075702888</v>
      </c>
      <c r="AY40">
        <v>296590.47156115604</v>
      </c>
      <c r="AZ40">
        <v>219339.44076562513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s="3" t="s">
        <v>5444</v>
      </c>
      <c r="B41" s="100" t="s">
        <v>17</v>
      </c>
      <c r="D41" t="s">
        <v>4967</v>
      </c>
      <c r="E41" t="s">
        <v>4968</v>
      </c>
      <c r="F41" t="s">
        <v>4973</v>
      </c>
      <c r="G41" t="s">
        <v>4983</v>
      </c>
      <c r="H41" t="s">
        <v>4984</v>
      </c>
      <c r="I41" t="s">
        <v>313</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s="3" t="s">
        <v>5444</v>
      </c>
      <c r="B42" s="100" t="s">
        <v>18</v>
      </c>
      <c r="D42" t="s">
        <v>4967</v>
      </c>
      <c r="E42" t="s">
        <v>4968</v>
      </c>
      <c r="F42" t="s">
        <v>4973</v>
      </c>
      <c r="G42" t="s">
        <v>4983</v>
      </c>
      <c r="H42" t="s">
        <v>4984</v>
      </c>
      <c r="I42" t="s">
        <v>317</v>
      </c>
      <c r="M42">
        <v>0.30434782608695654</v>
      </c>
      <c r="N42">
        <v>0</v>
      </c>
      <c r="O42">
        <v>0</v>
      </c>
      <c r="P42">
        <v>0</v>
      </c>
      <c r="Q42">
        <v>0</v>
      </c>
      <c r="R42">
        <v>662.61847827245197</v>
      </c>
      <c r="S42">
        <v>208.46779895213393</v>
      </c>
      <c r="T42">
        <v>0</v>
      </c>
      <c r="U42">
        <v>0</v>
      </c>
      <c r="V42">
        <v>3378.2608695652175</v>
      </c>
      <c r="W42">
        <v>0</v>
      </c>
      <c r="X42">
        <v>5492.8871210552379</v>
      </c>
      <c r="Y42">
        <v>10432.941479056271</v>
      </c>
      <c r="Z42">
        <v>10536.337585979027</v>
      </c>
      <c r="AA42">
        <v>14687.650779117357</v>
      </c>
      <c r="AB42">
        <v>27023.150280749196</v>
      </c>
      <c r="AC42">
        <v>24553.577623760921</v>
      </c>
      <c r="AD42">
        <v>24578.171928721116</v>
      </c>
      <c r="AE42">
        <v>24345.885396827831</v>
      </c>
      <c r="AF42">
        <v>24434.168728876946</v>
      </c>
      <c r="AG42">
        <v>29167.534202921594</v>
      </c>
      <c r="AH42">
        <v>33062.545737954897</v>
      </c>
      <c r="AI42">
        <v>37169.523313471575</v>
      </c>
      <c r="AJ42">
        <v>41113.835605919594</v>
      </c>
      <c r="AK42">
        <v>40614.419562349023</v>
      </c>
      <c r="AL42">
        <v>31996.371776858054</v>
      </c>
      <c r="AM42">
        <v>31755.249658662819</v>
      </c>
      <c r="AN42">
        <v>31755.249658662819</v>
      </c>
      <c r="AO42">
        <v>30774.978748848145</v>
      </c>
      <c r="AP42">
        <v>33715.791478292173</v>
      </c>
      <c r="AQ42">
        <v>35882.547725589429</v>
      </c>
      <c r="AR42">
        <v>35877.005773386714</v>
      </c>
      <c r="AS42">
        <v>40007.998475115113</v>
      </c>
      <c r="AT42">
        <v>42706.574087573652</v>
      </c>
      <c r="AU42">
        <v>40007.998475115113</v>
      </c>
      <c r="AV42">
        <v>40007.998475115113</v>
      </c>
      <c r="AW42">
        <v>39027.727565300447</v>
      </c>
      <c r="AX42">
        <v>44125.136296336757</v>
      </c>
      <c r="AY42">
        <v>44132.987395290591</v>
      </c>
      <c r="AZ42">
        <v>33462.351188167617</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s="3" t="s">
        <v>5444</v>
      </c>
      <c r="B43" s="100" t="s">
        <v>19</v>
      </c>
      <c r="D43" t="s">
        <v>4967</v>
      </c>
      <c r="E43" t="s">
        <v>4968</v>
      </c>
      <c r="F43" t="s">
        <v>4973</v>
      </c>
      <c r="G43" t="s">
        <v>4983</v>
      </c>
      <c r="H43" t="s">
        <v>4984</v>
      </c>
      <c r="I43" t="s">
        <v>321</v>
      </c>
      <c r="M43">
        <v>0.34999999999999992</v>
      </c>
      <c r="N43">
        <v>0</v>
      </c>
      <c r="O43">
        <v>0</v>
      </c>
      <c r="P43">
        <v>964.13455629747557</v>
      </c>
      <c r="Q43">
        <v>2366.4654437025233</v>
      </c>
      <c r="R43">
        <v>0</v>
      </c>
      <c r="S43">
        <v>0</v>
      </c>
      <c r="T43">
        <v>0</v>
      </c>
      <c r="U43">
        <v>0</v>
      </c>
      <c r="V43">
        <v>603.39999999999986</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s="3" t="s">
        <v>5444</v>
      </c>
      <c r="B44" s="100" t="s">
        <v>20</v>
      </c>
      <c r="D44" t="s">
        <v>4967</v>
      </c>
      <c r="E44" t="s">
        <v>4968</v>
      </c>
      <c r="F44" t="s">
        <v>4973</v>
      </c>
      <c r="G44" t="s">
        <v>4983</v>
      </c>
      <c r="H44" t="s">
        <v>4984</v>
      </c>
      <c r="I44" t="s">
        <v>325</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s="3" t="s">
        <v>5444</v>
      </c>
      <c r="B45" s="100" t="s">
        <v>21</v>
      </c>
      <c r="D45" t="s">
        <v>4967</v>
      </c>
      <c r="E45" t="s">
        <v>4968</v>
      </c>
      <c r="F45" t="s">
        <v>4973</v>
      </c>
      <c r="G45" t="s">
        <v>4983</v>
      </c>
      <c r="H45" t="s">
        <v>4984</v>
      </c>
      <c r="I45" t="s">
        <v>329</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s="3" t="s">
        <v>5444</v>
      </c>
      <c r="B46" s="100" t="s">
        <v>22</v>
      </c>
      <c r="D46" t="s">
        <v>4967</v>
      </c>
      <c r="E46" t="s">
        <v>4968</v>
      </c>
      <c r="F46" t="s">
        <v>4973</v>
      </c>
      <c r="G46" t="s">
        <v>4983</v>
      </c>
      <c r="H46" t="s">
        <v>4984</v>
      </c>
      <c r="I46" t="s">
        <v>333</v>
      </c>
      <c r="M46">
        <v>0.11666666666666667</v>
      </c>
      <c r="N46">
        <v>0</v>
      </c>
      <c r="O46">
        <v>0</v>
      </c>
      <c r="P46">
        <v>319.14920684500305</v>
      </c>
      <c r="Q46">
        <v>783.35079315499695</v>
      </c>
      <c r="R46">
        <v>1940.5272396182443</v>
      </c>
      <c r="S46">
        <v>2076.964850378241</v>
      </c>
      <c r="T46">
        <v>2408.8579100035149</v>
      </c>
      <c r="U46">
        <v>0</v>
      </c>
      <c r="V46">
        <v>0</v>
      </c>
      <c r="W46">
        <v>0</v>
      </c>
      <c r="X46">
        <v>4.6992431866149866</v>
      </c>
      <c r="Y46">
        <v>10.718752849891741</v>
      </c>
      <c r="Z46">
        <v>5.0477648585497157</v>
      </c>
      <c r="AA46">
        <v>0.41614189037006599</v>
      </c>
      <c r="AB46">
        <v>1.6167222912126984</v>
      </c>
      <c r="AC46">
        <v>0</v>
      </c>
      <c r="AD46">
        <v>0</v>
      </c>
      <c r="AE46">
        <v>0</v>
      </c>
      <c r="AF46">
        <v>0</v>
      </c>
      <c r="AG46">
        <v>0</v>
      </c>
      <c r="AH46">
        <v>0</v>
      </c>
      <c r="AI46">
        <v>0</v>
      </c>
      <c r="AJ46">
        <v>0</v>
      </c>
      <c r="AK46">
        <v>0</v>
      </c>
      <c r="AL46">
        <v>3.3857198281646363</v>
      </c>
      <c r="AM46">
        <v>14.143616414550145</v>
      </c>
      <c r="AN46">
        <v>14.143616414550145</v>
      </c>
      <c r="AO46">
        <v>14.143616414550145</v>
      </c>
      <c r="AP46">
        <v>11.186736722743397</v>
      </c>
      <c r="AQ46">
        <v>7.9396693511121059</v>
      </c>
      <c r="AR46">
        <v>7.8619066395251318</v>
      </c>
      <c r="AS46">
        <v>10.824476285838253</v>
      </c>
      <c r="AT46">
        <v>8.5560810893014754</v>
      </c>
      <c r="AU46">
        <v>9.3071550841413924</v>
      </c>
      <c r="AV46">
        <v>9.3071550841413924</v>
      </c>
      <c r="AW46">
        <v>9.9330500798413599</v>
      </c>
      <c r="AX46">
        <v>4.0344639082448088</v>
      </c>
      <c r="AY46">
        <v>2.9704424155548939</v>
      </c>
      <c r="AZ46">
        <v>1.0301679288850321</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row>
    <row r="47" spans="1:76">
      <c r="A47" s="3" t="s">
        <v>5444</v>
      </c>
      <c r="B47" s="100" t="s">
        <v>23</v>
      </c>
      <c r="D47" t="s">
        <v>4967</v>
      </c>
      <c r="E47" t="s">
        <v>4968</v>
      </c>
      <c r="F47" t="s">
        <v>4973</v>
      </c>
      <c r="G47" t="s">
        <v>4983</v>
      </c>
      <c r="H47" t="s">
        <v>4984</v>
      </c>
      <c r="I47" t="s">
        <v>337</v>
      </c>
      <c r="M47">
        <v>0.35000000000000003</v>
      </c>
      <c r="N47">
        <v>0</v>
      </c>
      <c r="O47">
        <v>0</v>
      </c>
      <c r="P47">
        <v>174.46823307526833</v>
      </c>
      <c r="Q47">
        <v>428.23176692473169</v>
      </c>
      <c r="R47">
        <v>2301.9948437990115</v>
      </c>
      <c r="S47">
        <v>97.538847821662429</v>
      </c>
      <c r="T47">
        <v>0</v>
      </c>
      <c r="U47">
        <v>0</v>
      </c>
      <c r="V47">
        <v>5183.8500000000004</v>
      </c>
      <c r="W47">
        <v>0</v>
      </c>
      <c r="X47">
        <v>0</v>
      </c>
      <c r="Y47">
        <v>14759.712867310151</v>
      </c>
      <c r="Z47">
        <v>16505.299910252874</v>
      </c>
      <c r="AA47">
        <v>21671.085442952208</v>
      </c>
      <c r="AB47">
        <v>36874.174416295034</v>
      </c>
      <c r="AC47">
        <v>34119.550237955154</v>
      </c>
      <c r="AD47">
        <v>35329.75789091672</v>
      </c>
      <c r="AE47">
        <v>34923.28973805048</v>
      </c>
      <c r="AF47">
        <v>33935.104054710653</v>
      </c>
      <c r="AG47">
        <v>39147.76908453842</v>
      </c>
      <c r="AH47">
        <v>43858.344212715878</v>
      </c>
      <c r="AI47">
        <v>48934.144050050963</v>
      </c>
      <c r="AJ47">
        <v>54093.528446679979</v>
      </c>
      <c r="AK47">
        <v>53219.621918017554</v>
      </c>
      <c r="AL47">
        <v>42893.269688879591</v>
      </c>
      <c r="AM47">
        <v>42672.100506415081</v>
      </c>
      <c r="AN47">
        <v>42672.100506415081</v>
      </c>
      <c r="AO47">
        <v>41458.666801846179</v>
      </c>
      <c r="AP47">
        <v>45098.967915552894</v>
      </c>
      <c r="AQ47">
        <v>47789.143787458786</v>
      </c>
      <c r="AR47">
        <v>47777.895575538256</v>
      </c>
      <c r="AS47">
        <v>52902.437664528974</v>
      </c>
      <c r="AT47">
        <v>56206.316937984149</v>
      </c>
      <c r="AU47">
        <v>52902.437664528974</v>
      </c>
      <c r="AV47">
        <v>52902.437664528974</v>
      </c>
      <c r="AW47">
        <v>51689.003959960071</v>
      </c>
      <c r="AX47">
        <v>57998.859223718362</v>
      </c>
      <c r="AY47">
        <v>58014.794190605782</v>
      </c>
      <c r="AZ47">
        <v>44817.424691599444</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s="3" t="s">
        <v>5444</v>
      </c>
      <c r="B48" s="100" t="s">
        <v>24</v>
      </c>
      <c r="D48" t="s">
        <v>4967</v>
      </c>
      <c r="E48" t="s">
        <v>4968</v>
      </c>
      <c r="F48" t="s">
        <v>4973</v>
      </c>
      <c r="G48" t="s">
        <v>4983</v>
      </c>
      <c r="H48" t="s">
        <v>4984</v>
      </c>
      <c r="I48" t="s">
        <v>341</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49" spans="1:76">
      <c r="A49" s="3" t="s">
        <v>5444</v>
      </c>
      <c r="B49" s="100" t="s">
        <v>25</v>
      </c>
      <c r="D49" t="s">
        <v>4967</v>
      </c>
      <c r="E49" t="s">
        <v>4968</v>
      </c>
      <c r="F49" t="s">
        <v>4973</v>
      </c>
      <c r="G49" t="s">
        <v>4983</v>
      </c>
      <c r="H49" t="s">
        <v>4984</v>
      </c>
      <c r="I49" t="s">
        <v>345</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s="3" t="s">
        <v>5444</v>
      </c>
      <c r="B50" s="100" t="s">
        <v>26</v>
      </c>
      <c r="D50" t="s">
        <v>4967</v>
      </c>
      <c r="E50" t="s">
        <v>4968</v>
      </c>
      <c r="F50" t="s">
        <v>4973</v>
      </c>
      <c r="G50" t="s">
        <v>4983</v>
      </c>
      <c r="H50" t="s">
        <v>4984</v>
      </c>
      <c r="I50" t="s">
        <v>349</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row>
    <row r="51" spans="1:76">
      <c r="A51" s="3" t="s">
        <v>5444</v>
      </c>
      <c r="B51" s="100" t="s">
        <v>27</v>
      </c>
      <c r="D51" t="s">
        <v>4967</v>
      </c>
      <c r="E51" t="s">
        <v>4968</v>
      </c>
      <c r="F51" t="s">
        <v>4973</v>
      </c>
      <c r="G51" t="s">
        <v>4983</v>
      </c>
      <c r="H51" t="s">
        <v>4984</v>
      </c>
      <c r="I51" t="s">
        <v>353</v>
      </c>
      <c r="M51">
        <v>1.4</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row>
    <row r="52" spans="1:76">
      <c r="A52" s="3" t="s">
        <v>5444</v>
      </c>
      <c r="B52" s="100" t="s">
        <v>28</v>
      </c>
      <c r="D52" t="s">
        <v>4967</v>
      </c>
      <c r="E52" t="s">
        <v>4968</v>
      </c>
      <c r="F52" t="s">
        <v>4973</v>
      </c>
      <c r="G52" t="s">
        <v>4983</v>
      </c>
      <c r="H52" t="s">
        <v>4984</v>
      </c>
      <c r="I52" t="s">
        <v>357</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row>
    <row r="53" spans="1:76">
      <c r="A53" s="3" t="s">
        <v>5444</v>
      </c>
      <c r="B53" s="100" t="s">
        <v>29</v>
      </c>
      <c r="D53" t="s">
        <v>4967</v>
      </c>
      <c r="E53" t="s">
        <v>4968</v>
      </c>
      <c r="F53" t="s">
        <v>4973</v>
      </c>
      <c r="G53" t="s">
        <v>4983</v>
      </c>
      <c r="H53" t="s">
        <v>4984</v>
      </c>
      <c r="I53" t="s">
        <v>361</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row>
    <row r="54" spans="1:76">
      <c r="A54" s="3" t="s">
        <v>5444</v>
      </c>
      <c r="B54" s="100" t="s">
        <v>2655</v>
      </c>
      <c r="D54" t="s">
        <v>4967</v>
      </c>
      <c r="E54" t="s">
        <v>4968</v>
      </c>
      <c r="F54" t="s">
        <v>4973</v>
      </c>
      <c r="G54" t="s">
        <v>4983</v>
      </c>
      <c r="H54" t="s">
        <v>4984</v>
      </c>
      <c r="I54" t="s">
        <v>368</v>
      </c>
      <c r="M54">
        <v>2.5074904306220085</v>
      </c>
      <c r="N54">
        <v>0</v>
      </c>
      <c r="O54">
        <v>0</v>
      </c>
      <c r="P54">
        <v>0</v>
      </c>
      <c r="Q54">
        <v>0</v>
      </c>
      <c r="R54">
        <v>0</v>
      </c>
      <c r="S54">
        <v>0</v>
      </c>
      <c r="T54">
        <v>0</v>
      </c>
      <c r="U54">
        <v>0</v>
      </c>
      <c r="V54">
        <v>0</v>
      </c>
      <c r="W54">
        <v>0</v>
      </c>
      <c r="X54">
        <v>0</v>
      </c>
      <c r="Y54">
        <v>0</v>
      </c>
      <c r="Z54">
        <v>0</v>
      </c>
      <c r="AA54">
        <v>0</v>
      </c>
      <c r="AB54">
        <v>0</v>
      </c>
      <c r="AC54">
        <v>0</v>
      </c>
      <c r="AD54">
        <v>0</v>
      </c>
      <c r="AE54">
        <v>0</v>
      </c>
      <c r="AF54">
        <v>49127.64804904304</v>
      </c>
      <c r="AG54">
        <v>49127.64804904304</v>
      </c>
      <c r="AH54">
        <v>49127.64804904304</v>
      </c>
      <c r="AI54">
        <v>49127.64804904304</v>
      </c>
      <c r="AJ54">
        <v>49127.64804904304</v>
      </c>
      <c r="AK54">
        <v>49127.64804904304</v>
      </c>
      <c r="AL54">
        <v>49127.64804904304</v>
      </c>
      <c r="AM54">
        <v>0</v>
      </c>
      <c r="AN54">
        <v>0</v>
      </c>
      <c r="AO54">
        <v>0</v>
      </c>
      <c r="AP54">
        <v>0</v>
      </c>
      <c r="AQ54">
        <v>49127.64804904304</v>
      </c>
      <c r="AR54">
        <v>49127.64804904304</v>
      </c>
      <c r="AS54">
        <v>49127.64804904304</v>
      </c>
      <c r="AT54">
        <v>49127.64804904304</v>
      </c>
      <c r="AU54">
        <v>49127.64804904304</v>
      </c>
      <c r="AV54">
        <v>49127.64804904304</v>
      </c>
      <c r="AW54">
        <v>49127.64804904304</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row>
    <row r="55" spans="1:76">
      <c r="A55" s="3" t="s">
        <v>5444</v>
      </c>
      <c r="B55" s="100" t="s">
        <v>2656</v>
      </c>
      <c r="D55" t="s">
        <v>4967</v>
      </c>
      <c r="E55" t="s">
        <v>4968</v>
      </c>
      <c r="F55" t="s">
        <v>4973</v>
      </c>
      <c r="G55" t="s">
        <v>4983</v>
      </c>
      <c r="H55" t="s">
        <v>4984</v>
      </c>
      <c r="I55" t="s">
        <v>372</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row>
    <row r="56" spans="1:76">
      <c r="A56" s="3" t="s">
        <v>5444</v>
      </c>
      <c r="B56" s="100" t="s">
        <v>2657</v>
      </c>
      <c r="D56" t="s">
        <v>4967</v>
      </c>
      <c r="E56" t="s">
        <v>4968</v>
      </c>
      <c r="F56" t="s">
        <v>4973</v>
      </c>
      <c r="G56" t="s">
        <v>4983</v>
      </c>
      <c r="H56" t="s">
        <v>4984</v>
      </c>
      <c r="I56" t="s">
        <v>376</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row>
    <row r="57" spans="1:76">
      <c r="A57" s="3" t="s">
        <v>5444</v>
      </c>
      <c r="B57" s="100" t="s">
        <v>2658</v>
      </c>
      <c r="D57" t="s">
        <v>4967</v>
      </c>
      <c r="E57" t="s">
        <v>4968</v>
      </c>
      <c r="F57" t="s">
        <v>4973</v>
      </c>
      <c r="G57" t="s">
        <v>4983</v>
      </c>
      <c r="H57" t="s">
        <v>4984</v>
      </c>
      <c r="I57" t="s">
        <v>380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s="3" t="s">
        <v>5444</v>
      </c>
      <c r="B58" s="100" t="s">
        <v>2659</v>
      </c>
      <c r="D58" t="s">
        <v>4967</v>
      </c>
      <c r="E58" t="s">
        <v>4968</v>
      </c>
      <c r="F58" t="s">
        <v>4973</v>
      </c>
      <c r="G58" t="s">
        <v>4983</v>
      </c>
      <c r="H58" t="s">
        <v>4984</v>
      </c>
      <c r="I58" t="s">
        <v>385</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row>
    <row r="59" spans="1:76">
      <c r="A59" s="3" t="s">
        <v>5444</v>
      </c>
      <c r="B59" s="100" t="s">
        <v>5221</v>
      </c>
      <c r="C59" t="s">
        <v>5292</v>
      </c>
      <c r="D59" t="s">
        <v>4967</v>
      </c>
      <c r="E59" t="s">
        <v>4968</v>
      </c>
      <c r="F59" t="s">
        <v>4973</v>
      </c>
      <c r="G59" t="s">
        <v>4983</v>
      </c>
      <c r="H59" t="s">
        <v>4984</v>
      </c>
      <c r="M59">
        <v>0.19666666666666666</v>
      </c>
      <c r="N59">
        <v>0</v>
      </c>
      <c r="O59">
        <v>0</v>
      </c>
      <c r="P59">
        <v>3093.3725079927281</v>
      </c>
      <c r="Q59">
        <v>4601.2088296450202</v>
      </c>
      <c r="R59">
        <v>6314.7702609068547</v>
      </c>
      <c r="S59">
        <v>9548.9000782290314</v>
      </c>
      <c r="T59">
        <v>8730.6784778689562</v>
      </c>
      <c r="U59">
        <v>8528.3642522881146</v>
      </c>
      <c r="V59">
        <v>8046.7424582350577</v>
      </c>
      <c r="W59">
        <v>7446.8169099408333</v>
      </c>
      <c r="X59">
        <v>7148.7910917342024</v>
      </c>
      <c r="Y59">
        <v>28148.895198532013</v>
      </c>
      <c r="Z59">
        <v>28870.966447319581</v>
      </c>
      <c r="AA59">
        <v>26624.001513816031</v>
      </c>
      <c r="AB59">
        <v>26876.455661693668</v>
      </c>
      <c r="AC59">
        <v>28917.539244625033</v>
      </c>
      <c r="AD59">
        <v>36630.144215339307</v>
      </c>
      <c r="AE59">
        <v>45221.647334673668</v>
      </c>
      <c r="AF59">
        <v>58896.744953514739</v>
      </c>
      <c r="AG59">
        <v>61947.067413293422</v>
      </c>
      <c r="AH59">
        <v>68794.571147925642</v>
      </c>
      <c r="AI59">
        <v>68414.645481344254</v>
      </c>
      <c r="AJ59">
        <v>68356.588196881872</v>
      </c>
      <c r="AK59">
        <v>62947.233049433693</v>
      </c>
      <c r="AL59">
        <v>61733.007315915442</v>
      </c>
      <c r="AM59">
        <v>40273.140080846242</v>
      </c>
      <c r="AN59">
        <v>30180.848291621791</v>
      </c>
      <c r="AO59">
        <v>29325.118593127085</v>
      </c>
      <c r="AP59">
        <v>24924.232627427456</v>
      </c>
      <c r="AQ59">
        <v>37808.626071878098</v>
      </c>
      <c r="AR59">
        <v>46528.457912785998</v>
      </c>
      <c r="AS59">
        <v>60755.404253164532</v>
      </c>
      <c r="AT59">
        <v>61089.986571600602</v>
      </c>
      <c r="AU59">
        <v>61000.436483015263</v>
      </c>
      <c r="AV59">
        <v>60457.063519336843</v>
      </c>
      <c r="AW59">
        <v>59307.736340035786</v>
      </c>
      <c r="AX59">
        <v>50803.288862202862</v>
      </c>
      <c r="AY59">
        <v>28302.248620012033</v>
      </c>
      <c r="AZ59">
        <v>8868.6136419153772</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row>
    <row r="60" spans="1:76">
      <c r="A60" s="3" t="s">
        <v>5444</v>
      </c>
      <c r="B60" s="100" t="s">
        <v>5285</v>
      </c>
      <c r="C60" t="s">
        <v>5294</v>
      </c>
      <c r="D60" t="s">
        <v>4967</v>
      </c>
      <c r="E60" t="s">
        <v>4968</v>
      </c>
      <c r="F60" t="s">
        <v>4973</v>
      </c>
      <c r="G60" t="s">
        <v>4983</v>
      </c>
      <c r="H60" t="s">
        <v>4984</v>
      </c>
      <c r="M60">
        <v>0.29165714285714289</v>
      </c>
      <c r="N60">
        <v>0</v>
      </c>
      <c r="O60">
        <v>0</v>
      </c>
      <c r="P60">
        <v>0</v>
      </c>
      <c r="Q60">
        <v>0</v>
      </c>
      <c r="R60">
        <v>111.3627625129466</v>
      </c>
      <c r="S60">
        <v>131.09599928119474</v>
      </c>
      <c r="T60">
        <v>149.14655692585868</v>
      </c>
      <c r="U60">
        <v>0</v>
      </c>
      <c r="V60">
        <v>444.15242784000014</v>
      </c>
      <c r="W60">
        <v>0</v>
      </c>
      <c r="X60">
        <v>0</v>
      </c>
      <c r="Y60">
        <v>16165.810536447381</v>
      </c>
      <c r="Z60">
        <v>16165.810536447381</v>
      </c>
      <c r="AA60">
        <v>16165.810536447381</v>
      </c>
      <c r="AB60">
        <v>16165.810536447381</v>
      </c>
      <c r="AC60">
        <v>16165.810536447381</v>
      </c>
      <c r="AD60">
        <v>23829.173563360881</v>
      </c>
      <c r="AE60">
        <v>24154.006706218024</v>
      </c>
      <c r="AF60">
        <v>39480.732760045023</v>
      </c>
      <c r="AG60">
        <v>39480.732760045023</v>
      </c>
      <c r="AH60">
        <v>47144.095786958518</v>
      </c>
      <c r="AI60">
        <v>47144.095786958518</v>
      </c>
      <c r="AJ60">
        <v>47144.095786958518</v>
      </c>
      <c r="AK60">
        <v>39480.732760045023</v>
      </c>
      <c r="AL60">
        <v>39480.732760045023</v>
      </c>
      <c r="AM60">
        <v>23209.042310080884</v>
      </c>
      <c r="AN60">
        <v>15545.679283167381</v>
      </c>
      <c r="AO60">
        <v>18611.024493932782</v>
      </c>
      <c r="AP60">
        <v>18611.024493932782</v>
      </c>
      <c r="AQ60">
        <v>26894.518774126282</v>
      </c>
      <c r="AR60">
        <v>34557.881801039781</v>
      </c>
      <c r="AS60">
        <v>49884.607854866765</v>
      </c>
      <c r="AT60">
        <v>49884.607854866765</v>
      </c>
      <c r="AU60">
        <v>49884.607854866765</v>
      </c>
      <c r="AV60">
        <v>49884.607854866765</v>
      </c>
      <c r="AW60">
        <v>49884.607854866765</v>
      </c>
      <c r="AX60">
        <v>42221.244827953276</v>
      </c>
      <c r="AY60">
        <v>23288.128216518624</v>
      </c>
      <c r="AZ60">
        <v>4724.8948336201711</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row>
    <row r="61" spans="1:76">
      <c r="A61" s="3" t="s">
        <v>5444</v>
      </c>
      <c r="B61" s="100" t="s">
        <v>5286</v>
      </c>
      <c r="C61" t="s">
        <v>5295</v>
      </c>
      <c r="D61" t="s">
        <v>4967</v>
      </c>
      <c r="E61" t="s">
        <v>4968</v>
      </c>
      <c r="F61" t="s">
        <v>4973</v>
      </c>
      <c r="G61" t="s">
        <v>4983</v>
      </c>
      <c r="H61" t="s">
        <v>4984</v>
      </c>
      <c r="M61">
        <v>0.56022015615962983</v>
      </c>
      <c r="N61">
        <v>0</v>
      </c>
      <c r="O61">
        <v>0</v>
      </c>
      <c r="P61">
        <v>3637.1108772589755</v>
      </c>
      <c r="Q61">
        <v>8606.6707833274068</v>
      </c>
      <c r="R61">
        <v>3366.0554556518669</v>
      </c>
      <c r="S61">
        <v>4542.8063401793906</v>
      </c>
      <c r="T61">
        <v>5338.508108612069</v>
      </c>
      <c r="U61">
        <v>8534.4067307169753</v>
      </c>
      <c r="V61">
        <v>8425.6533827727599</v>
      </c>
      <c r="W61">
        <v>7658.6403902999828</v>
      </c>
      <c r="X61">
        <v>8725.2460010726918</v>
      </c>
      <c r="Y61">
        <v>63988.612713892246</v>
      </c>
      <c r="Z61">
        <v>69693.843995925301</v>
      </c>
      <c r="AA61">
        <v>69387.701734667717</v>
      </c>
      <c r="AB61">
        <v>77939.980517945034</v>
      </c>
      <c r="AC61">
        <v>63669.617850083378</v>
      </c>
      <c r="AD61">
        <v>78332.72358602655</v>
      </c>
      <c r="AE61">
        <v>160903.69864827459</v>
      </c>
      <c r="AF61">
        <v>199844.8471471651</v>
      </c>
      <c r="AG61">
        <v>201983.99682287709</v>
      </c>
      <c r="AH61">
        <v>221681.97759605706</v>
      </c>
      <c r="AI61">
        <v>215112.65587409487</v>
      </c>
      <c r="AJ61">
        <v>214023.62931896132</v>
      </c>
      <c r="AK61">
        <v>219120.28512739745</v>
      </c>
      <c r="AL61">
        <v>190043.34060551631</v>
      </c>
      <c r="AM61">
        <v>70441.283832531626</v>
      </c>
      <c r="AN61">
        <v>50840.26951206346</v>
      </c>
      <c r="AO61">
        <v>51190.732568129701</v>
      </c>
      <c r="AP61">
        <v>50015.337476939683</v>
      </c>
      <c r="AQ61">
        <v>155271.49224467523</v>
      </c>
      <c r="AR61">
        <v>160916.61905539175</v>
      </c>
      <c r="AS61">
        <v>191356.81594101785</v>
      </c>
      <c r="AT61">
        <v>199649.4678349107</v>
      </c>
      <c r="AU61">
        <v>198257.51042438802</v>
      </c>
      <c r="AV61">
        <v>195713.5267826787</v>
      </c>
      <c r="AW61">
        <v>180472.64219367405</v>
      </c>
      <c r="AX61">
        <v>174580.23767543831</v>
      </c>
      <c r="AY61">
        <v>78151.076169825712</v>
      </c>
      <c r="AZ61">
        <v>31152.877266438994</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s="3" t="s">
        <v>5444</v>
      </c>
      <c r="B62" s="100" t="s">
        <v>5287</v>
      </c>
      <c r="C62" t="s">
        <v>5296</v>
      </c>
      <c r="D62" t="s">
        <v>4967</v>
      </c>
      <c r="E62" t="s">
        <v>4968</v>
      </c>
      <c r="F62" t="s">
        <v>4973</v>
      </c>
      <c r="G62" t="s">
        <v>4983</v>
      </c>
      <c r="H62" t="s">
        <v>4984</v>
      </c>
      <c r="M62">
        <v>1.3484649122807011</v>
      </c>
      <c r="N62">
        <v>0</v>
      </c>
      <c r="O62">
        <v>0</v>
      </c>
      <c r="P62">
        <v>7057.9986331889031</v>
      </c>
      <c r="Q62">
        <v>16685.58046477161</v>
      </c>
      <c r="R62">
        <v>6510.9713592120761</v>
      </c>
      <c r="S62">
        <v>8820.8668331557528</v>
      </c>
      <c r="T62">
        <v>10363.12704338541</v>
      </c>
      <c r="U62">
        <v>16662.745953387988</v>
      </c>
      <c r="V62">
        <v>16511.189156202021</v>
      </c>
      <c r="W62">
        <v>15065.499957668602</v>
      </c>
      <c r="X62">
        <v>17206.66243175331</v>
      </c>
      <c r="Y62">
        <v>39172.408860215393</v>
      </c>
      <c r="Z62">
        <v>79306.238926199265</v>
      </c>
      <c r="AA62">
        <v>78806.474365240152</v>
      </c>
      <c r="AB62">
        <v>95799.72538559392</v>
      </c>
      <c r="AC62">
        <v>96788.400632885794</v>
      </c>
      <c r="AD62">
        <v>96329.747384972186</v>
      </c>
      <c r="AE62">
        <v>222907.85021835499</v>
      </c>
      <c r="AF62">
        <v>223029.58561513177</v>
      </c>
      <c r="AG62">
        <v>227099.20507921575</v>
      </c>
      <c r="AH62">
        <v>236753.50379085887</v>
      </c>
      <c r="AI62">
        <v>223950.477648473</v>
      </c>
      <c r="AJ62">
        <v>221788.54601538662</v>
      </c>
      <c r="AK62">
        <v>232050.57097645791</v>
      </c>
      <c r="AL62">
        <v>201282.56641092204</v>
      </c>
      <c r="AM62">
        <v>81101.539998895547</v>
      </c>
      <c r="AN62">
        <v>77238.655912898103</v>
      </c>
      <c r="AO62">
        <v>77924.847262381983</v>
      </c>
      <c r="AP62">
        <v>75579.337039909136</v>
      </c>
      <c r="AQ62">
        <v>202392.92010487002</v>
      </c>
      <c r="AR62">
        <v>213608.13386878563</v>
      </c>
      <c r="AS62">
        <v>203939.16651443226</v>
      </c>
      <c r="AT62">
        <v>222888.99123045988</v>
      </c>
      <c r="AU62">
        <v>220126.22135873497</v>
      </c>
      <c r="AV62">
        <v>215080.97661693068</v>
      </c>
      <c r="AW62">
        <v>184652.24546876032</v>
      </c>
      <c r="AX62">
        <v>189913.20794886403</v>
      </c>
      <c r="AY62">
        <v>77228.615339229451</v>
      </c>
      <c r="AZ62">
        <v>61848.680181145966</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row>
    <row r="63" spans="1:76">
      <c r="A63" s="3" t="s">
        <v>5444</v>
      </c>
      <c r="B63" s="100" t="s">
        <v>5288</v>
      </c>
      <c r="C63" t="s">
        <v>5297</v>
      </c>
      <c r="D63" t="s">
        <v>4967</v>
      </c>
      <c r="E63" t="s">
        <v>4968</v>
      </c>
      <c r="F63" t="s">
        <v>4973</v>
      </c>
      <c r="G63" t="s">
        <v>4983</v>
      </c>
      <c r="H63" t="s">
        <v>4984</v>
      </c>
      <c r="M63">
        <v>1.6499999999999997</v>
      </c>
      <c r="N63">
        <v>0</v>
      </c>
      <c r="O63">
        <v>0</v>
      </c>
      <c r="P63">
        <v>8636.2630860486788</v>
      </c>
      <c r="Q63">
        <v>20416.703108951315</v>
      </c>
      <c r="R63">
        <v>7966.9130763883031</v>
      </c>
      <c r="S63">
        <v>10793.33258296697</v>
      </c>
      <c r="T63">
        <v>12680.463144321327</v>
      </c>
      <c r="U63">
        <v>20388.762490370998</v>
      </c>
      <c r="V63">
        <v>20203.315532812496</v>
      </c>
      <c r="W63">
        <v>18434.350574320801</v>
      </c>
      <c r="X63">
        <v>21054.30608822767</v>
      </c>
      <c r="Y63">
        <v>47931.892057937992</v>
      </c>
      <c r="Z63">
        <v>97040.192174454947</v>
      </c>
      <c r="AA63">
        <v>96428.673463013038</v>
      </c>
      <c r="AB63">
        <v>117221.84644677327</v>
      </c>
      <c r="AC63">
        <v>118431.60292109822</v>
      </c>
      <c r="AD63">
        <v>117870.38857123612</v>
      </c>
      <c r="AE63">
        <v>255428.07611691393</v>
      </c>
      <c r="AF63">
        <v>255577.03320348874</v>
      </c>
      <c r="AG63">
        <v>260556.67490909409</v>
      </c>
      <c r="AH63">
        <v>272369.80606967368</v>
      </c>
      <c r="AI63">
        <v>256703.84921566292</v>
      </c>
      <c r="AJ63">
        <v>254058.48027643023</v>
      </c>
      <c r="AK63">
        <v>266615.23353827768</v>
      </c>
      <c r="AL63">
        <v>246292.08483912473</v>
      </c>
      <c r="AM63">
        <v>99236.946975392799</v>
      </c>
      <c r="AN63">
        <v>94510.269489127575</v>
      </c>
      <c r="AO63">
        <v>95349.902553612323</v>
      </c>
      <c r="AP63">
        <v>92479.904356525702</v>
      </c>
      <c r="AQ63">
        <v>247650.72871508251</v>
      </c>
      <c r="AR63">
        <v>261373.8167553657</v>
      </c>
      <c r="AS63">
        <v>249542.73684413545</v>
      </c>
      <c r="AT63">
        <v>255405.00000292415</v>
      </c>
      <c r="AU63">
        <v>252024.43722607291</v>
      </c>
      <c r="AV63">
        <v>245851.00716633387</v>
      </c>
      <c r="AW63">
        <v>211182.0980333311</v>
      </c>
      <c r="AX63">
        <v>232380.38325048843</v>
      </c>
      <c r="AY63">
        <v>94497.983706677929</v>
      </c>
      <c r="AZ63">
        <v>75678.885946160735</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row>
    <row r="64" spans="1:76">
      <c r="A64" s="3" t="s">
        <v>5444</v>
      </c>
      <c r="B64" s="100" t="s">
        <v>5289</v>
      </c>
      <c r="C64" t="s">
        <v>5298</v>
      </c>
      <c r="D64" t="s">
        <v>4967</v>
      </c>
      <c r="E64" t="s">
        <v>4968</v>
      </c>
      <c r="F64" t="s">
        <v>4973</v>
      </c>
      <c r="G64" t="s">
        <v>4983</v>
      </c>
      <c r="H64" t="s">
        <v>4984</v>
      </c>
      <c r="M64">
        <v>0.54166666666666663</v>
      </c>
      <c r="N64">
        <v>0</v>
      </c>
      <c r="O64">
        <v>0</v>
      </c>
      <c r="P64">
        <v>192.46608333333333</v>
      </c>
      <c r="Q64">
        <v>216.02533333333338</v>
      </c>
      <c r="R64">
        <v>234.69557007909194</v>
      </c>
      <c r="S64">
        <v>226.31033026693541</v>
      </c>
      <c r="T64">
        <v>235.81589870397261</v>
      </c>
      <c r="U64">
        <v>193.83394495291671</v>
      </c>
      <c r="V64">
        <v>301.13348958333347</v>
      </c>
      <c r="W64">
        <v>272.97227013687757</v>
      </c>
      <c r="X64">
        <v>226.34288819645573</v>
      </c>
      <c r="Y64">
        <v>5334.3452872207499</v>
      </c>
      <c r="Z64">
        <v>17054.476075242437</v>
      </c>
      <c r="AA64">
        <v>17097.106863212215</v>
      </c>
      <c r="AB64">
        <v>16364.034226017216</v>
      </c>
      <c r="AC64">
        <v>18636.417938169379</v>
      </c>
      <c r="AD64">
        <v>21361.457445938708</v>
      </c>
      <c r="AE64">
        <v>62242.854131505846</v>
      </c>
      <c r="AF64">
        <v>63869.517248902295</v>
      </c>
      <c r="AG64">
        <v>65832.042398366379</v>
      </c>
      <c r="AH64">
        <v>68702.456307409026</v>
      </c>
      <c r="AI64">
        <v>67917.841637779115</v>
      </c>
      <c r="AJ64">
        <v>66471.756712942049</v>
      </c>
      <c r="AK64">
        <v>62646.560200219516</v>
      </c>
      <c r="AL64">
        <v>59316.454427277997</v>
      </c>
      <c r="AM64">
        <v>12679.201070075833</v>
      </c>
      <c r="AN64">
        <v>12020.345834150965</v>
      </c>
      <c r="AO64">
        <v>13428.000037019077</v>
      </c>
      <c r="AP64">
        <v>14654.744681897269</v>
      </c>
      <c r="AQ64">
        <v>61084.682406502492</v>
      </c>
      <c r="AR64">
        <v>63263.52658671984</v>
      </c>
      <c r="AS64">
        <v>63274.956985236626</v>
      </c>
      <c r="AT64">
        <v>62858.892282511828</v>
      </c>
      <c r="AU64">
        <v>62513.841311637145</v>
      </c>
      <c r="AV64">
        <v>60334.997131419805</v>
      </c>
      <c r="AW64">
        <v>49080.0676572433</v>
      </c>
      <c r="AX64">
        <v>49528.663826500735</v>
      </c>
      <c r="AY64">
        <v>5344.9805192090662</v>
      </c>
      <c r="AZ64">
        <v>4896.3843499516279</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row>
    <row r="69" spans="1:76">
      <c r="A69" s="3" t="s">
        <v>5444</v>
      </c>
      <c r="B69" s="100" t="s">
        <v>5445</v>
      </c>
      <c r="D69" t="s">
        <v>4967</v>
      </c>
      <c r="E69" t="s">
        <v>4968</v>
      </c>
      <c r="F69" t="s">
        <v>4973</v>
      </c>
      <c r="G69" t="s">
        <v>4983</v>
      </c>
      <c r="H69" t="s">
        <v>4984</v>
      </c>
      <c r="N69" s="80">
        <f>+SUM(N2:N64)</f>
        <v>0</v>
      </c>
      <c r="O69" s="80">
        <f t="shared" ref="O69:BX69" si="0">+SUM(O2:O64)</f>
        <v>0</v>
      </c>
      <c r="P69" s="80">
        <f t="shared" si="0"/>
        <v>55203.998275786682</v>
      </c>
      <c r="Q69" s="80">
        <f t="shared" si="0"/>
        <v>131430.76844552648</v>
      </c>
      <c r="R69" s="80">
        <f t="shared" si="0"/>
        <v>30283.522015254035</v>
      </c>
      <c r="S69" s="80">
        <f t="shared" si="0"/>
        <v>40333.017149159052</v>
      </c>
      <c r="T69" s="80">
        <f t="shared" si="0"/>
        <v>44919.966210833911</v>
      </c>
      <c r="U69" s="80">
        <f t="shared" si="0"/>
        <v>54609.215444165049</v>
      </c>
      <c r="V69" s="80">
        <f t="shared" si="0"/>
        <v>241864.14084224959</v>
      </c>
      <c r="W69" s="80">
        <f t="shared" si="0"/>
        <v>218503.53472731021</v>
      </c>
      <c r="X69" s="80">
        <f t="shared" si="0"/>
        <v>416789.65637278638</v>
      </c>
      <c r="Y69" s="80">
        <f t="shared" si="0"/>
        <v>2306407.9222148955</v>
      </c>
      <c r="Z69" s="80">
        <f t="shared" si="0"/>
        <v>2387040.1095338729</v>
      </c>
      <c r="AA69" s="80">
        <f t="shared" si="0"/>
        <v>2102162.1405916116</v>
      </c>
      <c r="AB69" s="80">
        <f t="shared" si="0"/>
        <v>2188667.9518955597</v>
      </c>
      <c r="AC69" s="80">
        <f t="shared" si="0"/>
        <v>2472405.8975856937</v>
      </c>
      <c r="AD69" s="80">
        <f t="shared" si="0"/>
        <v>2725299.7246697615</v>
      </c>
      <c r="AE69" s="80">
        <f t="shared" si="0"/>
        <v>4195310.0371119557</v>
      </c>
      <c r="AF69" s="80">
        <f t="shared" si="0"/>
        <v>4707581.0072906148</v>
      </c>
      <c r="AG69" s="80">
        <f t="shared" si="0"/>
        <v>4999881.1166743031</v>
      </c>
      <c r="AH69" s="80">
        <f t="shared" si="0"/>
        <v>5286816.7423062222</v>
      </c>
      <c r="AI69" s="80">
        <f t="shared" si="0"/>
        <v>5279989.4680043831</v>
      </c>
      <c r="AJ69" s="80">
        <f t="shared" si="0"/>
        <v>5299367.9301472176</v>
      </c>
      <c r="AK69" s="80">
        <f t="shared" si="0"/>
        <v>5199087.4402483283</v>
      </c>
      <c r="AL69" s="80">
        <f t="shared" si="0"/>
        <v>5015070.1486400831</v>
      </c>
      <c r="AM69" s="80">
        <f t="shared" si="0"/>
        <v>3125451.5652274201</v>
      </c>
      <c r="AN69" s="80">
        <f t="shared" si="0"/>
        <v>2557959.9727783934</v>
      </c>
      <c r="AO69" s="80">
        <f t="shared" si="0"/>
        <v>2314545.8005096237</v>
      </c>
      <c r="AP69" s="80">
        <f t="shared" si="0"/>
        <v>2013089.7190938459</v>
      </c>
      <c r="AQ69" s="80">
        <f t="shared" si="0"/>
        <v>3473709.6407816024</v>
      </c>
      <c r="AR69" s="80">
        <f t="shared" si="0"/>
        <v>3878192.5373343662</v>
      </c>
      <c r="AS69" s="80">
        <f t="shared" si="0"/>
        <v>4460594.3566253958</v>
      </c>
      <c r="AT69" s="80">
        <f t="shared" si="0"/>
        <v>4474357.0746775735</v>
      </c>
      <c r="AU69" s="80">
        <f t="shared" si="0"/>
        <v>4508264.3303048704</v>
      </c>
      <c r="AV69" s="80">
        <f t="shared" si="0"/>
        <v>4430325.3929752288</v>
      </c>
      <c r="AW69" s="80">
        <f t="shared" si="0"/>
        <v>4286670.789580767</v>
      </c>
      <c r="AX69" s="80">
        <f t="shared" si="0"/>
        <v>3782315.8353782585</v>
      </c>
      <c r="AY69" s="80">
        <f t="shared" si="0"/>
        <v>2050339.030981299</v>
      </c>
      <c r="AZ69" s="80">
        <f t="shared" si="0"/>
        <v>1138713.3088516986</v>
      </c>
      <c r="BA69" s="80">
        <f t="shared" si="0"/>
        <v>0</v>
      </c>
      <c r="BB69" s="80">
        <f t="shared" si="0"/>
        <v>0</v>
      </c>
      <c r="BC69" s="80">
        <f t="shared" si="0"/>
        <v>0</v>
      </c>
      <c r="BD69" s="80">
        <f t="shared" si="0"/>
        <v>0</v>
      </c>
      <c r="BE69" s="80">
        <f t="shared" si="0"/>
        <v>0</v>
      </c>
      <c r="BF69" s="80">
        <f t="shared" si="0"/>
        <v>0</v>
      </c>
      <c r="BG69" s="80">
        <f t="shared" si="0"/>
        <v>0</v>
      </c>
      <c r="BH69" s="80">
        <f t="shared" si="0"/>
        <v>0</v>
      </c>
      <c r="BI69" s="80">
        <f t="shared" si="0"/>
        <v>0</v>
      </c>
      <c r="BJ69" s="80">
        <f t="shared" si="0"/>
        <v>0</v>
      </c>
      <c r="BK69" s="80">
        <f t="shared" si="0"/>
        <v>0</v>
      </c>
      <c r="BL69" s="80">
        <f t="shared" si="0"/>
        <v>0</v>
      </c>
      <c r="BM69" s="80">
        <f t="shared" si="0"/>
        <v>0</v>
      </c>
      <c r="BN69" s="80">
        <f t="shared" si="0"/>
        <v>0</v>
      </c>
      <c r="BO69" s="80">
        <f t="shared" si="0"/>
        <v>0</v>
      </c>
      <c r="BP69" s="80">
        <f t="shared" si="0"/>
        <v>0</v>
      </c>
      <c r="BQ69" s="80">
        <f t="shared" si="0"/>
        <v>0</v>
      </c>
      <c r="BR69" s="80">
        <f t="shared" si="0"/>
        <v>0</v>
      </c>
      <c r="BS69" s="80">
        <f t="shared" si="0"/>
        <v>0</v>
      </c>
      <c r="BT69" s="80">
        <f t="shared" si="0"/>
        <v>0</v>
      </c>
      <c r="BU69" s="80">
        <f t="shared" si="0"/>
        <v>0</v>
      </c>
      <c r="BV69" s="80">
        <f t="shared" si="0"/>
        <v>0</v>
      </c>
      <c r="BW69" s="80">
        <f t="shared" si="0"/>
        <v>0</v>
      </c>
      <c r="BX69" s="80">
        <f t="shared" si="0"/>
        <v>0</v>
      </c>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topLeftCell="AT1" workbookViewId="0">
      <selection sqref="A1:BX1"/>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8" width="8.81640625" bestFit="1" customWidth="1"/>
    <col min="19" max="22" width="8.1796875" bestFit="1" customWidth="1"/>
    <col min="23" max="23" width="8.81640625" bestFit="1" customWidth="1"/>
    <col min="24" max="25" width="8.1796875" bestFit="1" customWidth="1"/>
    <col min="26" max="26" width="7.90625" bestFit="1" customWidth="1"/>
    <col min="27" max="27" width="7.81640625" bestFit="1" customWidth="1"/>
    <col min="28" max="29" width="7.90625" bestFit="1" customWidth="1"/>
    <col min="30" max="34" width="8.1796875" bestFit="1" customWidth="1"/>
    <col min="35" max="35" width="8" bestFit="1" customWidth="1"/>
    <col min="36" max="37" width="8.1796875" bestFit="1" customWidth="1"/>
    <col min="38" max="38" width="7.90625" bestFit="1" customWidth="1"/>
    <col min="39" max="39" width="7.81640625" bestFit="1" customWidth="1"/>
    <col min="40" max="41" width="7.90625" bestFit="1" customWidth="1"/>
    <col min="42" max="46" width="8.1796875" bestFit="1" customWidth="1"/>
    <col min="47" max="47" width="8" bestFit="1" customWidth="1"/>
    <col min="48" max="49" width="8.1796875" bestFit="1" customWidth="1"/>
    <col min="50" max="50" width="7.90625" bestFit="1" customWidth="1"/>
    <col min="51" max="51" width="7.6328125" bestFit="1" customWidth="1"/>
    <col min="52" max="52" width="7.90625" bestFit="1" customWidth="1"/>
    <col min="53" max="53" width="7.7265625" bestFit="1" customWidth="1"/>
    <col min="54" max="58" width="8" bestFit="1" customWidth="1"/>
    <col min="59" max="59" width="7.90625" bestFit="1" customWidth="1"/>
    <col min="60" max="61" width="8" bestFit="1" customWidth="1"/>
    <col min="62" max="62" width="7.7265625" bestFit="1" customWidth="1"/>
    <col min="63" max="63" width="7.453125" bestFit="1" customWidth="1"/>
    <col min="64" max="64" width="7.7265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4984</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4984</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4984</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4984</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4984</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4984</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4984</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4984</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4984</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4984</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4984</v>
      </c>
      <c r="N20" s="8">
        <f>+SUMPRODUCT($M$2:$M$18,N2:N18)</f>
        <v>0</v>
      </c>
      <c r="O20" s="8">
        <f t="shared" ref="O20:BX20" si="0">+SUMPRODUCT($M$2:$M$18,O2:O18)</f>
        <v>0</v>
      </c>
      <c r="P20" s="8">
        <f t="shared" si="0"/>
        <v>355.322</v>
      </c>
      <c r="Q20" s="8">
        <f t="shared" si="0"/>
        <v>398.81600000000009</v>
      </c>
      <c r="R20" s="8">
        <f t="shared" si="0"/>
        <v>433.28412937678513</v>
      </c>
      <c r="S20" s="8">
        <f t="shared" si="0"/>
        <v>417.80368664665002</v>
      </c>
      <c r="T20" s="8">
        <f t="shared" si="0"/>
        <v>435.35242837656483</v>
      </c>
      <c r="U20" s="8">
        <f t="shared" si="0"/>
        <v>357.84728299000011</v>
      </c>
      <c r="V20" s="8">
        <f t="shared" si="0"/>
        <v>555.93875000000025</v>
      </c>
      <c r="W20" s="8">
        <f t="shared" si="0"/>
        <v>503.94880640654321</v>
      </c>
      <c r="X20" s="8">
        <f t="shared" si="0"/>
        <v>417.86379359345676</v>
      </c>
      <c r="Y20" s="8">
        <f t="shared" si="0"/>
        <v>9848.0220687152305</v>
      </c>
      <c r="Z20" s="8">
        <f t="shared" si="0"/>
        <v>31485.186600447581</v>
      </c>
      <c r="AA20" s="8">
        <f t="shared" si="0"/>
        <v>31563.889593622553</v>
      </c>
      <c r="AB20" s="8">
        <f t="shared" si="0"/>
        <v>30210.524724954863</v>
      </c>
      <c r="AC20" s="8">
        <f t="shared" si="0"/>
        <v>34405.694655081934</v>
      </c>
      <c r="AD20" s="8">
        <f t="shared" si="0"/>
        <v>39436.536823271461</v>
      </c>
      <c r="AE20" s="8">
        <f t="shared" si="0"/>
        <v>114909.88455047234</v>
      </c>
      <c r="AF20" s="8">
        <f t="shared" si="0"/>
        <v>117912.9549210504</v>
      </c>
      <c r="AG20" s="8">
        <f t="shared" si="0"/>
        <v>121536.07827390716</v>
      </c>
      <c r="AH20" s="8">
        <f t="shared" si="0"/>
        <v>126835.30395213974</v>
      </c>
      <c r="AI20" s="8">
        <f t="shared" si="0"/>
        <v>125386.78456205377</v>
      </c>
      <c r="AJ20" s="8">
        <f t="shared" si="0"/>
        <v>122717.08931620071</v>
      </c>
      <c r="AK20" s="8">
        <f t="shared" si="0"/>
        <v>115655.18806194373</v>
      </c>
      <c r="AL20" s="8">
        <f t="shared" si="0"/>
        <v>109507.30048112862</v>
      </c>
      <c r="AM20" s="8">
        <f t="shared" si="0"/>
        <v>23407.755821678464</v>
      </c>
      <c r="AN20" s="8">
        <f t="shared" si="0"/>
        <v>22191.407693817167</v>
      </c>
      <c r="AO20" s="8">
        <f t="shared" si="0"/>
        <v>24790.153914496761</v>
      </c>
      <c r="AP20" s="8">
        <f t="shared" si="0"/>
        <v>27054.913258887267</v>
      </c>
      <c r="AQ20" s="8">
        <f t="shared" si="0"/>
        <v>112771.72136585077</v>
      </c>
      <c r="AR20" s="8">
        <f t="shared" si="0"/>
        <v>116794.20292932894</v>
      </c>
      <c r="AS20" s="8">
        <f t="shared" si="0"/>
        <v>116815.30520351378</v>
      </c>
      <c r="AT20" s="8">
        <f t="shared" si="0"/>
        <v>116047.18575232953</v>
      </c>
      <c r="AU20" s="8">
        <f t="shared" si="0"/>
        <v>115410.16857533013</v>
      </c>
      <c r="AV20" s="8">
        <f t="shared" si="0"/>
        <v>111387.68701185196</v>
      </c>
      <c r="AW20" s="8">
        <f t="shared" si="0"/>
        <v>90609.355674910708</v>
      </c>
      <c r="AX20" s="8">
        <f t="shared" si="0"/>
        <v>91437.533218155208</v>
      </c>
      <c r="AY20" s="8">
        <f t="shared" si="0"/>
        <v>9867.6563431552004</v>
      </c>
      <c r="AZ20" s="8">
        <f t="shared" si="0"/>
        <v>9039.4787999106975</v>
      </c>
      <c r="BA20" s="8">
        <f t="shared" si="0"/>
        <v>0</v>
      </c>
      <c r="BB20" s="8">
        <f t="shared" si="0"/>
        <v>0</v>
      </c>
      <c r="BC20" s="8">
        <f t="shared" si="0"/>
        <v>0</v>
      </c>
      <c r="BD20" s="8">
        <f t="shared" si="0"/>
        <v>0</v>
      </c>
      <c r="BE20" s="8">
        <f t="shared" si="0"/>
        <v>0</v>
      </c>
      <c r="BF20" s="8">
        <f t="shared" si="0"/>
        <v>0</v>
      </c>
      <c r="BG20" s="8">
        <f t="shared" si="0"/>
        <v>0</v>
      </c>
      <c r="BH20" s="8">
        <f t="shared" si="0"/>
        <v>0</v>
      </c>
      <c r="BI20" s="8">
        <f t="shared" si="0"/>
        <v>0</v>
      </c>
      <c r="BJ20" s="8">
        <f t="shared" si="0"/>
        <v>0</v>
      </c>
      <c r="BK20" s="8">
        <f t="shared" si="0"/>
        <v>0</v>
      </c>
      <c r="BL20" s="8">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E82" sqref="E8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9" width="8.1796875" bestFit="1" customWidth="1"/>
    <col min="20" max="20" width="8.453125" bestFit="1" customWidth="1"/>
    <col min="21" max="22" width="8.1796875" bestFit="1" customWidth="1"/>
    <col min="23" max="23" width="8" bestFit="1" customWidth="1"/>
    <col min="24" max="24" width="12.6328125" bestFit="1" customWidth="1"/>
    <col min="25" max="25" width="8.1796875" bestFit="1" customWidth="1"/>
    <col min="26" max="26" width="7.90625" bestFit="1" customWidth="1"/>
    <col min="27" max="27" width="7.81640625" bestFit="1" customWidth="1"/>
    <col min="28" max="28" width="7.90625" bestFit="1" customWidth="1"/>
    <col min="29" max="38" width="8.81640625" bestFit="1" customWidth="1"/>
    <col min="39" max="39" width="7.81640625" bestFit="1" customWidth="1"/>
    <col min="40" max="41" width="7.90625" bestFit="1" customWidth="1"/>
    <col min="42" max="63" width="8.8164062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4984</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4984</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4984</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4984</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4984</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4984</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4984</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4984</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4984</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4984</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4984</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4984</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4984</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4984</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4984</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4984</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4984</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E82" sqref="E82"/>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4984</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4984</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4984</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4984</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4984</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4984</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4984</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4984</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4984</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4984</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4984</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4984</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4984</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4984</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4984</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4984</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4984</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4984</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BM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E82" sqref="E82"/>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4984</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4984</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4984</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4984</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4984</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4984</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4984</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4984</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4984</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4984</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4984</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4984</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4984</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4984</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4984</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4984</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4984</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4984</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4984</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4984</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4984</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4984</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E82" sqref="E82"/>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4984</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4984</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4984</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4984</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4984</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4984</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4984</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4984</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4984</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4984</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4984</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4984</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4984</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4984</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4984</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4984</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4984</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4984</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4984</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4984</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4984</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4984</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4984</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4984</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4984</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4984</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4984</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4984</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4984</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Gider Miktar</vt:lpstr>
      <vt:lpstr>AKARYAKIT DAĞITIMI</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2024-10-14T12:23:34Z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