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n\Dropbox\Projects\CelTheo\"/>
    </mc:Choice>
  </mc:AlternateContent>
  <xr:revisionPtr revIDLastSave="0" documentId="13_ncr:1_{4EC672D6-48EF-483A-A2C0-8AD5CF6B876A}" xr6:coauthVersionLast="47" xr6:coauthVersionMax="47" xr10:uidLastSave="{00000000-0000-0000-0000-000000000000}"/>
  <bookViews>
    <workbookView xWindow="-98" yWindow="-98" windowWidth="28996" windowHeight="15675" activeTab="2" xr2:uid="{A8312193-2054-4E16-B3AE-F45DE32F156D}"/>
  </bookViews>
  <sheets>
    <sheet name="Peaks" sheetId="2" r:id="rId1"/>
    <sheet name="Observations" sheetId="1" r:id="rId2"/>
    <sheet name="Working" sheetId="7" r:id="rId3"/>
  </sheets>
  <definedNames>
    <definedName name="Bennett">_xlfn.LAMBDA(_xlpm.correction,_xlpm.altitude, _xlpm.correction * (1 / TAN((_xlpm.altitude + 7.31 / (_xlpm.altitude + 4.4)) * PI() / 180) + 0.0013515))</definedName>
    <definedName name="DMS">_xlfn.LAMBDA(_xlpm.x,   _xlfn.LET(     _xlpm.deg, INT(_xlpm.x),     _xlpm.min, INT((ABS(_xlpm.x)-ABS(INT(_xlpm.x)))*60),     _xlpm.sec, ROUND(((ABS(_xlpm.x)-ABS(INT(_xlpm.x)))*60 - _xlpm.min)*60, 2),     TEXT(ABS(_xlpm.deg),"00") &amp; "° " &amp;     TEXT(_xlpm.min,"00") &amp; "' " &amp;     TEXT(_xlpm.sec,"00") &amp; """"   ) )</definedName>
    <definedName name="PressTempCorr">_xlfn.LAMBDA(_xlpm.pressure,_xlpm.temp, _xlpm.pressure / 1010 * 283 / (273 + _xlpm.temp) / 60)</definedName>
    <definedName name="Saemundsson">_xlfn.LAMBDA(_xlpm.correction,_xlpm.altitude, _xlpm.correction * (1.02 / TAN((_xlpm.altitude + 10.3 / (_xlpm.altitude + 5.11)) * PI() / 180) + 0.0019279))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7" l="1" a="1"/>
  <c r="D28" i="7" s="1"/>
  <c r="E22" i="7" a="1"/>
  <c r="E22" i="7" s="1"/>
  <c r="D11" i="7" a="1"/>
  <c r="D11" i="7" s="1"/>
  <c r="C16" i="7"/>
  <c r="C11" i="7"/>
  <c r="F28" i="7"/>
  <c r="C14" i="7"/>
  <c r="G17" i="7" a="1"/>
  <c r="G17" i="7" s="1"/>
  <c r="G26" i="7" a="1"/>
  <c r="G26" i="7" s="1"/>
  <c r="G31" i="7" a="1"/>
  <c r="G31" i="7" s="1"/>
  <c r="C32" i="7"/>
  <c r="F33" i="7" s="1" a="1"/>
  <c r="F33" i="7" s="1"/>
  <c r="H2" i="2"/>
  <c r="H3" i="2"/>
  <c r="H4" i="2"/>
  <c r="H5" i="2"/>
  <c r="H6" i="2"/>
  <c r="H7" i="2"/>
  <c r="H8" i="2"/>
  <c r="G2" i="2"/>
  <c r="G4" i="2"/>
  <c r="G7" i="2"/>
  <c r="G3" i="2"/>
  <c r="G8" i="2"/>
  <c r="G5" i="2"/>
  <c r="G6" i="2"/>
  <c r="C28" i="7"/>
  <c r="C21" i="7" a="1"/>
  <c r="C21" i="7" s="1"/>
  <c r="C9" i="7"/>
  <c r="C23" i="7" l="1"/>
  <c r="D32" i="7" a="1"/>
  <c r="D32" i="7" s="1"/>
  <c r="C22" i="7" a="1"/>
  <c r="C22" i="7" s="1"/>
  <c r="D23" i="7" s="1"/>
  <c r="G16" i="7" a="1"/>
  <c r="G16" i="7" s="1"/>
  <c r="D16" i="7" a="1"/>
  <c r="D16" i="7" s="1"/>
  <c r="C25" i="7" l="1"/>
  <c r="G25" i="7" s="1" a="1"/>
  <c r="G25" i="7" s="1"/>
  <c r="D25" i="7" l="1" a="1"/>
  <c r="D25" i="7" s="1"/>
  <c r="C30" i="7"/>
  <c r="G30" i="7" s="1" a="1"/>
  <c r="G30" i="7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E40" i="1"/>
  <c r="O40" i="1" s="1"/>
  <c r="M40" i="1"/>
  <c r="N40" i="1" s="1" a="1"/>
  <c r="N40" i="1" s="1"/>
  <c r="E39" i="1"/>
  <c r="O39" i="1" s="1"/>
  <c r="T39" i="1" s="1"/>
  <c r="M39" i="1"/>
  <c r="N39" i="1" s="1" a="1"/>
  <c r="N39" i="1" s="1"/>
  <c r="E3" i="1"/>
  <c r="O3" i="1" s="1"/>
  <c r="T3" i="1" s="1"/>
  <c r="E4" i="1"/>
  <c r="O4" i="1" s="1"/>
  <c r="T4" i="1" s="1"/>
  <c r="E5" i="1"/>
  <c r="O5" i="1" s="1"/>
  <c r="E6" i="1"/>
  <c r="O6" i="1" s="1"/>
  <c r="T6" i="1" s="1"/>
  <c r="E7" i="1"/>
  <c r="O7" i="1" s="1"/>
  <c r="T7" i="1" s="1"/>
  <c r="E8" i="1"/>
  <c r="O8" i="1" s="1"/>
  <c r="T8" i="1" s="1"/>
  <c r="E9" i="1"/>
  <c r="O9" i="1" s="1"/>
  <c r="T9" i="1" s="1"/>
  <c r="E10" i="1"/>
  <c r="O10" i="1" s="1"/>
  <c r="T10" i="1" s="1"/>
  <c r="E11" i="1"/>
  <c r="O11" i="1" s="1"/>
  <c r="T11" i="1" s="1"/>
  <c r="E12" i="1"/>
  <c r="O12" i="1" s="1"/>
  <c r="T12" i="1" s="1"/>
  <c r="E13" i="1"/>
  <c r="O13" i="1" s="1"/>
  <c r="T13" i="1" s="1"/>
  <c r="E14" i="1"/>
  <c r="O14" i="1" s="1"/>
  <c r="T14" i="1" s="1"/>
  <c r="E15" i="1"/>
  <c r="O15" i="1" s="1"/>
  <c r="T15" i="1" s="1"/>
  <c r="E16" i="1"/>
  <c r="O16" i="1" s="1"/>
  <c r="T16" i="1" s="1"/>
  <c r="E17" i="1"/>
  <c r="O17" i="1" s="1"/>
  <c r="T17" i="1" s="1"/>
  <c r="E18" i="1"/>
  <c r="O18" i="1" s="1"/>
  <c r="T18" i="1" s="1"/>
  <c r="E19" i="1"/>
  <c r="O19" i="1" s="1"/>
  <c r="T19" i="1" s="1"/>
  <c r="E20" i="1"/>
  <c r="O20" i="1" s="1"/>
  <c r="T20" i="1" s="1"/>
  <c r="E21" i="1"/>
  <c r="O21" i="1" s="1"/>
  <c r="E22" i="1"/>
  <c r="O22" i="1" s="1"/>
  <c r="T22" i="1" s="1"/>
  <c r="E23" i="1"/>
  <c r="O23" i="1" s="1"/>
  <c r="T23" i="1" s="1"/>
  <c r="E24" i="1"/>
  <c r="O24" i="1" s="1"/>
  <c r="T24" i="1" s="1"/>
  <c r="E25" i="1"/>
  <c r="O25" i="1" s="1"/>
  <c r="T25" i="1" s="1"/>
  <c r="E26" i="1"/>
  <c r="O26" i="1" s="1"/>
  <c r="T26" i="1" s="1"/>
  <c r="E27" i="1"/>
  <c r="O27" i="1" s="1"/>
  <c r="T27" i="1" s="1"/>
  <c r="E28" i="1"/>
  <c r="O28" i="1" s="1"/>
  <c r="T28" i="1" s="1"/>
  <c r="E29" i="1"/>
  <c r="O29" i="1" s="1"/>
  <c r="T29" i="1" s="1"/>
  <c r="E30" i="1"/>
  <c r="O30" i="1" s="1"/>
  <c r="T30" i="1" s="1"/>
  <c r="E31" i="1"/>
  <c r="O31" i="1" s="1"/>
  <c r="T31" i="1" s="1"/>
  <c r="E32" i="1"/>
  <c r="O32" i="1" s="1"/>
  <c r="E33" i="1"/>
  <c r="O33" i="1" s="1"/>
  <c r="T33" i="1" s="1"/>
  <c r="E34" i="1"/>
  <c r="O34" i="1" s="1"/>
  <c r="T34" i="1" s="1"/>
  <c r="E35" i="1"/>
  <c r="O35" i="1" s="1"/>
  <c r="T35" i="1" s="1"/>
  <c r="E36" i="1"/>
  <c r="O36" i="1" s="1"/>
  <c r="E37" i="1"/>
  <c r="O37" i="1" s="1"/>
  <c r="E38" i="1"/>
  <c r="O38" i="1" s="1"/>
  <c r="E2" i="1"/>
  <c r="O2" i="1" s="1"/>
  <c r="T2" i="1" s="1"/>
  <c r="M38" i="1"/>
  <c r="N38" i="1" s="1" a="1"/>
  <c r="N38" i="1" s="1"/>
  <c r="M37" i="1"/>
  <c r="N37" i="1" s="1" a="1"/>
  <c r="N37" i="1" s="1"/>
  <c r="M36" i="1"/>
  <c r="N36" i="1" s="1" a="1"/>
  <c r="N36" i="1" s="1"/>
  <c r="M2" i="1"/>
  <c r="M3" i="1"/>
  <c r="N3" i="1" s="1" a="1"/>
  <c r="N3" i="1" s="1"/>
  <c r="M4" i="1"/>
  <c r="N4" i="1" s="1" a="1"/>
  <c r="N4" i="1" s="1"/>
  <c r="M5" i="1"/>
  <c r="N5" i="1" s="1" a="1"/>
  <c r="N5" i="1" s="1"/>
  <c r="M6" i="1"/>
  <c r="N6" i="1" s="1" a="1"/>
  <c r="N6" i="1" s="1"/>
  <c r="M7" i="1"/>
  <c r="N7" i="1" s="1" a="1"/>
  <c r="N7" i="1" s="1"/>
  <c r="M8" i="1"/>
  <c r="N8" i="1" s="1" a="1"/>
  <c r="N8" i="1" s="1"/>
  <c r="M9" i="1"/>
  <c r="N9" i="1" s="1" a="1"/>
  <c r="N9" i="1" s="1"/>
  <c r="M10" i="1"/>
  <c r="N10" i="1" s="1" a="1"/>
  <c r="N10" i="1" s="1"/>
  <c r="M11" i="1"/>
  <c r="N11" i="1" s="1" a="1"/>
  <c r="N11" i="1" s="1"/>
  <c r="M12" i="1"/>
  <c r="N12" i="1" s="1" a="1"/>
  <c r="N12" i="1" s="1"/>
  <c r="M13" i="1"/>
  <c r="N13" i="1" s="1" a="1"/>
  <c r="N13" i="1" s="1"/>
  <c r="M14" i="1"/>
  <c r="N14" i="1" s="1" a="1"/>
  <c r="N14" i="1" s="1"/>
  <c r="M15" i="1"/>
  <c r="N15" i="1" s="1" a="1"/>
  <c r="N15" i="1" s="1"/>
  <c r="M16" i="1"/>
  <c r="N16" i="1" s="1" a="1"/>
  <c r="N16" i="1" s="1"/>
  <c r="M17" i="1"/>
  <c r="N17" i="1" s="1" a="1"/>
  <c r="N17" i="1" s="1"/>
  <c r="M18" i="1"/>
  <c r="N18" i="1" s="1" a="1"/>
  <c r="N18" i="1" s="1"/>
  <c r="M19" i="1"/>
  <c r="N19" i="1" s="1" a="1"/>
  <c r="N19" i="1" s="1"/>
  <c r="M20" i="1"/>
  <c r="N20" i="1" s="1" a="1"/>
  <c r="N20" i="1" s="1"/>
  <c r="M21" i="1"/>
  <c r="N21" i="1" s="1" a="1"/>
  <c r="N21" i="1" s="1"/>
  <c r="M22" i="1"/>
  <c r="N22" i="1" s="1" a="1"/>
  <c r="N22" i="1" s="1"/>
  <c r="M23" i="1"/>
  <c r="N23" i="1" s="1" a="1"/>
  <c r="N23" i="1" s="1"/>
  <c r="M24" i="1"/>
  <c r="N24" i="1" s="1" a="1"/>
  <c r="N24" i="1" s="1"/>
  <c r="M25" i="1"/>
  <c r="N25" i="1" s="1" a="1"/>
  <c r="N25" i="1" s="1"/>
  <c r="M26" i="1"/>
  <c r="N26" i="1" s="1" a="1"/>
  <c r="N26" i="1" s="1"/>
  <c r="M27" i="1"/>
  <c r="N27" i="1" s="1" a="1"/>
  <c r="N27" i="1" s="1"/>
  <c r="M28" i="1"/>
  <c r="N28" i="1" s="1" a="1"/>
  <c r="N28" i="1" s="1"/>
  <c r="M29" i="1"/>
  <c r="N29" i="1" s="1" a="1"/>
  <c r="N29" i="1" s="1"/>
  <c r="M30" i="1"/>
  <c r="N30" i="1" s="1" a="1"/>
  <c r="N30" i="1" s="1"/>
  <c r="M31" i="1"/>
  <c r="N31" i="1" s="1" a="1"/>
  <c r="N31" i="1" s="1"/>
  <c r="M32" i="1"/>
  <c r="N32" i="1" s="1" a="1"/>
  <c r="N32" i="1" s="1"/>
  <c r="M33" i="1"/>
  <c r="N33" i="1" s="1" a="1"/>
  <c r="N33" i="1" s="1"/>
  <c r="M34" i="1"/>
  <c r="N34" i="1" s="1" a="1"/>
  <c r="N34" i="1" s="1"/>
  <c r="M35" i="1"/>
  <c r="N35" i="1" s="1" a="1"/>
  <c r="N35" i="1" s="1"/>
  <c r="U21" i="1" l="1"/>
  <c r="T21" i="1"/>
  <c r="U5" i="1"/>
  <c r="T5" i="1"/>
  <c r="U36" i="1"/>
  <c r="T36" i="1"/>
  <c r="U40" i="1"/>
  <c r="T40" i="1"/>
  <c r="U37" i="1"/>
  <c r="T37" i="1"/>
  <c r="U32" i="1"/>
  <c r="T32" i="1"/>
  <c r="U38" i="1"/>
  <c r="T38" i="1"/>
  <c r="U39" i="1"/>
  <c r="U33" i="1"/>
  <c r="U31" i="1"/>
  <c r="U20" i="1"/>
  <c r="U17" i="1"/>
  <c r="U16" i="1"/>
  <c r="U15" i="1"/>
  <c r="U30" i="1"/>
  <c r="U14" i="1"/>
  <c r="U29" i="1"/>
  <c r="U13" i="1"/>
  <c r="U4" i="1"/>
  <c r="U35" i="1"/>
  <c r="U19" i="1"/>
  <c r="U3" i="1"/>
  <c r="U34" i="1"/>
  <c r="U18" i="1"/>
  <c r="U28" i="1"/>
  <c r="U12" i="1"/>
  <c r="U27" i="1"/>
  <c r="U11" i="1"/>
  <c r="U26" i="1"/>
  <c r="U10" i="1"/>
  <c r="U25" i="1"/>
  <c r="U9" i="1"/>
  <c r="U24" i="1"/>
  <c r="U8" i="1"/>
  <c r="U2" i="1"/>
  <c r="U23" i="1"/>
  <c r="U7" i="1"/>
  <c r="U22" i="1"/>
  <c r="U6" i="1"/>
  <c r="D30" i="7" a="1"/>
  <c r="D30" i="7" s="1"/>
  <c r="N2" i="1" a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tc={0ACE71F9-98C6-48FE-BEC5-F7E5FC6B9130}</author>
  </authors>
  <commentList>
    <comment ref="S1" authorId="0" shapeId="0" xr:uid="{0ACE71F9-98C6-48FE-BEC5-F7E5FC6B9130}">
      <text>
        <t>[Threaded comment]
Your version of Excel allows you to read this threaded comment; however, any edits to it will get removed if the file is opened in a newer version of Excel. Learn more: https://go.microsoft.com/fwlink/?linkid=870924
Comment:
    793 hPa, 15 C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D77AA-54C3-46D0-B511-9FC831ACDADE}" keepAlive="1" name="Query - Stellarium Script" description="Connection to the 'Stellarium Script' query in the workbook." type="5" refreshedVersion="8" background="1" saveData="1">
    <dbPr connection="Provider=Microsoft.Mashup.OleDb.1;Data Source=$Workbook$;Location=&quot;Stellarium Script&quot;;Extended Properties=&quot;&quot;" command="SELECT * FROM [Stellarium Scrip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<sst xmlns="http://schemas.openxmlformats.org/spreadsheetml/2006/main" count="224" uniqueCount="127">
  <si>
    <t>Date</t>
  </si>
  <si>
    <t>Time</t>
  </si>
  <si>
    <t>Star</t>
  </si>
  <si>
    <t>HD 217533</t>
  </si>
  <si>
    <t>HD 211410</t>
  </si>
  <si>
    <t>HD 217429</t>
  </si>
  <si>
    <t>HD 217721</t>
  </si>
  <si>
    <t>HD 221665</t>
  </si>
  <si>
    <t>HD 223559</t>
  </si>
  <si>
    <t>HD 223774</t>
  </si>
  <si>
    <t>HD 2345</t>
  </si>
  <si>
    <t>TYC 5826-746-1</t>
  </si>
  <si>
    <t>Deg</t>
  </si>
  <si>
    <t>Min</t>
  </si>
  <si>
    <t>Sec</t>
  </si>
  <si>
    <t>Peak</t>
  </si>
  <si>
    <t>Pikes Peak</t>
  </si>
  <si>
    <t>Elevation</t>
  </si>
  <si>
    <t>Lat</t>
  </si>
  <si>
    <t>Lon</t>
  </si>
  <si>
    <t>Blodgett Peak</t>
  </si>
  <si>
    <t>Cheyenne Mountain</t>
  </si>
  <si>
    <t>Blue Mountain</t>
  </si>
  <si>
    <t>Green Mountain</t>
  </si>
  <si>
    <t>HD 216718</t>
  </si>
  <si>
    <t>HD 2324</t>
  </si>
  <si>
    <t>HD 4915</t>
  </si>
  <si>
    <t>HD 7449</t>
  </si>
  <si>
    <t>HD 16733</t>
  </si>
  <si>
    <t>HD 17926</t>
  </si>
  <si>
    <t>HD 22248</t>
  </si>
  <si>
    <t>HD 24267</t>
  </si>
  <si>
    <t>HD 25371</t>
  </si>
  <si>
    <t>Mount Rosa</t>
  </si>
  <si>
    <t>HD 17320</t>
  </si>
  <si>
    <t>HD 18290</t>
  </si>
  <si>
    <t>HD 32515</t>
  </si>
  <si>
    <t>HD 32489</t>
  </si>
  <si>
    <t>DegDecimal</t>
  </si>
  <si>
    <t>HD 28388</t>
  </si>
  <si>
    <t>HD 39891</t>
  </si>
  <si>
    <t>HD 40555</t>
  </si>
  <si>
    <t>First Frame</t>
  </si>
  <si>
    <t>Frame #</t>
  </si>
  <si>
    <t>Interval</t>
  </si>
  <si>
    <t>Greenhorn Mountain</t>
  </si>
  <si>
    <t>HD 35182</t>
  </si>
  <si>
    <t>HD 36889</t>
  </si>
  <si>
    <t>Observer</t>
  </si>
  <si>
    <t>Distance</t>
  </si>
  <si>
    <t>Drop</t>
  </si>
  <si>
    <t>39 Aqr</t>
  </si>
  <si>
    <t>LP Aqr</t>
  </si>
  <si>
    <t>25 Cet</t>
  </si>
  <si>
    <t>DMS</t>
  </si>
  <si>
    <t>Pressure</t>
  </si>
  <si>
    <t>Temp</t>
  </si>
  <si>
    <t>Angle</t>
  </si>
  <si>
    <t>m</t>
  </si>
  <si>
    <t>Target</t>
  </si>
  <si>
    <t>hPa</t>
  </si>
  <si>
    <t>° C</t>
  </si>
  <si>
    <t>Refraction</t>
  </si>
  <si>
    <t>Observed</t>
  </si>
  <si>
    <t>Reverse Engineer</t>
  </si>
  <si>
    <t>Geometric</t>
  </si>
  <si>
    <t>Movement</t>
  </si>
  <si>
    <t>CelTheo</t>
  </si>
  <si>
    <t>(Astronomical)</t>
  </si>
  <si>
    <t>Raw FE</t>
  </si>
  <si>
    <t>deltaHeight</t>
  </si>
  <si>
    <t>102 Aqr</t>
  </si>
  <si>
    <t>pythonEntry</t>
  </si>
  <si>
    <t>HD 13709</t>
  </si>
  <si>
    <t>HD 40248</t>
  </si>
  <si>
    <t>PT Correction</t>
  </si>
  <si>
    <t>Stellarium says</t>
  </si>
  <si>
    <t>celTheo Error</t>
  </si>
  <si>
    <t>Bennett</t>
  </si>
  <si>
    <t>Adjustment</t>
  </si>
  <si>
    <t>(Terrestrial)</t>
  </si>
  <si>
    <t>UTC Offset</t>
  </si>
  <si>
    <t>UTC TimeStamp</t>
  </si>
  <si>
    <t>celTheoTimestamp</t>
  </si>
  <si>
    <t>apparentTimestamp</t>
  </si>
  <si>
    <t>CHECK</t>
  </si>
  <si>
    <t>celTheoAngle</t>
  </si>
  <si>
    <t>apparentAngle</t>
  </si>
  <si>
    <t>2025-02-08T02:06:56</t>
  </si>
  <si>
    <t>2025-02-08T02:20:24</t>
  </si>
  <si>
    <t>2025-02-08T03:52:00</t>
  </si>
  <si>
    <t>2025-02-08T04:15:52</t>
  </si>
  <si>
    <t>2025-02-08T04:28:20</t>
  </si>
  <si>
    <t>2025-02-08T04:39:00</t>
  </si>
  <si>
    <t>2025-03-13T04:32:54</t>
  </si>
  <si>
    <t>2025-03-13T04:34:43</t>
  </si>
  <si>
    <t>2025-03-13T05:28:21</t>
  </si>
  <si>
    <t>2025-03-10T02:01:14</t>
  </si>
  <si>
    <t>2025-03-10T02:28:42</t>
  </si>
  <si>
    <t>2025-03-10T02:39:43</t>
  </si>
  <si>
    <t>2025-03-10T03:22:11</t>
  </si>
  <si>
    <t>2025-03-10T03:38:29</t>
  </si>
  <si>
    <t>2025-03-10T03:49:34</t>
  </si>
  <si>
    <t>2025-03-15T04:02:58</t>
  </si>
  <si>
    <t>2025-03-15T05:29:28</t>
  </si>
  <si>
    <t>2025-03-15T05:33:45</t>
  </si>
  <si>
    <t>2025-03-17T02:40:25</t>
  </si>
  <si>
    <t>2025-03-17T02:50:02</t>
  </si>
  <si>
    <t>2025-03-11T02:51:26</t>
  </si>
  <si>
    <t>2025-03-11T03:00:52</t>
  </si>
  <si>
    <t>2025-01-28T01:43:07</t>
  </si>
  <si>
    <t>2025-01-28T02:31:40</t>
  </si>
  <si>
    <t>2025-01-31T01:31:22</t>
  </si>
  <si>
    <t>2025-01-31T01:36:02</t>
  </si>
  <si>
    <t>2025-01-31T02:19:19</t>
  </si>
  <si>
    <t>2025-01-31T02:21:19</t>
  </si>
  <si>
    <t>2025-01-31T02:52:44</t>
  </si>
  <si>
    <t>2025-01-31T02:58:27</t>
  </si>
  <si>
    <t>2025-01-31T03:08:28</t>
  </si>
  <si>
    <t>2025-01-31T03:10:51</t>
  </si>
  <si>
    <t>2025-01-31T03:45:31</t>
  </si>
  <si>
    <t>2025-02-01T01:27:25</t>
  </si>
  <si>
    <t>2025-02-01T02:13:47</t>
  </si>
  <si>
    <t>2025-02-01T02:15:57</t>
  </si>
  <si>
    <t>2025-02-01T02:54:23</t>
  </si>
  <si>
    <t>2025-02-01T03:04:33</t>
  </si>
  <si>
    <t>2025-02-01T03:06:57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</si>
</sst>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yyyy\-mm\-dd;@"/>
    <numFmt numFmtId="165" formatCode="_-* #,##0.0_-;\-* #,##0.0_-;_-* &quot;-&quot;??_-;_-@_-"/>
    <numFmt numFmtId="166" formatCode="_-* #,##0_-;\-* #,##0_-;_-* &quot;-&quot;??_-;_-@_-"/>
    <numFmt numFmtId="167" formatCode="_-* #,##0.0000_-;\-* #,##0.0000_-;_-* &quot;-&quot;??_-;_-@_-"/>
    <numFmt numFmtId="168" formatCode="hh:mm:ss;@"/>
    <numFmt numFmtId="169" formatCode="0.0000"/>
    <numFmt numFmtId="170" formatCode="0.000000"/>
    <numFmt numFmtId="171" formatCode="0.0"/>
    <numFmt numFmtId="172" formatCode="_-* #,##0.000000_-;\-* #,##0.000000_-;_-* &quot;-&quot;??_-;_-@_-"/>
    <numFmt numFmtId="173" formatCode="_-* #,##0.00000000_-;\-* #,##0.00000000_-;_-* &quot;-&quot;??_-;_-@_-"/>
    <numFmt numFmtId="174" formatCode="0.0000\°"/>
    <numFmt numFmtId="175" formatCode="0_ ;[Red]\-0\ 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theme="3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3" applyNumberFormat="0" applyAlignment="0" applyProtection="0"/>
    <xf numFmtId="0" fontId="6" fillId="4" borderId="4" applyNumberFormat="0" applyAlignment="0" applyProtection="0"/>
    <xf numFmtId="0" fontId="1" fillId="5" borderId="5" applyNumberFormat="0" applyFont="0" applyAlignment="0" applyProtection="0"/>
  </cellStyleXfs>
  <cellXfs count="40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168" fontId="0" fillId="0" borderId="0" xfId="0" applyNumberFormat="1"/>
    <xf numFmtId="0" fontId="7" fillId="0" borderId="0" xfId="0" applyFont="1"/>
    <xf numFmtId="168" fontId="7" fillId="0" borderId="0" xfId="0" applyNumberFormat="1" applyFont="1"/>
    <xf numFmtId="167" fontId="7" fillId="0" borderId="0" xfId="1" applyNumberFormat="1" applyFont="1"/>
    <xf numFmtId="166" fontId="1" fillId="0" borderId="0" xfId="1" applyNumberFormat="1" applyFon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4" fillId="2" borderId="3" xfId="4"/>
    <xf numFmtId="0" fontId="3" fillId="0" borderId="2" xfId="3"/>
    <xf numFmtId="0" fontId="3" fillId="0" borderId="2" xfId="3" applyFill="1"/>
    <xf numFmtId="0" fontId="3" fillId="0" borderId="0" xfId="3" applyFill="1" applyBorder="1"/>
    <xf numFmtId="165" fontId="5" fillId="3" borderId="3" xfId="5" applyNumberFormat="1"/>
    <xf numFmtId="0" fontId="0" fillId="0" borderId="0" xfId="0" applyAlignment="1">
      <alignment horizontal="center"/>
    </xf>
    <xf numFmtId="0" fontId="0" fillId="6" borderId="0" xfId="0" applyFill="1"/>
    <xf numFmtId="0" fontId="7" fillId="0" borderId="0" xfId="0" applyFont="1" applyAlignment="1">
      <alignment horizontal="center"/>
    </xf>
    <xf numFmtId="173" fontId="5" fillId="3" borderId="3" xfId="1" applyNumberFormat="1" applyFont="1" applyFill="1" applyBorder="1"/>
    <xf numFmtId="167" fontId="5" fillId="3" borderId="0" xfId="1" applyNumberFormat="1" applyFont="1" applyFill="1" applyBorder="1"/>
    <xf numFmtId="174" fontId="5" fillId="3" borderId="3" xfId="1" applyNumberFormat="1" applyFont="1" applyFill="1" applyBorder="1"/>
    <xf numFmtId="175" fontId="7" fillId="0" borderId="0" xfId="1" applyNumberFormat="1" applyFont="1"/>
    <xf numFmtId="175" fontId="7" fillId="0" borderId="0" xfId="0" applyNumberFormat="1" applyFont="1"/>
    <xf numFmtId="172" fontId="7" fillId="0" borderId="0" xfId="1" applyNumberFormat="1" applyFont="1"/>
    <xf numFmtId="167" fontId="7" fillId="0" borderId="0" xfId="1" applyNumberFormat="1" applyFont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0" borderId="9" xfId="0" applyFont="1" applyBorder="1" applyAlignment="1">
      <alignment horizontal="center" vertical="center"/>
    </xf>
    <xf numFmtId="174" fontId="11" fillId="4" borderId="4" xfId="6" applyNumberFormat="1" applyFont="1" applyAlignment="1">
      <alignment horizontal="center" vertical="center"/>
    </xf>
    <xf numFmtId="174" fontId="8" fillId="5" borderId="5" xfId="7" applyNumberFormat="1" applyFont="1" applyAlignment="1">
      <alignment horizontal="center" vertical="center"/>
    </xf>
    <xf numFmtId="0" fontId="2" fillId="0" borderId="1" xfId="2" applyAlignment="1">
      <alignment horizontal="center"/>
    </xf>
    <xf numFmtId="174" fontId="9" fillId="5" borderId="5" xfId="7" applyNumberFormat="1" applyFont="1" applyAlignment="1">
      <alignment horizontal="center" vertical="center"/>
    </xf>
    <xf numFmtId="0" fontId="10" fillId="0" borderId="6" xfId="3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74" fontId="8" fillId="5" borderId="7" xfId="1" applyNumberFormat="1" applyFont="1" applyFill="1" applyBorder="1" applyAlignment="1">
      <alignment horizontal="center" vertical="center"/>
    </xf>
    <xf numFmtId="174" fontId="8" fillId="5" borderId="8" xfId="1" applyNumberFormat="1" applyFont="1" applyFill="1" applyBorder="1" applyAlignment="1">
      <alignment horizontal="center" vertical="center"/>
    </xf>
    <xf numFmtId="174" fontId="5" fillId="3" borderId="3" xfId="5" applyNumberFormat="1"/>
  </cellXfs>
  <cellStyles count="8">
    <cellStyle name="Calculation" xfId="5" builtinId="22"/>
    <cellStyle name="Check Cell" xfId="6" builtinId="23"/>
    <cellStyle name="Comma" xfId="1" builtinId="3"/>
    <cellStyle name="Heading 2" xfId="2" builtinId="17"/>
    <cellStyle name="Heading 3" xfId="3" builtinId="18"/>
    <cellStyle name="Input" xfId="4" builtinId="20"/>
    <cellStyle name="Normal" xfId="0" builtinId="0"/>
    <cellStyle name="Note" xfId="7" builtinId="10"/>
  </cellStyles>
  <dxfs count="2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-* #,##0.0000_-;\-* #,##0.0000_-;_-* &quot;-&quot;??_-;_-@_-"/>
      <alignment horizontal="center" vertical="bottom" textRotation="0" wrapText="0" indent="0" justifyLastLine="0" shrinkToFit="0" readingOrder="0"/>
    </dxf>
    <dxf>
      <font>
        <b/>
      </font>
      <numFmt numFmtId="172" formatCode="_-* #,##0.000000_-;\-* #,##0.00000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-* #,##0.0000_-;\-* #,##0.0000_-;_-* &quot;-&quot;??_-;_-@_-"/>
    </dxf>
    <dxf>
      <font>
        <b/>
      </font>
      <numFmt numFmtId="172" formatCode="_-* #,##0.000000_-;\-* #,##0.000000_-;_-* &quot;-&quot;??_-;_-@_-"/>
    </dxf>
    <dxf>
      <font>
        <b/>
      </font>
    </dxf>
    <dxf>
      <numFmt numFmtId="0" formatCode="General"/>
    </dxf>
    <dxf>
      <numFmt numFmtId="0" formatCode="General"/>
    </dxf>
    <dxf>
      <font>
        <b/>
      </font>
      <numFmt numFmtId="167" formatCode="_-* #,##0.0000_-;\-* #,##0.0000_-;_-* &quot;-&quot;??_-;_-@_-"/>
    </dxf>
    <dxf>
      <numFmt numFmtId="165" formatCode="_-* #,##0.0_-;\-* #,##0.0_-;_-* &quot;-&quot;??_-;_-@_-"/>
    </dxf>
    <dxf>
      <numFmt numFmtId="166" formatCode="_-* #,##0_-;\-* #,##0_-;_-* &quot;-&quot;??_-;_-@_-"/>
    </dxf>
    <dxf>
      <numFmt numFmtId="166" formatCode="_-* #,##0_-;\-* #,##0_-;_-* &quot;-&quot;??_-;_-@_-"/>
    </dxf>
    <dxf>
      <font>
        <b val="0"/>
      </font>
      <numFmt numFmtId="166" formatCode="_-* #,##0_-;\-* #,##0_-;_-* &quot;-&quot;??_-;_-@_-"/>
    </dxf>
    <dxf>
      <numFmt numFmtId="26" formatCode="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75" formatCode="0_ ;[Red]\-0\ 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8" formatCode="hh:mm:ss;@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8" formatCode="hh:mm:ss;@"/>
    </dxf>
    <dxf>
      <numFmt numFmtId="164" formatCode="yyyy\-mm\-dd;@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66" formatCode="_-* #,##0_-;\-* #,##0_-;_-* &quot;-&quot;??_-;_-@_-"/>
    </dxf>
    <dxf>
      <numFmt numFmtId="166" formatCode="_-* #,##0_-;\-* #,##0_-;_-* &quot;-&quot;??_-;_-@_-"/>
    </dxf>
    <dxf>
      <numFmt numFmtId="165" formatCode="_-* #,##0.0_-;\-* #,##0.0_-;_-* &quot;-&quot;??_-;_-@_-"/>
    </dxf>
    <dxf>
      <numFmt numFmtId="170" formatCode="0.000000"/>
    </dxf>
    <dxf>
      <numFmt numFmtId="170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lenn Williamson" id="{0399F3EA-6A0F-4E8E-A07B-34B2AF4A6E6F}" userId="2a4e430caf9b325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CBA68-E4E9-4092-9597-9C55BD6A033C}" name="Peaks" displayName="Peaks" ref="A1:H8" totalsRowShown="0">
  <autoFilter ref="A1:H8" xr:uid="{0DFCBA68-E4E9-4092-9597-9C55BD6A033C}"/>
  <sortState xmlns:xlrd2="http://schemas.microsoft.com/office/spreadsheetml/2017/richdata2" ref="A2:H8">
    <sortCondition ref="A1:A8"/>
  </sortState>
  <tableColumns count="8">
    <tableColumn id="1" xr3:uid="{BF92ED0F-B4F0-44EA-A0B1-BEAB9F3832F2}" name="Peak"/>
    <tableColumn id="3" xr3:uid="{22863237-28C8-4236-A8A2-6C9F126C4EC1}" name="Lat" dataDxfId="26"/>
    <tableColumn id="4" xr3:uid="{48542CE3-7135-4AC4-8113-F4819A967762}" name="Lon" dataDxfId="25"/>
    <tableColumn id="5" xr3:uid="{49D7ACA9-BF99-4ED7-9FCA-4E9492382D75}" name="Elevation" dataDxfId="24" dataCellStyle="Comma"/>
    <tableColumn id="6" xr3:uid="{C2895A52-B138-44DD-9C5C-4100D5B783C5}" name="Distance" dataDxfId="23" dataCellStyle="Comma"/>
    <tableColumn id="7" xr3:uid="{42084429-D942-4642-BB3B-73575107549B}" name="Observer"/>
    <tableColumn id="8" xr3:uid="{093248C1-95B8-4A31-B5CD-C1228680C46C}" name="deltaHeight" dataDxfId="22" dataCellStyle="Comma">
      <calculatedColumnFormula>Peaks[[#This Row],[Elevation]] - Peaks[[#This Row],[Observer]]</calculatedColumnFormula>
    </tableColumn>
    <tableColumn id="9" xr3:uid="{26095F36-48E2-4706-849C-42CB91CDF84A}" name="pythonEntry" dataDxfId="21">
      <calculatedColumnFormula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C629D8-9866-49B4-BDCC-E30277FDBF85}" name="Observations" displayName="Observations" ref="A1:U40" totalsRowShown="0" headerRowDxfId="20">
  <autoFilter ref="A1:U40" xr:uid="{7CC629D8-9866-49B4-BDCC-E30277FDBF85}"/>
  <sortState xmlns:xlrd2="http://schemas.microsoft.com/office/spreadsheetml/2017/richdata2" ref="A2:U40">
    <sortCondition ref="O1:O40"/>
  </sortState>
  <tableColumns count="21">
    <tableColumn id="1" xr3:uid="{0AB7CC98-FBCF-4826-A971-E1438A068C06}" name="Date" dataDxfId="19"/>
    <tableColumn id="9" xr3:uid="{F4BF5C9A-A759-4B78-B3C4-6455B4822CBC}" name="First Frame" dataDxfId="18"/>
    <tableColumn id="10" xr3:uid="{64C63E4F-5683-46BD-8645-97734D4EDBFE}" name="Frame #" dataDxfId="17" dataCellStyle="Comma"/>
    <tableColumn id="11" xr3:uid="{E7D7770B-7D13-4474-9422-69FC67B51074}" name="Interval" dataDxfId="16" dataCellStyle="Comma"/>
    <tableColumn id="2" xr3:uid="{4B8AAA82-CCD2-436C-BBD7-86FD2BF86BC9}" name="Time" dataDxfId="15" dataCellStyle="Normal">
      <calculatedColumnFormula>Observations[[#This Row],[First Frame]] + ((Observations[[#This Row],[Frame '#]] * Observations[[#This Row],[Interval]]) / 86400)</calculatedColumnFormula>
    </tableColumn>
    <tableColumn id="17" xr3:uid="{15528E05-FCEB-4E47-B89F-2ED013F6BE2F}" name="UTC Offset" dataDxfId="14"/>
    <tableColumn id="3" xr3:uid="{D1EFB730-1FBE-423A-8140-33A85B4AD8EE}" name="Peak" dataDxfId="13"/>
    <tableColumn id="12" xr3:uid="{C8D7028F-3D79-4023-9992-0357CA328FA4}" name="Distance" dataDxfId="12" dataCellStyle="Comma">
      <calculatedColumnFormula>VLOOKUP(Observations[[#This Row],[Peak]], Peaks[], 5)</calculatedColumnFormula>
    </tableColumn>
    <tableColumn id="4" xr3:uid="{351D12EE-1085-4F4B-94A8-874CC01D524F}" name="Star"/>
    <tableColumn id="5" xr3:uid="{1B68B87A-6935-4BCC-A1AB-3598F5D018EE}" name="Deg" dataDxfId="11" dataCellStyle="Comma"/>
    <tableColumn id="6" xr3:uid="{B88B7CD5-C4CD-454C-945B-5685E46040ED}" name="Min" dataDxfId="10" dataCellStyle="Comma"/>
    <tableColumn id="7" xr3:uid="{B7FC7189-551F-42C5-8A1F-7BE13679527B}" name="Sec" dataDxfId="9" dataCellStyle="Comma"/>
    <tableColumn id="8" xr3:uid="{5CE735E9-BBC8-4F6E-8D20-CB2EF972FA8C}" name="DegDecimal" dataDxfId="8" dataCellStyle="Comma">
      <calculatedColumnFormula>Observations[[#This Row],[Deg]] + (Observations[[#This Row],[Min]] / 60) + (Observations[[#This Row],[Sec]] / 3600)</calculatedColumnFormula>
    </tableColumn>
    <tableColumn id="13" xr3:uid="{A42C2887-CCC1-473B-8A9D-60827A8AA3C3}" name="DMS" dataDxfId="7">
      <calculatedColumnFormula array="1">DMS(Observations[[#This Row],[DegDecimal]])</calculatedColumnFormula>
    </tableColumn>
    <tableColumn id="15" xr3:uid="{906B14FF-0678-40B7-A6B5-060FF76AD9EB}" name="UTC TimeStamp" dataDxfId="6">
      <calculatedColumnFormula>TEXT(Observations[[#This Row],[Date]] + Observations[[#This Row],[Time]] - (Observations[[#This Row],[UTC Offset]] / 24), "YYYY-MM-DDThh:mm:ss")</calculatedColumnFormula>
    </tableColumn>
    <tableColumn id="19" xr3:uid="{AE6D536D-79DD-475E-BC21-E4C8394CDBB3}" name="celTheoTimestamp" dataDxfId="5"/>
    <tableColumn id="16" xr3:uid="{DDA51133-E188-4BBE-A9D7-007D5DF5EE6E}" name="celTheoAngle" dataDxfId="4" dataCellStyle="Comma"/>
    <tableColumn id="20" xr3:uid="{53CFAABA-BF99-47B8-8714-CF7640545DC2}" name="apparentTimestamp" dataDxfId="3" dataCellStyle="Comma"/>
    <tableColumn id="18" xr3:uid="{76355B79-F23D-4453-8369-2B17434AAB0D}" name="apparentAngle" dataDxfId="2" dataCellStyle="Comma"/>
    <tableColumn id="21" xr3:uid="{21ABA03C-10C4-4860-80A4-FFD9F6DB04D0}" name="CHECK" dataDxfId="1" dataCellStyle="Comma">
      <calculatedColumnFormula>IF(AND(Observations[[#This Row],[UTC TimeStamp]] = Observations[[#This Row],[celTheoTimestamp]], Observations[[#This Row],[UTC TimeStamp]] = Observations[[#This Row],[apparentTimestamp]]), "", #VALUE!)</calculatedColumnFormula>
    </tableColumn>
    <tableColumn id="14" xr3:uid="{022B45CE-6431-4867-98A7-0F655CC056D4}" name="pythonEntry" dataDxfId="0">
      <calculatedColumnFormula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5-06-21T09:04:37.79" personId="{0399F3EA-6A0F-4E8E-A07B-34B2AF4A6E6F}" id="{0ACE71F9-98C6-48FE-BEC5-F7E5FC6B9130}">
    <text>793 hPa, 15 C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E834-7118-457C-B2E4-08B660B8D81A}">
  <dimension ref="A1:H8"/>
  <sheetViews>
    <sheetView workbookViewId="0"/>
  </sheetViews>
  <sheetFormatPr defaultRowHeight="14.25" x14ac:dyDescent="0.45"/>
  <cols>
    <col min="1" max="1" width="16.9296875" bestFit="1" customWidth="1"/>
    <col min="2" max="2" width="9.265625" style="11" bestFit="1" customWidth="1"/>
    <col min="3" max="3" width="10.86328125" style="11" bestFit="1" customWidth="1"/>
    <col min="4" max="4" width="10.33203125" bestFit="1" customWidth="1"/>
    <col min="5" max="5" width="9.9296875" style="4" bestFit="1" customWidth="1"/>
    <col min="6" max="6" width="9.9296875" customWidth="1"/>
    <col min="7" max="7" width="12.19921875" bestFit="1" customWidth="1"/>
    <col min="8" max="8" width="125.6640625" bestFit="1" customWidth="1"/>
  </cols>
  <sheetData>
    <row r="1" spans="1:8" x14ac:dyDescent="0.45">
      <c r="A1" t="s">
        <v>15</v>
      </c>
      <c r="B1" s="11" t="s">
        <v>18</v>
      </c>
      <c r="C1" s="11" t="s">
        <v>19</v>
      </c>
      <c r="D1" t="s">
        <v>17</v>
      </c>
      <c r="E1" s="4" t="s">
        <v>49</v>
      </c>
      <c r="F1" t="s">
        <v>48</v>
      </c>
      <c r="G1" t="s">
        <v>70</v>
      </c>
      <c r="H1" s="19" t="s">
        <v>72</v>
      </c>
    </row>
    <row r="2" spans="1:8" x14ac:dyDescent="0.45">
      <c r="A2" t="s">
        <v>20</v>
      </c>
      <c r="B2" s="11">
        <v>38.958888999999999</v>
      </c>
      <c r="C2" s="11">
        <v>-104.907222</v>
      </c>
      <c r="D2" s="3">
        <v>2870</v>
      </c>
      <c r="E2" s="4">
        <v>35910</v>
      </c>
      <c r="F2">
        <v>2075.08</v>
      </c>
      <c r="G2" s="4">
        <f>Peaks[[#This Row],[Elevation]] - Peaks[[#This Row],[Observer]]</f>
        <v>794.92000000000007</v>
      </c>
      <c r="H2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"Blodgett Peak": { "name": "Blodgett Peak", "lat": 38.958889, "lon":-104.907222, "elevation": 2870.0, "distance": 35910, "deltaHeight": 794.92 },</v>
      </c>
    </row>
    <row r="3" spans="1:8" x14ac:dyDescent="0.45">
      <c r="A3" t="s">
        <v>22</v>
      </c>
      <c r="B3" s="11">
        <v>38.693888999999999</v>
      </c>
      <c r="C3" s="11">
        <v>-104.91583300000001</v>
      </c>
      <c r="D3" s="3">
        <v>3000.8</v>
      </c>
      <c r="E3" s="4">
        <v>49770</v>
      </c>
      <c r="F3">
        <v>2075.08</v>
      </c>
      <c r="G3" s="4">
        <f>Peaks[[#This Row],[Elevation]] - Peaks[[#This Row],[Observer]]</f>
        <v>925.72000000000025</v>
      </c>
      <c r="H3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"Blue Mountain": { "name": "Blue Mountain", "lat": 38.693889, "lon":-104.915833, "elevation": 3000.8, "distance": 49770, "deltaHeight": 925.72 },</v>
      </c>
    </row>
    <row r="4" spans="1:8" x14ac:dyDescent="0.45">
      <c r="A4" t="s">
        <v>21</v>
      </c>
      <c r="B4" s="11">
        <v>38.743889000000003</v>
      </c>
      <c r="C4" s="11">
        <v>-104.86277800000001</v>
      </c>
      <c r="D4" s="3">
        <v>2883.1</v>
      </c>
      <c r="E4" s="4">
        <v>42630</v>
      </c>
      <c r="F4">
        <v>2075.08</v>
      </c>
      <c r="G4" s="4">
        <f>Peaks[[#This Row],[Elevation]] - Peaks[[#This Row],[Observer]]</f>
        <v>808.02</v>
      </c>
      <c r="H4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"Cheyenne Mountain": { "name": "Cheyenne Mountain", "lat": 38.743889, "lon":-104.862778, "elevation": 2883.1, "distance": 42630, "deltaHeight": 808.02 },</v>
      </c>
    </row>
    <row r="5" spans="1:8" x14ac:dyDescent="0.45">
      <c r="A5" t="s">
        <v>23</v>
      </c>
      <c r="B5" s="11">
        <v>38.696111000000002</v>
      </c>
      <c r="C5" s="11">
        <v>-104.96333300000001</v>
      </c>
      <c r="D5" s="3">
        <v>3084.9</v>
      </c>
      <c r="E5" s="4">
        <v>52690</v>
      </c>
      <c r="F5">
        <v>2075.08</v>
      </c>
      <c r="G5" s="4">
        <f>Peaks[[#This Row],[Elevation]] - Peaks[[#This Row],[Observer]]</f>
        <v>1009.8200000000002</v>
      </c>
      <c r="H5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"Green Mountain": { "name": "Green Mountain", "lat": 38.696111, "lon":-104.963333, "elevation": 3084.9, "distance": 52690, "deltaHeight": 1009.82 },</v>
      </c>
    </row>
    <row r="6" spans="1:8" x14ac:dyDescent="0.45">
      <c r="A6" t="s">
        <v>45</v>
      </c>
      <c r="B6" s="11">
        <v>37.881388888888893</v>
      </c>
      <c r="C6" s="11">
        <v>-105.01333333333299</v>
      </c>
      <c r="D6" s="3">
        <v>3765</v>
      </c>
      <c r="E6" s="4">
        <v>132200</v>
      </c>
      <c r="F6">
        <v>2072.1799999999998</v>
      </c>
      <c r="G6" s="4">
        <f>Peaks[[#This Row],[Elevation]] - Peaks[[#This Row],[Observer]]</f>
        <v>1692.8200000000002</v>
      </c>
      <c r="H6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"Greenhorn Mountain": { "name": "Greenhorn Mountain", "lat": 37.881389, "lon":-105.013333, "elevation": 3765.0, "distance": 132200, "deltaHeight": 1692.82 },</v>
      </c>
    </row>
    <row r="7" spans="1:8" x14ac:dyDescent="0.45">
      <c r="A7" t="s">
        <v>33</v>
      </c>
      <c r="B7" s="11">
        <v>38.754167000000002</v>
      </c>
      <c r="C7" s="11">
        <v>-104.94805599999999</v>
      </c>
      <c r="D7" s="3">
        <v>3506</v>
      </c>
      <c r="E7" s="4">
        <v>47730</v>
      </c>
      <c r="F7">
        <v>2075.08</v>
      </c>
      <c r="G7" s="4">
        <f>Peaks[[#This Row],[Elevation]] - Peaks[[#This Row],[Observer]]</f>
        <v>1430.92</v>
      </c>
      <c r="H7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"Mount Rosa": { "name": "Mount Rosa", "lat": 38.754167, "lon":-104.948056, "elevation": 3506.0, "distance": 47730, "deltaHeight": 1430.92 },</v>
      </c>
    </row>
    <row r="8" spans="1:8" x14ac:dyDescent="0.45">
      <c r="A8" t="s">
        <v>16</v>
      </c>
      <c r="B8" s="11">
        <v>38.840277999999998</v>
      </c>
      <c r="C8" s="11">
        <v>-105.044444</v>
      </c>
      <c r="D8" s="3">
        <v>4299.8</v>
      </c>
      <c r="E8" s="4">
        <v>50700</v>
      </c>
      <c r="F8">
        <v>2073.6799999999998</v>
      </c>
      <c r="G8" s="4">
        <f>Peaks[[#This Row],[Elevation]] - Peaks[[#This Row],[Observer]]</f>
        <v>2226.1200000000003</v>
      </c>
      <c r="H8" t="str">
        <f>"""" &amp; Peaks[[#This Row],[Peak]] &amp; """: { ""name"": """ &amp; Peaks[[#This Row],[Peak]] &amp; """, ""lat"": " &amp; TEXT(Peaks[[#This Row],[Lat]], "0.000000") &amp; ", ""lon"":" &amp; TEXT(Peaks[[#This Row],[Lon]], "0.000000") &amp; ", ""elevation"": " &amp; TEXT(Peaks[[#This Row],[Elevation]], "0.0") &amp; ", ""distance"": " &amp; Peaks[[#This Row],[Distance]] &amp; ", ""deltaHeight"": " &amp; Peaks[[#This Row],[deltaHeight]] &amp; " },"</f>
        <v>"Pikes Peak": { "name": "Pikes Peak", "lat": 38.840278, "lon":-105.044444, "elevation": 4299.8, "distance": 50700, "deltaHeight": 2226.12 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F8D3-ADC2-4D91-B916-7C6FC08BE831}">
  <dimension ref="A1:U40"/>
  <sheetViews>
    <sheetView topLeftCell="N3" workbookViewId="0">
      <selection activeCell="U2" sqref="U2:U40"/>
    </sheetView>
  </sheetViews>
  <sheetFormatPr defaultRowHeight="14.25" x14ac:dyDescent="0.45"/>
  <cols>
    <col min="1" max="1" width="9.9296875" bestFit="1" customWidth="1"/>
    <col min="2" max="2" width="11.86328125" bestFit="1" customWidth="1"/>
    <col min="3" max="4" width="9.9296875" customWidth="1"/>
    <col min="5" max="5" width="7.796875" bestFit="1" customWidth="1"/>
    <col min="6" max="6" width="11.46484375" bestFit="1" customWidth="1"/>
    <col min="7" max="7" width="16.33203125" bestFit="1" customWidth="1"/>
    <col min="8" max="8" width="9.9296875" bestFit="1" customWidth="1"/>
    <col min="9" max="9" width="19.59765625" bestFit="1" customWidth="1"/>
    <col min="13" max="13" width="12.59765625" bestFit="1" customWidth="1"/>
    <col min="14" max="14" width="11.73046875" bestFit="1" customWidth="1"/>
    <col min="15" max="15" width="18" bestFit="1" customWidth="1"/>
    <col min="16" max="16" width="20.33203125" bestFit="1" customWidth="1"/>
    <col min="17" max="17" width="15.9296875" bestFit="1" customWidth="1"/>
    <col min="18" max="18" width="21.1328125" bestFit="1" customWidth="1"/>
    <col min="19" max="19" width="16.73046875" bestFit="1" customWidth="1"/>
    <col min="20" max="20" width="10.86328125" bestFit="1" customWidth="1"/>
    <col min="21" max="22" width="134.59765625" bestFit="1" customWidth="1"/>
  </cols>
  <sheetData>
    <row r="1" spans="1:21" s="18" customFormat="1" x14ac:dyDescent="0.45">
      <c r="A1" s="18" t="s">
        <v>0</v>
      </c>
      <c r="B1" s="18" t="s">
        <v>42</v>
      </c>
      <c r="C1" s="18" t="s">
        <v>43</v>
      </c>
      <c r="D1" s="18" t="s">
        <v>44</v>
      </c>
      <c r="E1" s="18" t="s">
        <v>1</v>
      </c>
      <c r="F1" s="18" t="s">
        <v>81</v>
      </c>
      <c r="G1" s="18" t="s">
        <v>15</v>
      </c>
      <c r="H1" s="18" t="s">
        <v>49</v>
      </c>
      <c r="I1" s="18" t="s">
        <v>2</v>
      </c>
      <c r="J1" s="18" t="s">
        <v>12</v>
      </c>
      <c r="K1" s="18" t="s">
        <v>13</v>
      </c>
      <c r="L1" s="18" t="s">
        <v>14</v>
      </c>
      <c r="M1" s="18" t="s">
        <v>38</v>
      </c>
      <c r="N1" s="18" t="s">
        <v>54</v>
      </c>
      <c r="O1" s="28" t="s">
        <v>82</v>
      </c>
      <c r="P1" s="28" t="s">
        <v>83</v>
      </c>
      <c r="Q1" s="28" t="s">
        <v>86</v>
      </c>
      <c r="R1" s="28" t="s">
        <v>84</v>
      </c>
      <c r="S1" s="28" t="s">
        <v>87</v>
      </c>
      <c r="T1" s="28" t="s">
        <v>85</v>
      </c>
      <c r="U1" s="29" t="s">
        <v>72</v>
      </c>
    </row>
    <row r="2" spans="1:21" x14ac:dyDescent="0.45">
      <c r="A2" s="2">
        <v>45684</v>
      </c>
      <c r="B2" s="5">
        <v>0.75</v>
      </c>
      <c r="C2" s="4">
        <v>2587</v>
      </c>
      <c r="D2" s="4">
        <v>1</v>
      </c>
      <c r="E2" s="7">
        <f>Observations[[#This Row],[First Frame]] + ((Observations[[#This Row],[Frame '#]] * Observations[[#This Row],[Interval]]) / 86400)</f>
        <v>0.77994212962962961</v>
      </c>
      <c r="F2" s="24">
        <v>-7</v>
      </c>
      <c r="G2" s="1" t="s">
        <v>16</v>
      </c>
      <c r="H2" s="9">
        <f>VLOOKUP(Observations[[#This Row],[Peak]], Peaks[], 5)</f>
        <v>50700</v>
      </c>
      <c r="I2" t="s">
        <v>51</v>
      </c>
      <c r="J2" s="4">
        <v>2</v>
      </c>
      <c r="K2" s="4">
        <v>34</v>
      </c>
      <c r="L2" s="3">
        <v>3</v>
      </c>
      <c r="M2" s="8">
        <f>Observations[[#This Row],[Deg]] + (Observations[[#This Row],[Min]] / 60) + (Observations[[#This Row],[Sec]] / 3600)</f>
        <v>2.5674999999999999</v>
      </c>
      <c r="N2" t="str" cm="1">
        <f t="array" ref="N2">DMS(Observations[[#This Row],[DegDecimal]])</f>
        <v>02° 34' 03"</v>
      </c>
      <c r="O2" t="str">
        <f>TEXT(Observations[[#This Row],[Date]] + Observations[[#This Row],[Time]] - (Observations[[#This Row],[UTC Offset]] / 24), "YYYY-MM-DDThh:mm:ss")</f>
        <v>2025-01-28T01:43:07</v>
      </c>
      <c r="P2" s="6" t="s">
        <v>110</v>
      </c>
      <c r="Q2" s="26">
        <v>2.5568701197798598</v>
      </c>
      <c r="R2" s="8" t="s">
        <v>110</v>
      </c>
      <c r="S2" s="26">
        <v>2.3200124235942998</v>
      </c>
      <c r="T2" s="27" t="str">
        <f>IF(AND(Observations[[#This Row],[UTC TimeStamp]] = Observations[[#This Row],[celTheoTimestamp]], Observations[[#This Row],[UTC TimeStamp]] = Observations[[#This Row],[apparentTimestamp]]), "", #VALUE!)</f>
        <v/>
      </c>
      <c r="U2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"2025-01-28T01:43:07", "peak": "Pikes Peak", "star": "39 Aqr", "recordedAngle": 2.567500, "celTheoAngle": 2.556870, "apparentAngle": 2.320012 },</v>
      </c>
    </row>
    <row r="3" spans="1:21" x14ac:dyDescent="0.45">
      <c r="A3" s="2">
        <v>45684</v>
      </c>
      <c r="B3" s="5">
        <v>0.75</v>
      </c>
      <c r="C3" s="4">
        <v>5500</v>
      </c>
      <c r="D3" s="4">
        <v>1</v>
      </c>
      <c r="E3" s="7">
        <f>Observations[[#This Row],[First Frame]] + ((Observations[[#This Row],[Frame '#]] * Observations[[#This Row],[Interval]]) / 86400)</f>
        <v>0.81365740740740744</v>
      </c>
      <c r="F3" s="25">
        <v>-7</v>
      </c>
      <c r="G3" s="1" t="s">
        <v>16</v>
      </c>
      <c r="H3" s="9">
        <f>VLOOKUP(Observations[[#This Row],[Peak]], Peaks[], 5)</f>
        <v>50700</v>
      </c>
      <c r="I3" t="s">
        <v>3</v>
      </c>
      <c r="J3" s="4">
        <v>2</v>
      </c>
      <c r="K3" s="4">
        <v>34</v>
      </c>
      <c r="L3" s="3">
        <v>23.2</v>
      </c>
      <c r="M3" s="8">
        <f>Observations[[#This Row],[Deg]] + (Observations[[#This Row],[Min]] / 60) + (Observations[[#This Row],[Sec]] / 3600)</f>
        <v>2.5731111111111109</v>
      </c>
      <c r="N3" t="str" cm="1">
        <f t="array" ref="N3">DMS(Observations[[#This Row],[DegDecimal]])</f>
        <v>02° 34' 23"</v>
      </c>
      <c r="O3" t="str">
        <f>TEXT(Observations[[#This Row],[Date]] + Observations[[#This Row],[Time]] - (Observations[[#This Row],[UTC Offset]] / 24), "YYYY-MM-DDThh:mm:ss")</f>
        <v>2025-01-28T02:31:40</v>
      </c>
      <c r="P3" s="6" t="s">
        <v>111</v>
      </c>
      <c r="Q3" s="26">
        <v>2.5633253962365701</v>
      </c>
      <c r="R3" s="8" t="s">
        <v>111</v>
      </c>
      <c r="S3" s="26">
        <v>2.3261448845273698</v>
      </c>
      <c r="T3" s="27" t="str">
        <f>IF(AND(Observations[[#This Row],[UTC TimeStamp]] = Observations[[#This Row],[celTheoTimestamp]], Observations[[#This Row],[UTC TimeStamp]] = Observations[[#This Row],[apparentTimestamp]]), "", #VALUE!)</f>
        <v/>
      </c>
      <c r="U3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"2025-01-28T02:31:40", "peak": "Pikes Peak", "star": "HD 217533", "recordedAngle": 2.573111, "celTheoAngle": 2.563325, "apparentAngle": 2.326145 },</v>
      </c>
    </row>
    <row r="4" spans="1:21" x14ac:dyDescent="0.45">
      <c r="A4" s="2">
        <v>45687</v>
      </c>
      <c r="B4" s="5">
        <v>0.77015046296296297</v>
      </c>
      <c r="C4" s="4">
        <v>141</v>
      </c>
      <c r="D4" s="4">
        <v>1</v>
      </c>
      <c r="E4" s="7">
        <f>Observations[[#This Row],[First Frame]] + ((Observations[[#This Row],[Frame '#]] * Observations[[#This Row],[Interval]]) / 86400)</f>
        <v>0.77178240740740744</v>
      </c>
      <c r="F4" s="25">
        <v>-7</v>
      </c>
      <c r="G4" s="1" t="s">
        <v>16</v>
      </c>
      <c r="H4" s="9">
        <f>VLOOKUP(Observations[[#This Row],[Peak]], Peaks[], 5)</f>
        <v>50700</v>
      </c>
      <c r="I4" t="s">
        <v>51</v>
      </c>
      <c r="J4" s="4">
        <v>2</v>
      </c>
      <c r="K4" s="4">
        <v>33</v>
      </c>
      <c r="L4" s="3">
        <v>25.3</v>
      </c>
      <c r="M4" s="8">
        <f>Observations[[#This Row],[Deg]] + (Observations[[#This Row],[Min]] / 60) + (Observations[[#This Row],[Sec]] / 3600)</f>
        <v>2.5570277777777775</v>
      </c>
      <c r="N4" t="str" cm="1">
        <f t="array" ref="N4">DMS(Observations[[#This Row],[DegDecimal]])</f>
        <v>02° 33' 25"</v>
      </c>
      <c r="O4" t="str">
        <f>TEXT(Observations[[#This Row],[Date]] + Observations[[#This Row],[Time]] - (Observations[[#This Row],[UTC Offset]] / 24), "YYYY-MM-DDThh:mm:ss")</f>
        <v>2025-01-31T01:31:22</v>
      </c>
      <c r="P4" s="6" t="s">
        <v>112</v>
      </c>
      <c r="Q4" s="26">
        <v>2.5485646365310899</v>
      </c>
      <c r="R4" s="8" t="s">
        <v>112</v>
      </c>
      <c r="S4" s="26">
        <v>2.3121219018086601</v>
      </c>
      <c r="T4" s="27" t="str">
        <f>IF(AND(Observations[[#This Row],[UTC TimeStamp]] = Observations[[#This Row],[celTheoTimestamp]], Observations[[#This Row],[UTC TimeStamp]] = Observations[[#This Row],[apparentTimestamp]]), "", #VALUE!)</f>
        <v/>
      </c>
      <c r="U4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"2025-01-31T01:31:22", "peak": "Pikes Peak", "star": "39 Aqr", "recordedAngle": 2.557028, "celTheoAngle": 2.548565, "apparentAngle": 2.312122 },</v>
      </c>
    </row>
    <row r="5" spans="1:21" x14ac:dyDescent="0.45">
      <c r="A5" s="2">
        <v>45687</v>
      </c>
      <c r="B5" s="5">
        <v>0.77015046296296297</v>
      </c>
      <c r="C5" s="4">
        <v>421</v>
      </c>
      <c r="D5" s="4">
        <v>1</v>
      </c>
      <c r="E5" s="7">
        <f>Observations[[#This Row],[First Frame]] + ((Observations[[#This Row],[Frame '#]] * Observations[[#This Row],[Interval]]) / 86400)</f>
        <v>0.7750231481481481</v>
      </c>
      <c r="F5" s="25">
        <v>-7</v>
      </c>
      <c r="G5" s="1" t="s">
        <v>16</v>
      </c>
      <c r="H5" s="9">
        <f>VLOOKUP(Observations[[#This Row],[Peak]], Peaks[], 5)</f>
        <v>50700</v>
      </c>
      <c r="I5" t="s">
        <v>4</v>
      </c>
      <c r="J5" s="4">
        <v>2</v>
      </c>
      <c r="K5" s="4">
        <v>34</v>
      </c>
      <c r="L5" s="3">
        <v>4.5999999999999996</v>
      </c>
      <c r="M5" s="8">
        <f>Observations[[#This Row],[Deg]] + (Observations[[#This Row],[Min]] / 60) + (Observations[[#This Row],[Sec]] / 3600)</f>
        <v>2.5679444444444441</v>
      </c>
      <c r="N5" t="str" cm="1">
        <f t="array" ref="N5">DMS(Observations[[#This Row],[DegDecimal]])</f>
        <v>02° 34' 05"</v>
      </c>
      <c r="O5" t="str">
        <f>TEXT(Observations[[#This Row],[Date]] + Observations[[#This Row],[Time]] - (Observations[[#This Row],[UTC Offset]] / 24), "YYYY-MM-DDThh:mm:ss")</f>
        <v>2025-01-31T01:36:02</v>
      </c>
      <c r="P5" s="6" t="s">
        <v>113</v>
      </c>
      <c r="Q5" s="26">
        <v>2.5577885985898798</v>
      </c>
      <c r="R5" s="8" t="s">
        <v>113</v>
      </c>
      <c r="S5" s="26">
        <v>2.3208851832667601</v>
      </c>
      <c r="T5" s="27" t="str">
        <f>IF(AND(Observations[[#This Row],[UTC TimeStamp]] = Observations[[#This Row],[celTheoTimestamp]], Observations[[#This Row],[UTC TimeStamp]] = Observations[[#This Row],[apparentTimestamp]]), "", #VALUE!)</f>
        <v/>
      </c>
      <c r="U5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"2025-01-31T01:36:02", "peak": "Pikes Peak", "star": "HD 211410", "recordedAngle": 2.567944, "celTheoAngle": 2.557789, "apparentAngle": 2.320885 },</v>
      </c>
    </row>
    <row r="6" spans="1:21" x14ac:dyDescent="0.45">
      <c r="A6" s="2">
        <v>45687</v>
      </c>
      <c r="B6" s="5">
        <v>0.77015046296296297</v>
      </c>
      <c r="C6" s="4">
        <v>3018</v>
      </c>
      <c r="D6" s="4">
        <v>1</v>
      </c>
      <c r="E6" s="7">
        <f>Observations[[#This Row],[First Frame]] + ((Observations[[#This Row],[Frame '#]] * Observations[[#This Row],[Interval]]) / 86400)</f>
        <v>0.80508101851851854</v>
      </c>
      <c r="F6" s="25">
        <v>-7</v>
      </c>
      <c r="G6" s="1" t="s">
        <v>16</v>
      </c>
      <c r="H6" s="9">
        <f>VLOOKUP(Observations[[#This Row],[Peak]], Peaks[], 5)</f>
        <v>50700</v>
      </c>
      <c r="I6" t="s">
        <v>5</v>
      </c>
      <c r="J6" s="4">
        <v>2</v>
      </c>
      <c r="K6" s="4">
        <v>34</v>
      </c>
      <c r="L6" s="3">
        <v>21.7</v>
      </c>
      <c r="M6" s="8">
        <f>Observations[[#This Row],[Deg]] + (Observations[[#This Row],[Min]] / 60) + (Observations[[#This Row],[Sec]] / 3600)</f>
        <v>2.5726944444444442</v>
      </c>
      <c r="N6" t="str" cm="1">
        <f t="array" ref="N6">DMS(Observations[[#This Row],[DegDecimal]])</f>
        <v>02° 34' 22"</v>
      </c>
      <c r="O6" t="str">
        <f>TEXT(Observations[[#This Row],[Date]] + Observations[[#This Row],[Time]] - (Observations[[#This Row],[UTC Offset]] / 24), "YYYY-MM-DDThh:mm:ss")</f>
        <v>2025-01-31T02:19:19</v>
      </c>
      <c r="P6" s="6" t="s">
        <v>114</v>
      </c>
      <c r="Q6" s="26">
        <v>2.5625654027079898</v>
      </c>
      <c r="R6" s="8" t="s">
        <v>114</v>
      </c>
      <c r="S6" s="26">
        <v>2.3254228690537202</v>
      </c>
      <c r="T6" s="27" t="str">
        <f>IF(AND(Observations[[#This Row],[UTC TimeStamp]] = Observations[[#This Row],[celTheoTimestamp]], Observations[[#This Row],[UTC TimeStamp]] = Observations[[#This Row],[apparentTimestamp]]), "", #VALUE!)</f>
        <v/>
      </c>
      <c r="U6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"2025-01-31T02:19:19", "peak": "Pikes Peak", "star": "HD 217429", "recordedAngle": 2.572694, "celTheoAngle": 2.562565, "apparentAngle": 2.325423 },</v>
      </c>
    </row>
    <row r="7" spans="1:21" x14ac:dyDescent="0.45">
      <c r="A7" s="2">
        <v>45687</v>
      </c>
      <c r="B7" s="5">
        <v>0.77015046296296297</v>
      </c>
      <c r="C7" s="4">
        <v>3138</v>
      </c>
      <c r="D7" s="4">
        <v>1</v>
      </c>
      <c r="E7" s="7">
        <f>Observations[[#This Row],[First Frame]] + ((Observations[[#This Row],[Frame '#]] * Observations[[#This Row],[Interval]]) / 86400)</f>
        <v>0.80646990740740743</v>
      </c>
      <c r="F7" s="25">
        <v>-7</v>
      </c>
      <c r="G7" s="1" t="s">
        <v>16</v>
      </c>
      <c r="H7" s="9">
        <f>VLOOKUP(Observations[[#This Row],[Peak]], Peaks[], 5)</f>
        <v>50700</v>
      </c>
      <c r="I7" t="s">
        <v>6</v>
      </c>
      <c r="J7" s="4">
        <v>2</v>
      </c>
      <c r="K7" s="4">
        <v>33</v>
      </c>
      <c r="L7" s="3">
        <v>41.9</v>
      </c>
      <c r="M7" s="8">
        <f>Observations[[#This Row],[Deg]] + (Observations[[#This Row],[Min]] / 60) + (Observations[[#This Row],[Sec]] / 3600)</f>
        <v>2.5616388888888886</v>
      </c>
      <c r="N7" t="str" cm="1">
        <f t="array" ref="N7">DMS(Observations[[#This Row],[DegDecimal]])</f>
        <v>02° 33' 42"</v>
      </c>
      <c r="O7" t="str">
        <f>TEXT(Observations[[#This Row],[Date]] + Observations[[#This Row],[Time]] - (Observations[[#This Row],[UTC Offset]] / 24), "YYYY-MM-DDThh:mm:ss")</f>
        <v>2025-01-31T02:21:19</v>
      </c>
      <c r="P7" s="6" t="s">
        <v>115</v>
      </c>
      <c r="Q7" s="26">
        <v>2.5516420112814902</v>
      </c>
      <c r="R7" s="8" t="s">
        <v>115</v>
      </c>
      <c r="S7" s="26">
        <v>2.3150442999682901</v>
      </c>
      <c r="T7" s="27" t="str">
        <f>IF(AND(Observations[[#This Row],[UTC TimeStamp]] = Observations[[#This Row],[celTheoTimestamp]], Observations[[#This Row],[UTC TimeStamp]] = Observations[[#This Row],[apparentTimestamp]]), "", #VALUE!)</f>
        <v/>
      </c>
      <c r="U7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"2025-01-31T02:21:19", "peak": "Pikes Peak", "star": "HD 217721", "recordedAngle": 2.561639, "celTheoAngle": 2.551642, "apparentAngle": 2.315044 },</v>
      </c>
    </row>
    <row r="8" spans="1:21" x14ac:dyDescent="0.45">
      <c r="A8" s="2">
        <v>45687</v>
      </c>
      <c r="B8" s="5">
        <v>0.77015046296296297</v>
      </c>
      <c r="C8" s="4">
        <v>5023</v>
      </c>
      <c r="D8" s="4">
        <v>1</v>
      </c>
      <c r="E8" s="7">
        <f>Observations[[#This Row],[First Frame]] + ((Observations[[#This Row],[Frame '#]] * Observations[[#This Row],[Interval]]) / 86400)</f>
        <v>0.82828703703703699</v>
      </c>
      <c r="F8" s="25">
        <v>-7</v>
      </c>
      <c r="G8" s="1" t="s">
        <v>16</v>
      </c>
      <c r="H8" s="9">
        <f>VLOOKUP(Observations[[#This Row],[Peak]], Peaks[], 5)</f>
        <v>50700</v>
      </c>
      <c r="I8" t="s">
        <v>7</v>
      </c>
      <c r="J8" s="4">
        <v>2</v>
      </c>
      <c r="K8" s="4">
        <v>33</v>
      </c>
      <c r="L8" s="3">
        <v>16.5</v>
      </c>
      <c r="M8" s="8">
        <f>Observations[[#This Row],[Deg]] + (Observations[[#This Row],[Min]] / 60) + (Observations[[#This Row],[Sec]] / 3600)</f>
        <v>2.554583333333333</v>
      </c>
      <c r="N8" t="str" cm="1">
        <f t="array" ref="N8">DMS(Observations[[#This Row],[DegDecimal]])</f>
        <v>02° 33' 17"</v>
      </c>
      <c r="O8" t="str">
        <f>TEXT(Observations[[#This Row],[Date]] + Observations[[#This Row],[Time]] - (Observations[[#This Row],[UTC Offset]] / 24), "YYYY-MM-DDThh:mm:ss")</f>
        <v>2025-01-31T02:52:44</v>
      </c>
      <c r="P8" s="6" t="s">
        <v>116</v>
      </c>
      <c r="Q8" s="26">
        <v>2.5446481512024999</v>
      </c>
      <c r="R8" s="8" t="s">
        <v>116</v>
      </c>
      <c r="S8" s="26">
        <v>2.30840101391524</v>
      </c>
      <c r="T8" s="27" t="str">
        <f>IF(AND(Observations[[#This Row],[UTC TimeStamp]] = Observations[[#This Row],[celTheoTimestamp]], Observations[[#This Row],[UTC TimeStamp]] = Observations[[#This Row],[apparentTimestamp]]), "", #VALUE!)</f>
        <v/>
      </c>
      <c r="U8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"2025-01-31T02:52:44", "peak": "Pikes Peak", "star": "HD 221665", "recordedAngle": 2.554583, "celTheoAngle": 2.544648, "apparentAngle": 2.308401 },</v>
      </c>
    </row>
    <row r="9" spans="1:21" x14ac:dyDescent="0.45">
      <c r="A9" s="2">
        <v>45687</v>
      </c>
      <c r="B9" s="5">
        <v>0.77015046296296297</v>
      </c>
      <c r="C9" s="4">
        <v>5366</v>
      </c>
      <c r="D9" s="4">
        <v>1</v>
      </c>
      <c r="E9" s="7">
        <f>Observations[[#This Row],[First Frame]] + ((Observations[[#This Row],[Frame '#]] * Observations[[#This Row],[Interval]]) / 86400)</f>
        <v>0.83225694444444442</v>
      </c>
      <c r="F9" s="25">
        <v>-7</v>
      </c>
      <c r="G9" s="1" t="s">
        <v>16</v>
      </c>
      <c r="H9" s="9">
        <f>VLOOKUP(Observations[[#This Row],[Peak]], Peaks[], 5)</f>
        <v>50700</v>
      </c>
      <c r="I9" t="s">
        <v>71</v>
      </c>
      <c r="J9" s="4">
        <v>2</v>
      </c>
      <c r="K9" s="4">
        <v>32</v>
      </c>
      <c r="L9" s="3">
        <v>54</v>
      </c>
      <c r="M9" s="8">
        <f>Observations[[#This Row],[Deg]] + (Observations[[#This Row],[Min]] / 60) + (Observations[[#This Row],[Sec]] / 3600)</f>
        <v>2.5483333333333333</v>
      </c>
      <c r="N9" t="str" cm="1">
        <f t="array" ref="N9">DMS(Observations[[#This Row],[DegDecimal]])</f>
        <v>02° 32' 54"</v>
      </c>
      <c r="O9" t="str">
        <f>TEXT(Observations[[#This Row],[Date]] + Observations[[#This Row],[Time]] - (Observations[[#This Row],[UTC Offset]] / 24), "YYYY-MM-DDThh:mm:ss")</f>
        <v>2025-01-31T02:58:27</v>
      </c>
      <c r="P9" s="6" t="s">
        <v>117</v>
      </c>
      <c r="Q9" s="26">
        <v>2.5377783094864101</v>
      </c>
      <c r="R9" s="8" t="s">
        <v>117</v>
      </c>
      <c r="S9" s="26">
        <v>2.3018761059869499</v>
      </c>
      <c r="T9" s="27" t="str">
        <f>IF(AND(Observations[[#This Row],[UTC TimeStamp]] = Observations[[#This Row],[celTheoTimestamp]], Observations[[#This Row],[UTC TimeStamp]] = Observations[[#This Row],[apparentTimestamp]]), "", #VALUE!)</f>
        <v/>
      </c>
      <c r="U9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"2025-01-31T02:58:27", "peak": "Pikes Peak", "star": "102 Aqr", "recordedAngle": 2.548333, "celTheoAngle": 2.537778, "apparentAngle": 2.301876 },</v>
      </c>
    </row>
    <row r="10" spans="1:21" x14ac:dyDescent="0.45">
      <c r="A10" s="2">
        <v>45687</v>
      </c>
      <c r="B10" s="5">
        <v>0.77015046296296297</v>
      </c>
      <c r="C10" s="4">
        <v>5967</v>
      </c>
      <c r="D10" s="4">
        <v>1</v>
      </c>
      <c r="E10" s="7">
        <f>Observations[[#This Row],[First Frame]] + ((Observations[[#This Row],[Frame '#]] * Observations[[#This Row],[Interval]]) / 86400)</f>
        <v>0.83921296296296299</v>
      </c>
      <c r="F10" s="25">
        <v>-7</v>
      </c>
      <c r="G10" s="1" t="s">
        <v>16</v>
      </c>
      <c r="H10" s="9">
        <f>VLOOKUP(Observations[[#This Row],[Peak]], Peaks[], 5)</f>
        <v>50700</v>
      </c>
      <c r="I10" t="s">
        <v>8</v>
      </c>
      <c r="J10" s="4">
        <v>2</v>
      </c>
      <c r="K10" s="4">
        <v>33</v>
      </c>
      <c r="L10" s="3">
        <v>42.1</v>
      </c>
      <c r="M10" s="8">
        <f>Observations[[#This Row],[Deg]] + (Observations[[#This Row],[Min]] / 60) + (Observations[[#This Row],[Sec]] / 3600)</f>
        <v>2.5616944444444441</v>
      </c>
      <c r="N10" t="str" cm="1">
        <f t="array" ref="N10">DMS(Observations[[#This Row],[DegDecimal]])</f>
        <v>02° 33' 42"</v>
      </c>
      <c r="O10" t="str">
        <f>TEXT(Observations[[#This Row],[Date]] + Observations[[#This Row],[Time]] - (Observations[[#This Row],[UTC Offset]] / 24), "YYYY-MM-DDThh:mm:ss")</f>
        <v>2025-01-31T03:08:28</v>
      </c>
      <c r="P10" s="6" t="s">
        <v>118</v>
      </c>
      <c r="Q10" s="26">
        <v>2.5514330105318201</v>
      </c>
      <c r="R10" s="8" t="s">
        <v>118</v>
      </c>
      <c r="S10" s="26">
        <v>2.3148457879322999</v>
      </c>
      <c r="T10" s="27" t="str">
        <f>IF(AND(Observations[[#This Row],[UTC TimeStamp]] = Observations[[#This Row],[celTheoTimestamp]], Observations[[#This Row],[UTC TimeStamp]] = Observations[[#This Row],[apparentTimestamp]]), "", #VALUE!)</f>
        <v/>
      </c>
      <c r="U10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"2025-01-31T03:08:28", "peak": "Pikes Peak", "star": "HD 223559", "recordedAngle": 2.561694, "celTheoAngle": 2.551433, "apparentAngle": 2.314846 },</v>
      </c>
    </row>
    <row r="11" spans="1:21" x14ac:dyDescent="0.45">
      <c r="A11" s="2">
        <v>45687</v>
      </c>
      <c r="B11" s="5">
        <v>0.77015046296296297</v>
      </c>
      <c r="C11" s="4">
        <v>6110</v>
      </c>
      <c r="D11" s="4">
        <v>1</v>
      </c>
      <c r="E11" s="7">
        <f>Observations[[#This Row],[First Frame]] + ((Observations[[#This Row],[Frame '#]] * Observations[[#This Row],[Interval]]) / 86400)</f>
        <v>0.84086805555555555</v>
      </c>
      <c r="F11" s="25">
        <v>-7</v>
      </c>
      <c r="G11" s="1" t="s">
        <v>16</v>
      </c>
      <c r="H11" s="9">
        <f>VLOOKUP(Observations[[#This Row],[Peak]], Peaks[], 5)</f>
        <v>50700</v>
      </c>
      <c r="I11" t="s">
        <v>9</v>
      </c>
      <c r="J11" s="4">
        <v>2</v>
      </c>
      <c r="K11" s="4">
        <v>34</v>
      </c>
      <c r="L11" s="3">
        <v>43.7</v>
      </c>
      <c r="M11" s="8">
        <f>Observations[[#This Row],[Deg]] + (Observations[[#This Row],[Min]] / 60) + (Observations[[#This Row],[Sec]] / 3600)</f>
        <v>2.5788055555555554</v>
      </c>
      <c r="N11" t="str" cm="1">
        <f t="array" ref="N11">DMS(Observations[[#This Row],[DegDecimal]])</f>
        <v>02° 34' 44"</v>
      </c>
      <c r="O11" t="str">
        <f>TEXT(Observations[[#This Row],[Date]] + Observations[[#This Row],[Time]] - (Observations[[#This Row],[UTC Offset]] / 24), "YYYY-MM-DDThh:mm:ss")</f>
        <v>2025-01-31T03:10:51</v>
      </c>
      <c r="P11" s="6" t="s">
        <v>119</v>
      </c>
      <c r="Q11" s="26">
        <v>2.56859115388986</v>
      </c>
      <c r="R11" s="8" t="s">
        <v>119</v>
      </c>
      <c r="S11" s="26">
        <v>2.3311492754875101</v>
      </c>
      <c r="T11" s="27" t="str">
        <f>IF(AND(Observations[[#This Row],[UTC TimeStamp]] = Observations[[#This Row],[celTheoTimestamp]], Observations[[#This Row],[UTC TimeStamp]] = Observations[[#This Row],[apparentTimestamp]]), "", #VALUE!)</f>
        <v/>
      </c>
      <c r="U11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"2025-01-31T03:10:51", "peak": "Pikes Peak", "star": "HD 223774", "recordedAngle": 2.578806, "celTheoAngle": 2.568591, "apparentAngle": 2.331149 },</v>
      </c>
    </row>
    <row r="12" spans="1:21" x14ac:dyDescent="0.45">
      <c r="A12" s="2">
        <v>45687</v>
      </c>
      <c r="B12" s="5">
        <v>0.77015046296296297</v>
      </c>
      <c r="C12" s="4">
        <v>8190</v>
      </c>
      <c r="D12" s="4">
        <v>1</v>
      </c>
      <c r="E12" s="7">
        <f>Observations[[#This Row],[First Frame]] + ((Observations[[#This Row],[Frame '#]] * Observations[[#This Row],[Interval]]) / 86400)</f>
        <v>0.86494212962962957</v>
      </c>
      <c r="F12" s="25">
        <v>-7</v>
      </c>
      <c r="G12" s="1" t="s">
        <v>16</v>
      </c>
      <c r="H12" s="9">
        <f>VLOOKUP(Observations[[#This Row],[Peak]], Peaks[], 5)</f>
        <v>50700</v>
      </c>
      <c r="I12" t="s">
        <v>10</v>
      </c>
      <c r="J12" s="4">
        <v>2</v>
      </c>
      <c r="K12" s="4">
        <v>33</v>
      </c>
      <c r="L12" s="3">
        <v>58.5</v>
      </c>
      <c r="M12" s="8">
        <f>Observations[[#This Row],[Deg]] + (Observations[[#This Row],[Min]] / 60) + (Observations[[#This Row],[Sec]] / 3600)</f>
        <v>2.5662499999999997</v>
      </c>
      <c r="N12" t="str" cm="1">
        <f t="array" ref="N12">DMS(Observations[[#This Row],[DegDecimal]])</f>
        <v>02° 33' 59"</v>
      </c>
      <c r="O12" t="str">
        <f>TEXT(Observations[[#This Row],[Date]] + Observations[[#This Row],[Time]] - (Observations[[#This Row],[UTC Offset]] / 24), "YYYY-MM-DDThh:mm:ss")</f>
        <v>2025-01-31T03:45:31</v>
      </c>
      <c r="P12" s="6" t="s">
        <v>120</v>
      </c>
      <c r="Q12" s="26">
        <v>2.5556792504724601</v>
      </c>
      <c r="R12" s="8" t="s">
        <v>120</v>
      </c>
      <c r="S12" s="26">
        <v>2.3188800861227898</v>
      </c>
      <c r="T12" s="27" t="str">
        <f>IF(AND(Observations[[#This Row],[UTC TimeStamp]] = Observations[[#This Row],[celTheoTimestamp]], Observations[[#This Row],[UTC TimeStamp]] = Observations[[#This Row],[apparentTimestamp]]), "", #VALUE!)</f>
        <v/>
      </c>
      <c r="U12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"2025-01-31T03:45:31", "peak": "Pikes Peak", "star": "HD 2345", "recordedAngle": 2.566250, "celTheoAngle": 2.555679, "apparentAngle": 2.318880 },</v>
      </c>
    </row>
    <row r="13" spans="1:21" x14ac:dyDescent="0.45">
      <c r="A13" s="2">
        <v>45688</v>
      </c>
      <c r="B13" s="5">
        <v>0.74998842592592596</v>
      </c>
      <c r="C13" s="4">
        <v>823</v>
      </c>
      <c r="D13" s="4">
        <v>2</v>
      </c>
      <c r="E13" s="7">
        <f>Observations[[#This Row],[First Frame]] + ((Observations[[#This Row],[Frame '#]] * Observations[[#This Row],[Interval]]) / 86400)</f>
        <v>0.7690393518518519</v>
      </c>
      <c r="F13" s="25">
        <v>-7</v>
      </c>
      <c r="G13" s="1" t="s">
        <v>16</v>
      </c>
      <c r="H13" s="9">
        <f>VLOOKUP(Observations[[#This Row],[Peak]], Peaks[], 5)</f>
        <v>50700</v>
      </c>
      <c r="I13" t="s">
        <v>51</v>
      </c>
      <c r="J13" s="4">
        <v>2</v>
      </c>
      <c r="K13" s="4">
        <v>33</v>
      </c>
      <c r="L13" s="3">
        <v>47.6</v>
      </c>
      <c r="M13" s="8">
        <f>Observations[[#This Row],[Deg]] + (Observations[[#This Row],[Min]] / 60) + (Observations[[#This Row],[Sec]] / 3600)</f>
        <v>2.5632222222222221</v>
      </c>
      <c r="N13" t="str" cm="1">
        <f t="array" ref="N13">DMS(Observations[[#This Row],[DegDecimal]])</f>
        <v>02° 33' 48"</v>
      </c>
      <c r="O13" t="str">
        <f>TEXT(Observations[[#This Row],[Date]] + Observations[[#This Row],[Time]] - (Observations[[#This Row],[UTC Offset]] / 24), "YYYY-MM-DDThh:mm:ss")</f>
        <v>2025-02-01T01:27:25</v>
      </c>
      <c r="P13" s="6" t="s">
        <v>121</v>
      </c>
      <c r="Q13" s="26">
        <v>2.5518595936927899</v>
      </c>
      <c r="R13" s="8" t="s">
        <v>121</v>
      </c>
      <c r="S13" s="26">
        <v>2.3152520754803501</v>
      </c>
      <c r="T13" s="27" t="str">
        <f>IF(AND(Observations[[#This Row],[UTC TimeStamp]] = Observations[[#This Row],[celTheoTimestamp]], Observations[[#This Row],[UTC TimeStamp]] = Observations[[#This Row],[apparentTimestamp]]), "", #VALUE!)</f>
        <v/>
      </c>
      <c r="U13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"2025-02-01T01:27:25", "peak": "Pikes Peak", "star": "39 Aqr", "recordedAngle": 2.563222, "celTheoAngle": 2.551860, "apparentAngle": 2.315252 },</v>
      </c>
    </row>
    <row r="14" spans="1:21" x14ac:dyDescent="0.45">
      <c r="A14" s="2">
        <v>45688</v>
      </c>
      <c r="B14" s="5">
        <v>0.74998842592592596</v>
      </c>
      <c r="C14" s="4">
        <v>2214</v>
      </c>
      <c r="D14" s="4">
        <v>2</v>
      </c>
      <c r="E14" s="7">
        <f>Observations[[#This Row],[First Frame]] + ((Observations[[#This Row],[Frame '#]] * Observations[[#This Row],[Interval]]) / 86400)</f>
        <v>0.80123842592592598</v>
      </c>
      <c r="F14" s="25">
        <v>-7</v>
      </c>
      <c r="G14" s="1" t="s">
        <v>16</v>
      </c>
      <c r="H14" s="9">
        <f>VLOOKUP(Observations[[#This Row],[Peak]], Peaks[], 5)</f>
        <v>50700</v>
      </c>
      <c r="I14" t="s">
        <v>11</v>
      </c>
      <c r="J14" s="4">
        <v>2</v>
      </c>
      <c r="K14" s="4">
        <v>33</v>
      </c>
      <c r="L14" s="3">
        <v>14.2</v>
      </c>
      <c r="M14" s="8">
        <f>Observations[[#This Row],[Deg]] + (Observations[[#This Row],[Min]] / 60) + (Observations[[#This Row],[Sec]] / 3600)</f>
        <v>2.5539444444444444</v>
      </c>
      <c r="N14" t="str" cm="1">
        <f t="array" ref="N14">DMS(Observations[[#This Row],[DegDecimal]])</f>
        <v>02° 33' 14"</v>
      </c>
      <c r="O14" t="str">
        <f>TEXT(Observations[[#This Row],[Date]] + Observations[[#This Row],[Time]] - (Observations[[#This Row],[UTC Offset]] / 24), "YYYY-MM-DDThh:mm:ss")</f>
        <v>2025-02-01T02:13:47</v>
      </c>
      <c r="P14" s="6" t="s">
        <v>122</v>
      </c>
      <c r="Q14" s="26">
        <v>2.5369966182203898</v>
      </c>
      <c r="R14" s="8" t="s">
        <v>122</v>
      </c>
      <c r="S14" s="26">
        <v>2.3011330073893399</v>
      </c>
      <c r="T14" s="27" t="str">
        <f>IF(AND(Observations[[#This Row],[UTC TimeStamp]] = Observations[[#This Row],[celTheoTimestamp]], Observations[[#This Row],[UTC TimeStamp]] = Observations[[#This Row],[apparentTimestamp]]), "", #VALUE!)</f>
        <v/>
      </c>
      <c r="U14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"2025-02-01T02:13:47", "peak": "Pikes Peak", "star": "TYC 5826-746-1", "recordedAngle": 2.553944, "celTheoAngle": 2.536997, "apparentAngle": 2.301133 },</v>
      </c>
    </row>
    <row r="15" spans="1:21" x14ac:dyDescent="0.45">
      <c r="A15" s="2">
        <v>45688</v>
      </c>
      <c r="B15" s="5">
        <v>0.74998842592592596</v>
      </c>
      <c r="C15" s="4">
        <v>2279</v>
      </c>
      <c r="D15" s="4">
        <v>2</v>
      </c>
      <c r="E15" s="7">
        <f>Observations[[#This Row],[First Frame]] + ((Observations[[#This Row],[Frame '#]] * Observations[[#This Row],[Interval]]) / 86400)</f>
        <v>0.80274305555555558</v>
      </c>
      <c r="F15" s="25">
        <v>-7</v>
      </c>
      <c r="G15" s="1" t="s">
        <v>16</v>
      </c>
      <c r="H15" s="9">
        <f>VLOOKUP(Observations[[#This Row],[Peak]], Peaks[], 5)</f>
        <v>50700</v>
      </c>
      <c r="I15" t="s">
        <v>3</v>
      </c>
      <c r="J15" s="4">
        <v>2</v>
      </c>
      <c r="K15" s="4">
        <v>34</v>
      </c>
      <c r="L15" s="3">
        <v>18.5</v>
      </c>
      <c r="M15" s="8">
        <f>Observations[[#This Row],[Deg]] + (Observations[[#This Row],[Min]] / 60) + (Observations[[#This Row],[Sec]] / 3600)</f>
        <v>2.5718055555555552</v>
      </c>
      <c r="N15" t="str" cm="1">
        <f t="array" ref="N15">DMS(Observations[[#This Row],[DegDecimal]])</f>
        <v>02° 34' 19"</v>
      </c>
      <c r="O15" t="str">
        <f>TEXT(Observations[[#This Row],[Date]] + Observations[[#This Row],[Time]] - (Observations[[#This Row],[UTC Offset]] / 24), "YYYY-MM-DDThh:mm:ss")</f>
        <v>2025-02-01T02:15:57</v>
      </c>
      <c r="P15" s="6" t="s">
        <v>123</v>
      </c>
      <c r="Q15" s="26">
        <v>2.5613521216463702</v>
      </c>
      <c r="R15" s="8" t="s">
        <v>123</v>
      </c>
      <c r="S15" s="26">
        <v>2.3242698140964202</v>
      </c>
      <c r="T15" s="27" t="str">
        <f>IF(AND(Observations[[#This Row],[UTC TimeStamp]] = Observations[[#This Row],[celTheoTimestamp]], Observations[[#This Row],[UTC TimeStamp]] = Observations[[#This Row],[apparentTimestamp]]), "", #VALUE!)</f>
        <v/>
      </c>
      <c r="U15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"2025-02-01T02:15:57", "peak": "Pikes Peak", "star": "HD 217533", "recordedAngle": 2.571806, "celTheoAngle": 2.561352, "apparentAngle": 2.324270 },</v>
      </c>
    </row>
    <row r="16" spans="1:21" x14ac:dyDescent="0.45">
      <c r="A16" s="2">
        <v>45688</v>
      </c>
      <c r="B16" s="5">
        <v>0.74998842592592596</v>
      </c>
      <c r="C16" s="4">
        <v>3432</v>
      </c>
      <c r="D16" s="4">
        <v>2</v>
      </c>
      <c r="E16" s="7">
        <f>Observations[[#This Row],[First Frame]] + ((Observations[[#This Row],[Frame '#]] * Observations[[#This Row],[Interval]]) / 86400)</f>
        <v>0.82943287037037039</v>
      </c>
      <c r="F16" s="25">
        <v>-7</v>
      </c>
      <c r="G16" s="1" t="s">
        <v>16</v>
      </c>
      <c r="H16" s="9">
        <f>VLOOKUP(Observations[[#This Row],[Peak]], Peaks[], 5)</f>
        <v>50700</v>
      </c>
      <c r="I16" t="s">
        <v>71</v>
      </c>
      <c r="J16" s="4">
        <v>2</v>
      </c>
      <c r="K16" s="4">
        <v>34</v>
      </c>
      <c r="L16" s="3">
        <v>17.600000000000001</v>
      </c>
      <c r="M16" s="8">
        <f>Observations[[#This Row],[Deg]] + (Observations[[#This Row],[Min]] / 60) + (Observations[[#This Row],[Sec]] / 3600)</f>
        <v>2.5715555555555554</v>
      </c>
      <c r="N16" t="str" cm="1">
        <f t="array" ref="N16">DMS(Observations[[#This Row],[DegDecimal]])</f>
        <v>02° 34' 18"</v>
      </c>
      <c r="O16" t="str">
        <f>TEXT(Observations[[#This Row],[Date]] + Observations[[#This Row],[Time]] - (Observations[[#This Row],[UTC Offset]] / 24), "YYYY-MM-DDThh:mm:ss")</f>
        <v>2025-02-01T02:54:23</v>
      </c>
      <c r="P16" s="6" t="s">
        <v>124</v>
      </c>
      <c r="Q16" s="26">
        <v>2.56243155052884</v>
      </c>
      <c r="R16" s="8" t="s">
        <v>124</v>
      </c>
      <c r="S16" s="26">
        <v>2.3252964141592898</v>
      </c>
      <c r="T16" s="27" t="str">
        <f>IF(AND(Observations[[#This Row],[UTC TimeStamp]] = Observations[[#This Row],[celTheoTimestamp]], Observations[[#This Row],[UTC TimeStamp]] = Observations[[#This Row],[apparentTimestamp]]), "", #VALUE!)</f>
        <v/>
      </c>
      <c r="U16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"2025-02-01T02:54:23", "peak": "Pikes Peak", "star": "102 Aqr", "recordedAngle": 2.571556, "celTheoAngle": 2.562432, "apparentAngle": 2.325296 },</v>
      </c>
    </row>
    <row r="17" spans="1:21" x14ac:dyDescent="0.45">
      <c r="A17" s="2">
        <v>45688</v>
      </c>
      <c r="B17" s="5">
        <v>0.74998842592592596</v>
      </c>
      <c r="C17" s="4">
        <v>3737</v>
      </c>
      <c r="D17" s="4">
        <v>2</v>
      </c>
      <c r="E17" s="7">
        <f>Observations[[#This Row],[First Frame]] + ((Observations[[#This Row],[Frame '#]] * Observations[[#This Row],[Interval]]) / 86400)</f>
        <v>0.83649305555555564</v>
      </c>
      <c r="F17" s="25">
        <v>-7</v>
      </c>
      <c r="G17" s="1" t="s">
        <v>16</v>
      </c>
      <c r="H17" s="9">
        <f>VLOOKUP(Observations[[#This Row],[Peak]], Peaks[], 5)</f>
        <v>50700</v>
      </c>
      <c r="I17" t="s">
        <v>8</v>
      </c>
      <c r="J17" s="4">
        <v>2</v>
      </c>
      <c r="K17" s="4">
        <v>33</v>
      </c>
      <c r="L17" s="3">
        <v>29.9</v>
      </c>
      <c r="M17" s="8">
        <f>Observations[[#This Row],[Deg]] + (Observations[[#This Row],[Min]] / 60) + (Observations[[#This Row],[Sec]] / 3600)</f>
        <v>2.5583055555555552</v>
      </c>
      <c r="N17" t="str" cm="1">
        <f t="array" ref="N17">DMS(Observations[[#This Row],[DegDecimal]])</f>
        <v>02° 33' 30"</v>
      </c>
      <c r="O17" t="str">
        <f>TEXT(Observations[[#This Row],[Date]] + Observations[[#This Row],[Time]] - (Observations[[#This Row],[UTC Offset]] / 24), "YYYY-MM-DDThh:mm:ss")</f>
        <v>2025-02-01T03:04:33</v>
      </c>
      <c r="P17" s="6" t="s">
        <v>125</v>
      </c>
      <c r="Q17" s="26">
        <v>2.5486392172361199</v>
      </c>
      <c r="R17" s="8" t="s">
        <v>125</v>
      </c>
      <c r="S17" s="26">
        <v>2.3121916420047</v>
      </c>
      <c r="T17" s="27" t="str">
        <f>IF(AND(Observations[[#This Row],[UTC TimeStamp]] = Observations[[#This Row],[celTheoTimestamp]], Observations[[#This Row],[UTC TimeStamp]] = Observations[[#This Row],[apparentTimestamp]]), "", #VALUE!)</f>
        <v/>
      </c>
      <c r="U17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"2025-02-01T03:04:33", "peak": "Pikes Peak", "star": "HD 223559", "recordedAngle": 2.558306, "celTheoAngle": 2.548639, "apparentAngle": 2.312192 },</v>
      </c>
    </row>
    <row r="18" spans="1:21" x14ac:dyDescent="0.45">
      <c r="A18" s="2">
        <v>45688</v>
      </c>
      <c r="B18" s="5">
        <v>0.74998842592592596</v>
      </c>
      <c r="C18" s="4">
        <v>3809</v>
      </c>
      <c r="D18" s="4">
        <v>2</v>
      </c>
      <c r="E18" s="7">
        <f>Observations[[#This Row],[First Frame]] + ((Observations[[#This Row],[Frame '#]] * Observations[[#This Row],[Interval]]) / 86400)</f>
        <v>0.83815972222222224</v>
      </c>
      <c r="F18" s="25">
        <v>-7</v>
      </c>
      <c r="G18" s="1" t="s">
        <v>16</v>
      </c>
      <c r="H18" s="9">
        <f>VLOOKUP(Observations[[#This Row],[Peak]], Peaks[], 5)</f>
        <v>50700</v>
      </c>
      <c r="I18" t="s">
        <v>9</v>
      </c>
      <c r="J18" s="4">
        <v>2</v>
      </c>
      <c r="K18" s="4">
        <v>34</v>
      </c>
      <c r="L18" s="3">
        <v>20.2</v>
      </c>
      <c r="M18" s="8">
        <f>Observations[[#This Row],[Deg]] + (Observations[[#This Row],[Min]] / 60) + (Observations[[#This Row],[Sec]] / 3600)</f>
        <v>2.5722777777777774</v>
      </c>
      <c r="N18" t="str" cm="1">
        <f t="array" ref="N18">DMS(Observations[[#This Row],[DegDecimal]])</f>
        <v>02° 34' 20"</v>
      </c>
      <c r="O18" t="str">
        <f>TEXT(Observations[[#This Row],[Date]] + Observations[[#This Row],[Time]] - (Observations[[#This Row],[UTC Offset]] / 24), "YYYY-MM-DDThh:mm:ss")</f>
        <v>2025-02-01T03:06:57</v>
      </c>
      <c r="P18" s="6" t="s">
        <v>126</v>
      </c>
      <c r="Q18" s="26">
        <v>2.5627443852551601</v>
      </c>
      <c r="R18" s="8" t="s">
        <v>126</v>
      </c>
      <c r="S18" s="26">
        <v>2.3255931268730401</v>
      </c>
      <c r="T18" s="27" t="str">
        <f>IF(AND(Observations[[#This Row],[UTC TimeStamp]] = Observations[[#This Row],[celTheoTimestamp]], Observations[[#This Row],[UTC TimeStamp]] = Observations[[#This Row],[apparentTimestamp]]), "", #VALUE!)</f>
        <v/>
      </c>
      <c r="U18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"2025-02-01T03:06:57", "peak": "Pikes Peak", "star": "HD 223774", "recordedAngle": 2.572278, "celTheoAngle": 2.562744, "apparentAngle": 2.325593 },</v>
      </c>
    </row>
    <row r="19" spans="1:21" x14ac:dyDescent="0.45">
      <c r="A19" s="2">
        <v>45695</v>
      </c>
      <c r="B19" s="5">
        <v>0.75694444444444442</v>
      </c>
      <c r="C19" s="4">
        <v>3416</v>
      </c>
      <c r="D19" s="4">
        <v>1</v>
      </c>
      <c r="E19" s="7">
        <f>Observations[[#This Row],[First Frame]] + ((Observations[[#This Row],[Frame '#]] * Observations[[#This Row],[Interval]]) / 86400)</f>
        <v>0.79648148148148146</v>
      </c>
      <c r="F19" s="25">
        <v>-7</v>
      </c>
      <c r="G19" s="1" t="s">
        <v>20</v>
      </c>
      <c r="H19" s="9">
        <f>VLOOKUP(Observations[[#This Row],[Peak]], Peaks[], 5)</f>
        <v>35910</v>
      </c>
      <c r="I19" t="s">
        <v>52</v>
      </c>
      <c r="J19" s="4">
        <v>1</v>
      </c>
      <c r="K19" s="4">
        <v>12</v>
      </c>
      <c r="L19" s="3">
        <v>7.3</v>
      </c>
      <c r="M19" s="8">
        <f>Observations[[#This Row],[Deg]] + (Observations[[#This Row],[Min]] / 60) + (Observations[[#This Row],[Sec]] / 3600)</f>
        <v>1.2020277777777777</v>
      </c>
      <c r="N19" t="str" cm="1">
        <f t="array" ref="N19">DMS(Observations[[#This Row],[DegDecimal]])</f>
        <v>01° 12' 07"</v>
      </c>
      <c r="O19" t="str">
        <f>TEXT(Observations[[#This Row],[Date]] + Observations[[#This Row],[Time]] - (Observations[[#This Row],[UTC Offset]] / 24), "YYYY-MM-DDThh:mm:ss")</f>
        <v>2025-02-08T02:06:56</v>
      </c>
      <c r="P19" s="6" t="s">
        <v>88</v>
      </c>
      <c r="Q19" s="26">
        <v>1.19248385751315</v>
      </c>
      <c r="R19" s="8" t="s">
        <v>88</v>
      </c>
      <c r="S19" s="26">
        <v>1.16799080777589</v>
      </c>
      <c r="T19" s="27" t="str">
        <f>IF(AND(Observations[[#This Row],[UTC TimeStamp]] = Observations[[#This Row],[celTheoTimestamp]], Observations[[#This Row],[UTC TimeStamp]] = Observations[[#This Row],[apparentTimestamp]]), "", #VALUE!)</f>
        <v/>
      </c>
      <c r="U19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"2025-02-08T02:06:56", "peak": "Blodgett Peak", "star": "LP Aqr", "recordedAngle": 1.202028, "celTheoAngle": 1.192484, "apparentAngle": 1.167991 },</v>
      </c>
    </row>
    <row r="20" spans="1:21" x14ac:dyDescent="0.45">
      <c r="A20" s="2">
        <v>45695</v>
      </c>
      <c r="B20" s="5">
        <v>0.75694444444444442</v>
      </c>
      <c r="C20" s="4">
        <v>4224</v>
      </c>
      <c r="D20" s="4">
        <v>1</v>
      </c>
      <c r="E20" s="7">
        <f>Observations[[#This Row],[First Frame]] + ((Observations[[#This Row],[Frame '#]] * Observations[[#This Row],[Interval]]) / 86400)</f>
        <v>0.80583333333333329</v>
      </c>
      <c r="F20" s="25">
        <v>-7</v>
      </c>
      <c r="G20" s="1" t="s">
        <v>20</v>
      </c>
      <c r="H20" s="9">
        <f>VLOOKUP(Observations[[#This Row],[Peak]], Peaks[], 5)</f>
        <v>35910</v>
      </c>
      <c r="I20" t="s">
        <v>24</v>
      </c>
      <c r="J20" s="4">
        <v>1</v>
      </c>
      <c r="K20" s="4">
        <v>11</v>
      </c>
      <c r="L20" s="3">
        <v>46.5</v>
      </c>
      <c r="M20" s="8">
        <f>Observations[[#This Row],[Deg]] + (Observations[[#This Row],[Min]] / 60) + (Observations[[#This Row],[Sec]] / 3600)</f>
        <v>1.19625</v>
      </c>
      <c r="N20" t="str" cm="1">
        <f t="array" ref="N20">DMS(Observations[[#This Row],[DegDecimal]])</f>
        <v>01° 11' 47"</v>
      </c>
      <c r="O20" t="str">
        <f>TEXT(Observations[[#This Row],[Date]] + Observations[[#This Row],[Time]] - (Observations[[#This Row],[UTC Offset]] / 24), "YYYY-MM-DDThh:mm:ss")</f>
        <v>2025-02-08T02:20:24</v>
      </c>
      <c r="P20" s="6" t="s">
        <v>89</v>
      </c>
      <c r="Q20" s="26">
        <v>1.1845883570885001</v>
      </c>
      <c r="R20" s="8" t="s">
        <v>89</v>
      </c>
      <c r="S20" s="26">
        <v>1.1607434719029901</v>
      </c>
      <c r="T20" s="27" t="str">
        <f>IF(AND(Observations[[#This Row],[UTC TimeStamp]] = Observations[[#This Row],[celTheoTimestamp]], Observations[[#This Row],[UTC TimeStamp]] = Observations[[#This Row],[apparentTimestamp]]), "", #VALUE!)</f>
        <v/>
      </c>
      <c r="U20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"2025-02-08T02:20:24", "peak": "Blodgett Peak", "star": "HD 216718", "recordedAngle": 1.196250, "celTheoAngle": 1.184588, "apparentAngle": 1.160743 },</v>
      </c>
    </row>
    <row r="21" spans="1:21" x14ac:dyDescent="0.45">
      <c r="A21" s="2">
        <v>45695</v>
      </c>
      <c r="B21" s="5">
        <v>0.75694444444444442</v>
      </c>
      <c r="C21" s="4">
        <v>9720</v>
      </c>
      <c r="D21" s="4">
        <v>1</v>
      </c>
      <c r="E21" s="7">
        <f>Observations[[#This Row],[First Frame]] + ((Observations[[#This Row],[Frame '#]] * Observations[[#This Row],[Interval]]) / 86400)</f>
        <v>0.86944444444444446</v>
      </c>
      <c r="F21" s="25">
        <v>-7</v>
      </c>
      <c r="G21" s="1" t="s">
        <v>20</v>
      </c>
      <c r="H21" s="9">
        <f>VLOOKUP(Observations[[#This Row],[Peak]], Peaks[], 5)</f>
        <v>35910</v>
      </c>
      <c r="I21" t="s">
        <v>25</v>
      </c>
      <c r="J21" s="4">
        <v>1</v>
      </c>
      <c r="K21" s="4">
        <v>11</v>
      </c>
      <c r="L21" s="3">
        <v>53.4</v>
      </c>
      <c r="M21" s="8">
        <f>Observations[[#This Row],[Deg]] + (Observations[[#This Row],[Min]] / 60) + (Observations[[#This Row],[Sec]] / 3600)</f>
        <v>1.1981666666666666</v>
      </c>
      <c r="N21" t="str" cm="1">
        <f t="array" ref="N21">DMS(Observations[[#This Row],[DegDecimal]])</f>
        <v>01° 11' 53"</v>
      </c>
      <c r="O21" t="str">
        <f>TEXT(Observations[[#This Row],[Date]] + Observations[[#This Row],[Time]] - (Observations[[#This Row],[UTC Offset]] / 24), "YYYY-MM-DDThh:mm:ss")</f>
        <v>2025-02-08T03:52:00</v>
      </c>
      <c r="P21" s="6" t="s">
        <v>90</v>
      </c>
      <c r="Q21" s="26">
        <v>1.18606089082898</v>
      </c>
      <c r="R21" s="8" t="s">
        <v>90</v>
      </c>
      <c r="S21" s="26">
        <v>1.16209481510102</v>
      </c>
      <c r="T21" s="27" t="str">
        <f>IF(AND(Observations[[#This Row],[UTC TimeStamp]] = Observations[[#This Row],[celTheoTimestamp]], Observations[[#This Row],[UTC TimeStamp]] = Observations[[#This Row],[apparentTimestamp]]), "", #VALUE!)</f>
        <v/>
      </c>
      <c r="U21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"2025-02-08T03:52:00", "peak": "Blodgett Peak", "star": "HD 2324", "recordedAngle": 1.198167, "celTheoAngle": 1.186061, "apparentAngle": 1.162095 },</v>
      </c>
    </row>
    <row r="22" spans="1:21" x14ac:dyDescent="0.45">
      <c r="A22" s="2">
        <v>45695</v>
      </c>
      <c r="B22" s="5">
        <v>0.75694444444444442</v>
      </c>
      <c r="C22" s="4">
        <v>11152</v>
      </c>
      <c r="D22" s="4">
        <v>1</v>
      </c>
      <c r="E22" s="7">
        <f>Observations[[#This Row],[First Frame]] + ((Observations[[#This Row],[Frame '#]] * Observations[[#This Row],[Interval]]) / 86400)</f>
        <v>0.88601851851851854</v>
      </c>
      <c r="F22" s="25">
        <v>-7</v>
      </c>
      <c r="G22" s="1" t="s">
        <v>20</v>
      </c>
      <c r="H22" s="9">
        <f>VLOOKUP(Observations[[#This Row],[Peak]], Peaks[], 5)</f>
        <v>35910</v>
      </c>
      <c r="I22" t="s">
        <v>26</v>
      </c>
      <c r="J22" s="4">
        <v>1</v>
      </c>
      <c r="K22" s="4">
        <v>12</v>
      </c>
      <c r="L22" s="3">
        <v>19</v>
      </c>
      <c r="M22" s="8">
        <f>Observations[[#This Row],[Deg]] + (Observations[[#This Row],[Min]] / 60) + (Observations[[#This Row],[Sec]] / 3600)</f>
        <v>1.2052777777777777</v>
      </c>
      <c r="N22" t="str" cm="1">
        <f t="array" ref="N22">DMS(Observations[[#This Row],[DegDecimal]])</f>
        <v>01° 12' 19"</v>
      </c>
      <c r="O22" t="str">
        <f>TEXT(Observations[[#This Row],[Date]] + Observations[[#This Row],[Time]] - (Observations[[#This Row],[UTC Offset]] / 24), "YYYY-MM-DDThh:mm:ss")</f>
        <v>2025-02-08T04:15:52</v>
      </c>
      <c r="P22" s="6" t="s">
        <v>91</v>
      </c>
      <c r="Q22" s="26">
        <v>1.1929714341867099</v>
      </c>
      <c r="R22" s="8" t="s">
        <v>91</v>
      </c>
      <c r="S22" s="26">
        <v>1.1684378565675799</v>
      </c>
      <c r="T22" s="27" t="str">
        <f>IF(AND(Observations[[#This Row],[UTC TimeStamp]] = Observations[[#This Row],[celTheoTimestamp]], Observations[[#This Row],[UTC TimeStamp]] = Observations[[#This Row],[apparentTimestamp]]), "", #VALUE!)</f>
        <v/>
      </c>
      <c r="U22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"2025-02-08T04:15:52", "peak": "Blodgett Peak", "star": "HD 4915", "recordedAngle": 1.205278, "celTheoAngle": 1.192971, "apparentAngle": 1.168438 },</v>
      </c>
    </row>
    <row r="23" spans="1:21" x14ac:dyDescent="0.45">
      <c r="A23" s="2">
        <v>45695</v>
      </c>
      <c r="B23" s="5">
        <v>0.75694444444444442</v>
      </c>
      <c r="C23" s="4">
        <v>11900</v>
      </c>
      <c r="D23" s="4">
        <v>1</v>
      </c>
      <c r="E23" s="7">
        <f>Observations[[#This Row],[First Frame]] + ((Observations[[#This Row],[Frame '#]] * Observations[[#This Row],[Interval]]) / 86400)</f>
        <v>0.89467592592592593</v>
      </c>
      <c r="F23" s="25">
        <v>-7</v>
      </c>
      <c r="G23" s="1" t="s">
        <v>20</v>
      </c>
      <c r="H23" s="9">
        <f>VLOOKUP(Observations[[#This Row],[Peak]], Peaks[], 5)</f>
        <v>35910</v>
      </c>
      <c r="I23" t="s">
        <v>53</v>
      </c>
      <c r="J23" s="4">
        <v>1</v>
      </c>
      <c r="K23" s="4">
        <v>12</v>
      </c>
      <c r="L23" s="3">
        <v>17.399999999999999</v>
      </c>
      <c r="M23" s="8">
        <f>Observations[[#This Row],[Deg]] + (Observations[[#This Row],[Min]] / 60) + (Observations[[#This Row],[Sec]] / 3600)</f>
        <v>1.2048333333333332</v>
      </c>
      <c r="N23" t="str" cm="1">
        <f t="array" ref="N23">DMS(Observations[[#This Row],[DegDecimal]])</f>
        <v>01° 12' 17"</v>
      </c>
      <c r="O23" t="str">
        <f>TEXT(Observations[[#This Row],[Date]] + Observations[[#This Row],[Time]] - (Observations[[#This Row],[UTC Offset]] / 24), "YYYY-MM-DDThh:mm:ss")</f>
        <v>2025-02-08T04:28:20</v>
      </c>
      <c r="P23" s="6" t="s">
        <v>92</v>
      </c>
      <c r="Q23" s="26">
        <v>1.1946452500971401</v>
      </c>
      <c r="R23" s="8" t="s">
        <v>92</v>
      </c>
      <c r="S23" s="26">
        <v>1.1699768721181101</v>
      </c>
      <c r="T23" s="27" t="str">
        <f>IF(AND(Observations[[#This Row],[UTC TimeStamp]] = Observations[[#This Row],[celTheoTimestamp]], Observations[[#This Row],[UTC TimeStamp]] = Observations[[#This Row],[apparentTimestamp]]), "", #VALUE!)</f>
        <v/>
      </c>
      <c r="U23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"2025-02-08T04:28:20", "peak": "Blodgett Peak", "star": "25 Cet", "recordedAngle": 1.204833, "celTheoAngle": 1.194645, "apparentAngle": 1.169977 },</v>
      </c>
    </row>
    <row r="24" spans="1:21" x14ac:dyDescent="0.45">
      <c r="A24" s="2">
        <v>45695</v>
      </c>
      <c r="B24" s="5">
        <v>0.75694444444444442</v>
      </c>
      <c r="C24" s="4">
        <v>12540</v>
      </c>
      <c r="D24" s="4">
        <v>1</v>
      </c>
      <c r="E24" s="7">
        <f>Observations[[#This Row],[First Frame]] + ((Observations[[#This Row],[Frame '#]] * Observations[[#This Row],[Interval]]) / 86400)</f>
        <v>0.90208333333333335</v>
      </c>
      <c r="F24" s="25">
        <v>-7</v>
      </c>
      <c r="G24" s="1" t="s">
        <v>20</v>
      </c>
      <c r="H24" s="9">
        <f>VLOOKUP(Observations[[#This Row],[Peak]], Peaks[], 5)</f>
        <v>35910</v>
      </c>
      <c r="I24" t="s">
        <v>27</v>
      </c>
      <c r="J24" s="4">
        <v>1</v>
      </c>
      <c r="K24" s="4">
        <v>12</v>
      </c>
      <c r="L24" s="3">
        <v>52.1</v>
      </c>
      <c r="M24" s="8">
        <f>Observations[[#This Row],[Deg]] + (Observations[[#This Row],[Min]] / 60) + (Observations[[#This Row],[Sec]] / 3600)</f>
        <v>1.2144722222222222</v>
      </c>
      <c r="N24" t="str" cm="1">
        <f t="array" ref="N24">DMS(Observations[[#This Row],[DegDecimal]])</f>
        <v>01° 12' 52"</v>
      </c>
      <c r="O24" t="str">
        <f>TEXT(Observations[[#This Row],[Date]] + Observations[[#This Row],[Time]] - (Observations[[#This Row],[UTC Offset]] / 24), "YYYY-MM-DDThh:mm:ss")</f>
        <v>2025-02-08T04:39:00</v>
      </c>
      <c r="P24" s="6" t="s">
        <v>93</v>
      </c>
      <c r="Q24" s="26">
        <v>1.20405916363247</v>
      </c>
      <c r="R24" s="8" t="s">
        <v>93</v>
      </c>
      <c r="S24" s="26">
        <v>1.1786185228772399</v>
      </c>
      <c r="T24" s="27" t="str">
        <f>IF(AND(Observations[[#This Row],[UTC TimeStamp]] = Observations[[#This Row],[celTheoTimestamp]], Observations[[#This Row],[UTC TimeStamp]] = Observations[[#This Row],[apparentTimestamp]]), "", #VALUE!)</f>
        <v/>
      </c>
      <c r="U24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"2025-02-08T04:39:00", "peak": "Blodgett Peak", "star": "HD 7449", "recordedAngle": 1.214472, "celTheoAngle": 1.204059, "apparentAngle": 1.178619 },</v>
      </c>
    </row>
    <row r="25" spans="1:21" x14ac:dyDescent="0.45">
      <c r="A25" s="2">
        <v>45725</v>
      </c>
      <c r="B25" s="5">
        <v>0.8333680555555556</v>
      </c>
      <c r="C25" s="4">
        <v>71</v>
      </c>
      <c r="D25" s="4">
        <v>1</v>
      </c>
      <c r="E25" s="7">
        <f>Observations[[#This Row],[First Frame]] + ((Observations[[#This Row],[Frame '#]] * Observations[[#This Row],[Interval]]) / 86400)</f>
        <v>0.83418981481481491</v>
      </c>
      <c r="F25" s="25">
        <v>-6</v>
      </c>
      <c r="G25" s="1" t="s">
        <v>21</v>
      </c>
      <c r="H25" s="9">
        <f>VLOOKUP(Observations[[#This Row],[Peak]], Peaks[], 5)</f>
        <v>42630</v>
      </c>
      <c r="I25" t="s">
        <v>73</v>
      </c>
      <c r="J25" s="4">
        <v>1</v>
      </c>
      <c r="K25" s="4">
        <v>0</v>
      </c>
      <c r="L25" s="3">
        <v>50.1</v>
      </c>
      <c r="M25" s="8">
        <f>Observations[[#This Row],[Deg]] + (Observations[[#This Row],[Min]] / 60) + (Observations[[#This Row],[Sec]] / 3600)</f>
        <v>1.0139166666666666</v>
      </c>
      <c r="N25" t="str" cm="1">
        <f t="array" ref="N25">DMS(Observations[[#This Row],[DegDecimal]])</f>
        <v>01° 00' 50"</v>
      </c>
      <c r="O25" t="str">
        <f>TEXT(Observations[[#This Row],[Date]] + Observations[[#This Row],[Time]] - (Observations[[#This Row],[UTC Offset]] / 24), "YYYY-MM-DDThh:mm:ss")</f>
        <v>2025-03-10T02:01:14</v>
      </c>
      <c r="P25" s="6" t="s">
        <v>97</v>
      </c>
      <c r="Q25" s="26">
        <v>1.00108888012407</v>
      </c>
      <c r="R25" s="8" t="s">
        <v>97</v>
      </c>
      <c r="S25" s="26">
        <v>0.93780275763537702</v>
      </c>
      <c r="T25" s="27" t="str">
        <f>IF(AND(Observations[[#This Row],[UTC TimeStamp]] = Observations[[#This Row],[celTheoTimestamp]], Observations[[#This Row],[UTC TimeStamp]] = Observations[[#This Row],[apparentTimestamp]]), "", #VALUE!)</f>
        <v/>
      </c>
      <c r="U25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"2025-03-10T02:01:14", "peak": "Cheyenne Mountain", "star": "HD 13709", "recordedAngle": 1.013917, "celTheoAngle": 1.001089, "apparentAngle": 0.937803 },</v>
      </c>
    </row>
    <row r="26" spans="1:21" x14ac:dyDescent="0.45">
      <c r="A26" s="2">
        <v>45725</v>
      </c>
      <c r="B26" s="5">
        <v>0.8333680555555556</v>
      </c>
      <c r="C26" s="4">
        <v>1719</v>
      </c>
      <c r="D26" s="4">
        <v>1</v>
      </c>
      <c r="E26" s="7">
        <f>Observations[[#This Row],[First Frame]] + ((Observations[[#This Row],[Frame '#]] * Observations[[#This Row],[Interval]]) / 86400)</f>
        <v>0.85326388888888893</v>
      </c>
      <c r="F26" s="25">
        <v>-6</v>
      </c>
      <c r="G26" s="1" t="s">
        <v>21</v>
      </c>
      <c r="H26" s="9">
        <f>VLOOKUP(Observations[[#This Row],[Peak]], Peaks[], 5)</f>
        <v>42630</v>
      </c>
      <c r="I26" t="s">
        <v>28</v>
      </c>
      <c r="J26" s="4">
        <v>1</v>
      </c>
      <c r="K26" s="4">
        <v>1</v>
      </c>
      <c r="L26" s="3">
        <v>7.5</v>
      </c>
      <c r="M26" s="8">
        <f>Observations[[#This Row],[Deg]] + (Observations[[#This Row],[Min]] / 60) + (Observations[[#This Row],[Sec]] / 3600)</f>
        <v>1.01875</v>
      </c>
      <c r="N26" t="str" cm="1">
        <f t="array" ref="N26">DMS(Observations[[#This Row],[DegDecimal]])</f>
        <v>01° 01' 08"</v>
      </c>
      <c r="O26" t="str">
        <f>TEXT(Observations[[#This Row],[Date]] + Observations[[#This Row],[Time]] - (Observations[[#This Row],[UTC Offset]] / 24), "YYYY-MM-DDThh:mm:ss")</f>
        <v>2025-03-10T02:28:42</v>
      </c>
      <c r="P26" s="6" t="s">
        <v>98</v>
      </c>
      <c r="Q26" s="26">
        <v>0.99612728080426305</v>
      </c>
      <c r="R26" s="8" t="s">
        <v>98</v>
      </c>
      <c r="S26" s="26">
        <v>0.93329377597948904</v>
      </c>
      <c r="T26" s="27" t="str">
        <f>IF(AND(Observations[[#This Row],[UTC TimeStamp]] = Observations[[#This Row],[celTheoTimestamp]], Observations[[#This Row],[UTC TimeStamp]] = Observations[[#This Row],[apparentTimestamp]]), "", #VALUE!)</f>
        <v/>
      </c>
      <c r="U26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"2025-03-10T02:28:42", "peak": "Cheyenne Mountain", "star": "HD 16733", "recordedAngle": 1.018750, "celTheoAngle": 0.996127, "apparentAngle": 0.933294 },</v>
      </c>
    </row>
    <row r="27" spans="1:21" x14ac:dyDescent="0.45">
      <c r="A27" s="2">
        <v>45725</v>
      </c>
      <c r="B27" s="5">
        <v>0.8333680555555556</v>
      </c>
      <c r="C27" s="4">
        <v>2380</v>
      </c>
      <c r="D27" s="4">
        <v>1</v>
      </c>
      <c r="E27" s="7">
        <f>Observations[[#This Row],[First Frame]] + ((Observations[[#This Row],[Frame '#]] * Observations[[#This Row],[Interval]]) / 86400)</f>
        <v>0.86091435185185194</v>
      </c>
      <c r="F27" s="25">
        <v>-6</v>
      </c>
      <c r="G27" s="1" t="s">
        <v>21</v>
      </c>
      <c r="H27" s="9">
        <f>VLOOKUP(Observations[[#This Row],[Peak]], Peaks[], 5)</f>
        <v>42630</v>
      </c>
      <c r="I27" t="s">
        <v>29</v>
      </c>
      <c r="J27" s="4">
        <v>1</v>
      </c>
      <c r="K27" s="4">
        <v>0</v>
      </c>
      <c r="L27" s="3">
        <v>16.8</v>
      </c>
      <c r="M27" s="8">
        <f>Observations[[#This Row],[Deg]] + (Observations[[#This Row],[Min]] / 60) + (Observations[[#This Row],[Sec]] / 3600)</f>
        <v>1.0046666666666666</v>
      </c>
      <c r="N27" t="str" cm="1">
        <f t="array" ref="N27">DMS(Observations[[#This Row],[DegDecimal]])</f>
        <v>01° 00' 17"</v>
      </c>
      <c r="O27" t="str">
        <f>TEXT(Observations[[#This Row],[Date]] + Observations[[#This Row],[Time]] - (Observations[[#This Row],[UTC Offset]] / 24), "YYYY-MM-DDThh:mm:ss")</f>
        <v>2025-03-10T02:39:43</v>
      </c>
      <c r="P27" s="6" t="s">
        <v>99</v>
      </c>
      <c r="Q27" s="26">
        <v>0.982116140493977</v>
      </c>
      <c r="R27" s="8" t="s">
        <v>99</v>
      </c>
      <c r="S27" s="26">
        <v>0.92056376802585405</v>
      </c>
      <c r="T27" s="27" t="str">
        <f>IF(AND(Observations[[#This Row],[UTC TimeStamp]] = Observations[[#This Row],[celTheoTimestamp]], Observations[[#This Row],[UTC TimeStamp]] = Observations[[#This Row],[apparentTimestamp]]), "", #VALUE!)</f>
        <v/>
      </c>
      <c r="U27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"2025-03-10T02:39:43", "peak": "Cheyenne Mountain", "star": "HD 17926", "recordedAngle": 1.004667, "celTheoAngle": 0.982116, "apparentAngle": 0.920564 },</v>
      </c>
    </row>
    <row r="28" spans="1:21" x14ac:dyDescent="0.45">
      <c r="A28" s="2">
        <v>45725</v>
      </c>
      <c r="B28" s="5">
        <v>0.8333680555555556</v>
      </c>
      <c r="C28" s="4">
        <v>4928</v>
      </c>
      <c r="D28" s="4">
        <v>1</v>
      </c>
      <c r="E28" s="7">
        <f>Observations[[#This Row],[First Frame]] + ((Observations[[#This Row],[Frame '#]] * Observations[[#This Row],[Interval]]) / 86400)</f>
        <v>0.8904050925925926</v>
      </c>
      <c r="F28" s="25">
        <v>-6</v>
      </c>
      <c r="G28" s="1" t="s">
        <v>21</v>
      </c>
      <c r="H28" s="9">
        <f>VLOOKUP(Observations[[#This Row],[Peak]], Peaks[], 5)</f>
        <v>42630</v>
      </c>
      <c r="I28" t="s">
        <v>30</v>
      </c>
      <c r="J28" s="4">
        <v>1</v>
      </c>
      <c r="K28" s="4">
        <v>1</v>
      </c>
      <c r="L28" s="3">
        <v>57.8</v>
      </c>
      <c r="M28" s="8">
        <f>Observations[[#This Row],[Deg]] + (Observations[[#This Row],[Min]] / 60) + (Observations[[#This Row],[Sec]] / 3600)</f>
        <v>1.0327222222222221</v>
      </c>
      <c r="N28" t="str" cm="1">
        <f t="array" ref="N28">DMS(Observations[[#This Row],[DegDecimal]])</f>
        <v>01° 01' 58"</v>
      </c>
      <c r="O28" t="str">
        <f>TEXT(Observations[[#This Row],[Date]] + Observations[[#This Row],[Time]] - (Observations[[#This Row],[UTC Offset]] / 24), "YYYY-MM-DDThh:mm:ss")</f>
        <v>2025-03-10T03:22:11</v>
      </c>
      <c r="P28" s="6" t="s">
        <v>100</v>
      </c>
      <c r="Q28" s="26">
        <v>1.0100444130488699</v>
      </c>
      <c r="R28" s="8" t="s">
        <v>100</v>
      </c>
      <c r="S28" s="26">
        <v>0.94594537685263202</v>
      </c>
      <c r="T28" s="27" t="str">
        <f>IF(AND(Observations[[#This Row],[UTC TimeStamp]] = Observations[[#This Row],[celTheoTimestamp]], Observations[[#This Row],[UTC TimeStamp]] = Observations[[#This Row],[apparentTimestamp]]), "", #VALUE!)</f>
        <v/>
      </c>
      <c r="U28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"2025-03-10T03:22:11", "peak": "Cheyenne Mountain", "star": "HD 22248", "recordedAngle": 1.032722, "celTheoAngle": 1.010044, "apparentAngle": 0.945945 },</v>
      </c>
    </row>
    <row r="29" spans="1:21" x14ac:dyDescent="0.45">
      <c r="A29" s="2">
        <v>45725</v>
      </c>
      <c r="B29" s="5">
        <v>0.8333680555555556</v>
      </c>
      <c r="C29" s="4">
        <v>5906</v>
      </c>
      <c r="D29" s="4">
        <v>1</v>
      </c>
      <c r="E29" s="7">
        <f>Observations[[#This Row],[First Frame]] + ((Observations[[#This Row],[Frame '#]] * Observations[[#This Row],[Interval]]) / 86400)</f>
        <v>0.90172453703703703</v>
      </c>
      <c r="F29" s="25">
        <v>-6</v>
      </c>
      <c r="G29" s="1" t="s">
        <v>21</v>
      </c>
      <c r="H29" s="9">
        <f>VLOOKUP(Observations[[#This Row],[Peak]], Peaks[], 5)</f>
        <v>42630</v>
      </c>
      <c r="I29" t="s">
        <v>31</v>
      </c>
      <c r="J29" s="4">
        <v>1</v>
      </c>
      <c r="K29" s="4">
        <v>1</v>
      </c>
      <c r="L29" s="3">
        <v>35.4</v>
      </c>
      <c r="M29" s="8">
        <f>Observations[[#This Row],[Deg]] + (Observations[[#This Row],[Min]] / 60) + (Observations[[#This Row],[Sec]] / 3600)</f>
        <v>1.0265</v>
      </c>
      <c r="N29" t="str" cm="1">
        <f t="array" ref="N29">DMS(Observations[[#This Row],[DegDecimal]])</f>
        <v>01° 01' 35"</v>
      </c>
      <c r="O29" t="str">
        <f>TEXT(Observations[[#This Row],[Date]] + Observations[[#This Row],[Time]] - (Observations[[#This Row],[UTC Offset]] / 24), "YYYY-MM-DDThh:mm:ss")</f>
        <v>2025-03-10T03:38:29</v>
      </c>
      <c r="P29" s="6" t="s">
        <v>101</v>
      </c>
      <c r="Q29" s="26">
        <v>1.00379106040412</v>
      </c>
      <c r="R29" s="8" t="s">
        <v>101</v>
      </c>
      <c r="S29" s="26">
        <v>0.94025926207589905</v>
      </c>
      <c r="T29" s="27" t="str">
        <f>IF(AND(Observations[[#This Row],[UTC TimeStamp]] = Observations[[#This Row],[celTheoTimestamp]], Observations[[#This Row],[UTC TimeStamp]] = Observations[[#This Row],[apparentTimestamp]]), "", #VALUE!)</f>
        <v/>
      </c>
      <c r="U29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"2025-03-10T03:38:29", "peak": "Cheyenne Mountain", "star": "HD 24267", "recordedAngle": 1.026500, "celTheoAngle": 1.003791, "apparentAngle": 0.940259 },</v>
      </c>
    </row>
    <row r="30" spans="1:21" x14ac:dyDescent="0.45">
      <c r="A30" s="2">
        <v>45725</v>
      </c>
      <c r="B30" s="5">
        <v>0.8333680555555556</v>
      </c>
      <c r="C30" s="4">
        <v>6571</v>
      </c>
      <c r="D30" s="4">
        <v>1</v>
      </c>
      <c r="E30" s="7">
        <f>Observations[[#This Row],[First Frame]] + ((Observations[[#This Row],[Frame '#]] * Observations[[#This Row],[Interval]]) / 86400)</f>
        <v>0.90942129629629631</v>
      </c>
      <c r="F30" s="25">
        <v>-6</v>
      </c>
      <c r="G30" s="1" t="s">
        <v>21</v>
      </c>
      <c r="H30" s="9">
        <f>VLOOKUP(Observations[[#This Row],[Peak]], Peaks[], 5)</f>
        <v>42630</v>
      </c>
      <c r="I30" t="s">
        <v>32</v>
      </c>
      <c r="J30" s="4">
        <v>1</v>
      </c>
      <c r="K30" s="4">
        <v>1</v>
      </c>
      <c r="L30" s="3">
        <v>17.899999999999999</v>
      </c>
      <c r="M30" s="8">
        <f>Observations[[#This Row],[Deg]] + (Observations[[#This Row],[Min]] / 60) + (Observations[[#This Row],[Sec]] / 3600)</f>
        <v>1.0216388888888888</v>
      </c>
      <c r="N30" t="str" cm="1">
        <f t="array" ref="N30">DMS(Observations[[#This Row],[DegDecimal]])</f>
        <v>01° 01' 18"</v>
      </c>
      <c r="O30" t="str">
        <f>TEXT(Observations[[#This Row],[Date]] + Observations[[#This Row],[Time]] - (Observations[[#This Row],[UTC Offset]] / 24), "YYYY-MM-DDThh:mm:ss")</f>
        <v>2025-03-10T03:49:34</v>
      </c>
      <c r="P30" s="6" t="s">
        <v>102</v>
      </c>
      <c r="Q30" s="26">
        <v>0.99886389574520995</v>
      </c>
      <c r="R30" s="8" t="s">
        <v>102</v>
      </c>
      <c r="S30" s="26">
        <v>0.93578428132828895</v>
      </c>
      <c r="T30" s="27" t="str">
        <f>IF(AND(Observations[[#This Row],[UTC TimeStamp]] = Observations[[#This Row],[celTheoTimestamp]], Observations[[#This Row],[UTC TimeStamp]] = Observations[[#This Row],[apparentTimestamp]]), "", #VALUE!)</f>
        <v/>
      </c>
      <c r="U30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"2025-03-10T03:49:34", "peak": "Cheyenne Mountain", "star": "HD 25371", "recordedAngle": 1.021639, "celTheoAngle": 0.998864, "apparentAngle": 0.935784 },</v>
      </c>
    </row>
    <row r="31" spans="1:21" x14ac:dyDescent="0.45">
      <c r="A31" s="2">
        <v>45726</v>
      </c>
      <c r="B31" s="5">
        <v>0.85184027777777782</v>
      </c>
      <c r="C31" s="4">
        <v>1487</v>
      </c>
      <c r="D31" s="4">
        <v>1</v>
      </c>
      <c r="E31" s="7">
        <f>Observations[[#This Row],[First Frame]] + ((Observations[[#This Row],[Frame '#]] * Observations[[#This Row],[Interval]]) / 86400)</f>
        <v>0.86905092592592592</v>
      </c>
      <c r="F31" s="25">
        <v>-6</v>
      </c>
      <c r="G31" s="1" t="s">
        <v>33</v>
      </c>
      <c r="H31" s="9">
        <f>VLOOKUP(Observations[[#This Row],[Peak]], Peaks[], 5)</f>
        <v>47730</v>
      </c>
      <c r="I31" t="s">
        <v>34</v>
      </c>
      <c r="J31" s="4">
        <v>1</v>
      </c>
      <c r="K31" s="4">
        <v>43</v>
      </c>
      <c r="L31" s="3">
        <v>14.4</v>
      </c>
      <c r="M31" s="8">
        <f>Observations[[#This Row],[Deg]] + (Observations[[#This Row],[Min]] / 60) + (Observations[[#This Row],[Sec]] / 3600)</f>
        <v>1.7206666666666668</v>
      </c>
      <c r="N31" t="str" cm="1">
        <f t="array" ref="N31">DMS(Observations[[#This Row],[DegDecimal]])</f>
        <v>01° 43' 14"</v>
      </c>
      <c r="O31" t="str">
        <f>TEXT(Observations[[#This Row],[Date]] + Observations[[#This Row],[Time]] - (Observations[[#This Row],[UTC Offset]] / 24), "YYYY-MM-DDThh:mm:ss")</f>
        <v>2025-03-11T02:51:26</v>
      </c>
      <c r="P31" s="6" t="s">
        <v>108</v>
      </c>
      <c r="Q31" s="26">
        <v>1.71128643307267</v>
      </c>
      <c r="R31" s="8" t="s">
        <v>108</v>
      </c>
      <c r="S31" s="26">
        <v>1.54928057385159</v>
      </c>
      <c r="T31" s="27" t="str">
        <f>IF(AND(Observations[[#This Row],[UTC TimeStamp]] = Observations[[#This Row],[celTheoTimestamp]], Observations[[#This Row],[UTC TimeStamp]] = Observations[[#This Row],[apparentTimestamp]]), "", #VALUE!)</f>
        <v/>
      </c>
      <c r="U31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"2025-03-11T02:51:26", "peak": "Mount Rosa", "star": "HD 17320", "recordedAngle": 1.720667, "celTheoAngle": 1.711286, "apparentAngle": 1.549281 },</v>
      </c>
    </row>
    <row r="32" spans="1:21" x14ac:dyDescent="0.45">
      <c r="A32" s="2">
        <v>45726</v>
      </c>
      <c r="B32" s="5">
        <v>0.85184027777777782</v>
      </c>
      <c r="C32" s="4">
        <v>2053</v>
      </c>
      <c r="D32" s="4">
        <v>1</v>
      </c>
      <c r="E32" s="7">
        <f>Observations[[#This Row],[First Frame]] + ((Observations[[#This Row],[Frame '#]] * Observations[[#This Row],[Interval]]) / 86400)</f>
        <v>0.87560185185185191</v>
      </c>
      <c r="F32" s="25">
        <v>-6</v>
      </c>
      <c r="G32" s="1" t="s">
        <v>33</v>
      </c>
      <c r="H32" s="9">
        <f>VLOOKUP(Observations[[#This Row],[Peak]], Peaks[], 5)</f>
        <v>47730</v>
      </c>
      <c r="I32" t="s">
        <v>35</v>
      </c>
      <c r="J32" s="4">
        <v>1</v>
      </c>
      <c r="K32" s="4">
        <v>43</v>
      </c>
      <c r="L32" s="3">
        <v>19.399999999999999</v>
      </c>
      <c r="M32" s="8">
        <f>Observations[[#This Row],[Deg]] + (Observations[[#This Row],[Min]] / 60) + (Observations[[#This Row],[Sec]] / 3600)</f>
        <v>1.7220555555555557</v>
      </c>
      <c r="N32" t="str" cm="1">
        <f t="array" ref="N32">DMS(Observations[[#This Row],[DegDecimal]])</f>
        <v>01° 43' 19"</v>
      </c>
      <c r="O32" t="str">
        <f>TEXT(Observations[[#This Row],[Date]] + Observations[[#This Row],[Time]] - (Observations[[#This Row],[UTC Offset]] / 24), "YYYY-MM-DDThh:mm:ss")</f>
        <v>2025-03-11T03:00:52</v>
      </c>
      <c r="P32" s="6" t="s">
        <v>109</v>
      </c>
      <c r="Q32" s="26">
        <v>1.71268047583594</v>
      </c>
      <c r="R32" s="8" t="s">
        <v>109</v>
      </c>
      <c r="S32" s="26">
        <v>1.5505787665389901</v>
      </c>
      <c r="T32" s="27" t="str">
        <f>IF(AND(Observations[[#This Row],[UTC TimeStamp]] = Observations[[#This Row],[celTheoTimestamp]], Observations[[#This Row],[UTC TimeStamp]] = Observations[[#This Row],[apparentTimestamp]]), "", #VALUE!)</f>
        <v/>
      </c>
      <c r="U32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"2025-03-11T03:00:52", "peak": "Mount Rosa", "star": "HD 18290", "recordedAngle": 1.722056, "celTheoAngle": 1.712680, "apparentAngle": 1.550579 },</v>
      </c>
    </row>
    <row r="33" spans="1:21" x14ac:dyDescent="0.45">
      <c r="A33" s="2">
        <v>45728</v>
      </c>
      <c r="B33" s="5">
        <v>0.87640046296296292</v>
      </c>
      <c r="C33" s="4">
        <v>5453</v>
      </c>
      <c r="D33" s="4">
        <v>1</v>
      </c>
      <c r="E33" s="7">
        <f>Observations[[#This Row],[First Frame]] + ((Observations[[#This Row],[Frame '#]] * Observations[[#This Row],[Interval]]) / 86400)</f>
        <v>0.93951388888888887</v>
      </c>
      <c r="F33" s="25">
        <v>-6</v>
      </c>
      <c r="G33" s="1" t="s">
        <v>22</v>
      </c>
      <c r="H33" s="9">
        <f>VLOOKUP(Observations[[#This Row],[Peak]], Peaks[], 5)</f>
        <v>49770</v>
      </c>
      <c r="I33" t="s">
        <v>36</v>
      </c>
      <c r="J33" s="4">
        <v>1</v>
      </c>
      <c r="K33" s="4">
        <v>0</v>
      </c>
      <c r="L33" s="3">
        <v>46.9</v>
      </c>
      <c r="M33" s="8">
        <f>Observations[[#This Row],[Deg]] + (Observations[[#This Row],[Min]] / 60) + (Observations[[#This Row],[Sec]] / 3600)</f>
        <v>1.0130277777777779</v>
      </c>
      <c r="N33" t="str" cm="1">
        <f t="array" ref="N33">DMS(Observations[[#This Row],[DegDecimal]])</f>
        <v>01° 00' 47"</v>
      </c>
      <c r="O33" t="str">
        <f>TEXT(Observations[[#This Row],[Date]] + Observations[[#This Row],[Time]] - (Observations[[#This Row],[UTC Offset]] / 24), "YYYY-MM-DDThh:mm:ss")</f>
        <v>2025-03-13T04:32:54</v>
      </c>
      <c r="P33" s="6" t="s">
        <v>94</v>
      </c>
      <c r="Q33" s="26">
        <v>1.0050118907969501</v>
      </c>
      <c r="R33" s="8" t="s">
        <v>94</v>
      </c>
      <c r="S33" s="26">
        <v>0.88299936175764404</v>
      </c>
      <c r="T33" s="27" t="str">
        <f>IF(AND(Observations[[#This Row],[UTC TimeStamp]] = Observations[[#This Row],[celTheoTimestamp]], Observations[[#This Row],[UTC TimeStamp]] = Observations[[#This Row],[apparentTimestamp]]), "", #VALUE!)</f>
        <v/>
      </c>
      <c r="U33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"2025-03-13T04:32:54", "peak": "Blue Mountain", "star": "HD 32515", "recordedAngle": 1.013028, "celTheoAngle": 1.005012, "apparentAngle": 0.882999 },</v>
      </c>
    </row>
    <row r="34" spans="1:21" x14ac:dyDescent="0.45">
      <c r="A34" s="2">
        <v>45728</v>
      </c>
      <c r="B34" s="5">
        <v>0.87640046296296292</v>
      </c>
      <c r="C34" s="4">
        <v>5562</v>
      </c>
      <c r="D34" s="4">
        <v>1</v>
      </c>
      <c r="E34" s="7">
        <f>Observations[[#This Row],[First Frame]] + ((Observations[[#This Row],[Frame '#]] * Observations[[#This Row],[Interval]]) / 86400)</f>
        <v>0.94077546296296288</v>
      </c>
      <c r="F34" s="25">
        <v>-6</v>
      </c>
      <c r="G34" s="1" t="s">
        <v>22</v>
      </c>
      <c r="H34" s="9">
        <f>VLOOKUP(Observations[[#This Row],[Peak]], Peaks[], 5)</f>
        <v>49770</v>
      </c>
      <c r="I34" t="s">
        <v>37</v>
      </c>
      <c r="J34" s="4">
        <v>1</v>
      </c>
      <c r="K34" s="4">
        <v>1</v>
      </c>
      <c r="L34" s="3">
        <v>56.6</v>
      </c>
      <c r="M34" s="8">
        <f>Observations[[#This Row],[Deg]] + (Observations[[#This Row],[Min]] / 60) + (Observations[[#This Row],[Sec]] / 3600)</f>
        <v>1.0323888888888888</v>
      </c>
      <c r="N34" t="str" cm="1">
        <f t="array" ref="N34">DMS(Observations[[#This Row],[DegDecimal]])</f>
        <v>01° 01' 57"</v>
      </c>
      <c r="O34" t="str">
        <f>TEXT(Observations[[#This Row],[Date]] + Observations[[#This Row],[Time]] - (Observations[[#This Row],[UTC Offset]] / 24), "YYYY-MM-DDThh:mm:ss")</f>
        <v>2025-03-13T04:34:43</v>
      </c>
      <c r="P34" s="6" t="s">
        <v>95</v>
      </c>
      <c r="Q34" s="26">
        <v>1.0243922089767501</v>
      </c>
      <c r="R34" s="8" t="s">
        <v>95</v>
      </c>
      <c r="S34" s="26">
        <v>0.90057362269284003</v>
      </c>
      <c r="T34" s="27" t="str">
        <f>IF(AND(Observations[[#This Row],[UTC TimeStamp]] = Observations[[#This Row],[celTheoTimestamp]], Observations[[#This Row],[UTC TimeStamp]] = Observations[[#This Row],[apparentTimestamp]]), "", #VALUE!)</f>
        <v/>
      </c>
      <c r="U34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"2025-03-13T04:34:43", "peak": "Blue Mountain", "star": "HD 32489", "recordedAngle": 1.032389, "celTheoAngle": 1.024392, "apparentAngle": 0.900574 },</v>
      </c>
    </row>
    <row r="35" spans="1:21" x14ac:dyDescent="0.45">
      <c r="A35" s="2">
        <v>45728</v>
      </c>
      <c r="B35" s="5">
        <v>0.87640046296296292</v>
      </c>
      <c r="C35" s="4">
        <v>8780</v>
      </c>
      <c r="D35" s="4">
        <v>1</v>
      </c>
      <c r="E35" s="7">
        <f>Observations[[#This Row],[First Frame]] + ((Observations[[#This Row],[Frame '#]] * Observations[[#This Row],[Interval]]) / 86400)</f>
        <v>0.97802083333333334</v>
      </c>
      <c r="F35" s="25">
        <v>-6</v>
      </c>
      <c r="G35" s="1" t="s">
        <v>22</v>
      </c>
      <c r="H35" s="9">
        <f>VLOOKUP(Observations[[#This Row],[Peak]], Peaks[], 5)</f>
        <v>49770</v>
      </c>
      <c r="I35" t="s">
        <v>74</v>
      </c>
      <c r="J35" s="4">
        <v>1</v>
      </c>
      <c r="K35" s="4">
        <v>2</v>
      </c>
      <c r="L35" s="3">
        <v>44.8</v>
      </c>
      <c r="M35" s="8">
        <f>Observations[[#This Row],[Deg]] + (Observations[[#This Row],[Min]] / 60) + (Observations[[#This Row],[Sec]] / 3600)</f>
        <v>1.0457777777777779</v>
      </c>
      <c r="N35" t="str" cm="1">
        <f t="array" ref="N35">DMS(Observations[[#This Row],[DegDecimal]])</f>
        <v>01° 02' 45"</v>
      </c>
      <c r="O35" t="str">
        <f>TEXT(Observations[[#This Row],[Date]] + Observations[[#This Row],[Time]] - (Observations[[#This Row],[UTC Offset]] / 24), "YYYY-MM-DDThh:mm:ss")</f>
        <v>2025-03-13T05:28:21</v>
      </c>
      <c r="P35" s="6" t="s">
        <v>96</v>
      </c>
      <c r="Q35" s="26">
        <v>1.0378046159926</v>
      </c>
      <c r="R35" s="8" t="s">
        <v>96</v>
      </c>
      <c r="S35" s="26">
        <v>0.91274634363704799</v>
      </c>
      <c r="T35" s="27" t="str">
        <f>IF(AND(Observations[[#This Row],[UTC TimeStamp]] = Observations[[#This Row],[celTheoTimestamp]], Observations[[#This Row],[UTC TimeStamp]] = Observations[[#This Row],[apparentTimestamp]]), "", #VALUE!)</f>
        <v/>
      </c>
      <c r="U35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"2025-03-13T05:28:21", "peak": "Blue Mountain", "star": "HD 40248", "recordedAngle": 1.045778, "celTheoAngle": 1.037805, "apparentAngle": 0.912746 },</v>
      </c>
    </row>
    <row r="36" spans="1:21" x14ac:dyDescent="0.45">
      <c r="A36" s="2">
        <v>45730</v>
      </c>
      <c r="B36" s="5">
        <v>0.84138888888888885</v>
      </c>
      <c r="C36" s="4">
        <v>6682</v>
      </c>
      <c r="D36" s="4">
        <v>1</v>
      </c>
      <c r="E36" s="7">
        <f>Observations[[#This Row],[First Frame]] + ((Observations[[#This Row],[Frame '#]] * Observations[[#This Row],[Interval]]) / 86400)</f>
        <v>0.91872685185185188</v>
      </c>
      <c r="F36" s="25">
        <v>-6</v>
      </c>
      <c r="G36" s="1" t="s">
        <v>23</v>
      </c>
      <c r="H36" s="9">
        <f>VLOOKUP(Observations[[#This Row],[Peak]], Peaks[], 5)</f>
        <v>52690</v>
      </c>
      <c r="I36" t="s">
        <v>39</v>
      </c>
      <c r="J36" s="4">
        <v>1</v>
      </c>
      <c r="K36" s="4">
        <v>7</v>
      </c>
      <c r="L36" s="3">
        <v>0</v>
      </c>
      <c r="M36" s="8">
        <f>Observations[[#This Row],[Deg]] + (Observations[[#This Row],[Min]] / 60) + (Observations[[#This Row],[Sec]] / 3600)</f>
        <v>1.1166666666666667</v>
      </c>
      <c r="N36" t="str" cm="1">
        <f t="array" ref="N36">DMS(Observations[[#This Row],[DegDecimal]])</f>
        <v>01° 07' 00"</v>
      </c>
      <c r="O36" t="str">
        <f>TEXT(Observations[[#This Row],[Date]] + Observations[[#This Row],[Time]] - (Observations[[#This Row],[UTC Offset]] / 24), "YYYY-MM-DDThh:mm:ss")</f>
        <v>2025-03-15T04:02:58</v>
      </c>
      <c r="P36" s="6" t="s">
        <v>103</v>
      </c>
      <c r="Q36" s="26">
        <v>1.0808494566035101</v>
      </c>
      <c r="R36" s="8" t="s">
        <v>103</v>
      </c>
      <c r="S36" s="26">
        <v>0.92794249115247096</v>
      </c>
      <c r="T36" s="27" t="str">
        <f>IF(AND(Observations[[#This Row],[UTC TimeStamp]] = Observations[[#This Row],[celTheoTimestamp]], Observations[[#This Row],[UTC TimeStamp]] = Observations[[#This Row],[apparentTimestamp]]), "", #VALUE!)</f>
        <v/>
      </c>
      <c r="U36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"2025-03-15T04:02:58", "peak": "Green Mountain", "star": "HD 28388", "recordedAngle": 1.116667, "celTheoAngle": 1.080849, "apparentAngle": 0.927942 },</v>
      </c>
    </row>
    <row r="37" spans="1:21" x14ac:dyDescent="0.45">
      <c r="A37" s="2">
        <v>45730</v>
      </c>
      <c r="B37" s="5">
        <v>0.84138888888888885</v>
      </c>
      <c r="C37" s="4">
        <v>11872</v>
      </c>
      <c r="D37" s="4">
        <v>1</v>
      </c>
      <c r="E37" s="7">
        <f>Observations[[#This Row],[First Frame]] + ((Observations[[#This Row],[Frame '#]] * Observations[[#This Row],[Interval]]) / 86400)</f>
        <v>0.97879629629629628</v>
      </c>
      <c r="F37" s="25">
        <v>-6</v>
      </c>
      <c r="G37" s="1" t="s">
        <v>23</v>
      </c>
      <c r="H37" s="9">
        <f>VLOOKUP(Observations[[#This Row],[Peak]], Peaks[], 5)</f>
        <v>52690</v>
      </c>
      <c r="I37" t="s">
        <v>40</v>
      </c>
      <c r="J37" s="4">
        <v>1</v>
      </c>
      <c r="K37" s="4">
        <v>5</v>
      </c>
      <c r="L37" s="3">
        <v>39.200000000000003</v>
      </c>
      <c r="M37" s="8">
        <f>Observations[[#This Row],[Deg]] + (Observations[[#This Row],[Min]] / 60) + (Observations[[#This Row],[Sec]] / 3600)</f>
        <v>1.0942222222222222</v>
      </c>
      <c r="N37" t="str" cm="1">
        <f t="array" ref="N37">DMS(Observations[[#This Row],[DegDecimal]])</f>
        <v>01° 05' 39"</v>
      </c>
      <c r="O37" t="str">
        <f>TEXT(Observations[[#This Row],[Date]] + Observations[[#This Row],[Time]] - (Observations[[#This Row],[UTC Offset]] / 24), "YYYY-MM-DDThh:mm:ss")</f>
        <v>2025-03-15T05:29:28</v>
      </c>
      <c r="P37" s="6" t="s">
        <v>104</v>
      </c>
      <c r="Q37" s="26">
        <v>1.08346682112528</v>
      </c>
      <c r="R37" s="8" t="s">
        <v>104</v>
      </c>
      <c r="S37" s="26">
        <v>0.93032068348771002</v>
      </c>
      <c r="T37" s="27" t="str">
        <f>IF(AND(Observations[[#This Row],[UTC TimeStamp]] = Observations[[#This Row],[celTheoTimestamp]], Observations[[#This Row],[UTC TimeStamp]] = Observations[[#This Row],[apparentTimestamp]]), "", #VALUE!)</f>
        <v/>
      </c>
      <c r="U37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"2025-03-15T05:29:28", "peak": "Green Mountain", "star": "HD 39891", "recordedAngle": 1.094222, "celTheoAngle": 1.083467, "apparentAngle": 0.930321 },</v>
      </c>
    </row>
    <row r="38" spans="1:21" x14ac:dyDescent="0.45">
      <c r="A38" s="2">
        <v>45730</v>
      </c>
      <c r="B38" s="5">
        <v>0.84138888888888885</v>
      </c>
      <c r="C38" s="4">
        <v>12129</v>
      </c>
      <c r="D38" s="4">
        <v>1</v>
      </c>
      <c r="E38" s="7">
        <f>Observations[[#This Row],[First Frame]] + ((Observations[[#This Row],[Frame '#]] * Observations[[#This Row],[Interval]]) / 86400)</f>
        <v>0.98177083333333326</v>
      </c>
      <c r="F38" s="25">
        <v>-6</v>
      </c>
      <c r="G38" s="1" t="s">
        <v>23</v>
      </c>
      <c r="H38" s="9">
        <f>VLOOKUP(Observations[[#This Row],[Peak]], Peaks[], 5)</f>
        <v>52690</v>
      </c>
      <c r="I38" t="s">
        <v>41</v>
      </c>
      <c r="J38" s="4">
        <v>1</v>
      </c>
      <c r="K38" s="4">
        <v>4</v>
      </c>
      <c r="L38" s="3">
        <v>38</v>
      </c>
      <c r="M38" s="8">
        <f>Observations[[#This Row],[Deg]] + (Observations[[#This Row],[Min]] / 60) + (Observations[[#This Row],[Sec]] / 3600)</f>
        <v>1.0772222222222223</v>
      </c>
      <c r="N38" t="str" cm="1">
        <f t="array" ref="N38">DMS(Observations[[#This Row],[DegDecimal]])</f>
        <v>01° 04' 38"</v>
      </c>
      <c r="O38" t="str">
        <f>TEXT(Observations[[#This Row],[Date]] + Observations[[#This Row],[Time]] - (Observations[[#This Row],[UTC Offset]] / 24), "YYYY-MM-DDThh:mm:ss")</f>
        <v>2025-03-15T05:33:45</v>
      </c>
      <c r="P38" s="6" t="s">
        <v>105</v>
      </c>
      <c r="Q38" s="26">
        <v>1.0646411321307501</v>
      </c>
      <c r="R38" s="8" t="s">
        <v>105</v>
      </c>
      <c r="S38" s="26">
        <v>0.91322137862621799</v>
      </c>
      <c r="T38" s="27" t="str">
        <f>IF(AND(Observations[[#This Row],[UTC TimeStamp]] = Observations[[#This Row],[celTheoTimestamp]], Observations[[#This Row],[UTC TimeStamp]] = Observations[[#This Row],[apparentTimestamp]]), "", #VALUE!)</f>
        <v/>
      </c>
      <c r="U38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"2025-03-15T05:33:45", "peak": "Green Mountain", "star": "HD 40555", "recordedAngle": 1.077222, "celTheoAngle": 1.064641, "apparentAngle": 0.913221 },</v>
      </c>
    </row>
    <row r="39" spans="1:21" x14ac:dyDescent="0.45">
      <c r="A39" s="2">
        <v>45732</v>
      </c>
      <c r="B39" s="5">
        <v>0.83333333333333337</v>
      </c>
      <c r="C39" s="4">
        <v>2425</v>
      </c>
      <c r="D39" s="4">
        <v>1</v>
      </c>
      <c r="E39" s="7">
        <f>Observations[[#This Row],[First Frame]] + ((Observations[[#This Row],[Frame '#]] * Observations[[#This Row],[Interval]]) / 86400)</f>
        <v>0.86140046296296302</v>
      </c>
      <c r="F39" s="25">
        <v>-6</v>
      </c>
      <c r="G39" s="1" t="s">
        <v>45</v>
      </c>
      <c r="H39" s="9">
        <f>VLOOKUP(Observations[[#This Row],[Peak]], Peaks[], 5)</f>
        <v>132200</v>
      </c>
      <c r="I39" t="s">
        <v>46</v>
      </c>
      <c r="J39" s="4">
        <v>0</v>
      </c>
      <c r="K39" s="4">
        <v>35</v>
      </c>
      <c r="L39" s="3">
        <v>58.9</v>
      </c>
      <c r="M39" s="8">
        <f>Observations[[#This Row],[Deg]] + (Observations[[#This Row],[Min]] / 60) + (Observations[[#This Row],[Sec]] / 3600)</f>
        <v>0.59969444444444453</v>
      </c>
      <c r="N39" t="str" cm="1">
        <f t="array" ref="N39">DMS(Observations[[#This Row],[DegDecimal]])</f>
        <v>00° 35' 59"</v>
      </c>
      <c r="O39" t="str">
        <f>TEXT(Observations[[#This Row],[Date]] + Observations[[#This Row],[Time]] - (Observations[[#This Row],[UTC Offset]] / 24), "YYYY-MM-DDThh:mm:ss")</f>
        <v>2025-03-17T02:40:25</v>
      </c>
      <c r="P39" s="6" t="s">
        <v>106</v>
      </c>
      <c r="Q39" s="26">
        <v>0.59572326481198001</v>
      </c>
      <c r="R39" s="8" t="s">
        <v>106</v>
      </c>
      <c r="S39" s="26">
        <v>-0.13480342618975699</v>
      </c>
      <c r="T39" s="27" t="str">
        <f>IF(AND(Observations[[#This Row],[UTC TimeStamp]] = Observations[[#This Row],[celTheoTimestamp]], Observations[[#This Row],[UTC TimeStamp]] = Observations[[#This Row],[apparentTimestamp]]), "", #VALUE!)</f>
        <v/>
      </c>
      <c r="U39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"2025-03-17T02:40:25", "peak": "Greenhorn Mountain", "star": "HD 35182", "recordedAngle": 0.599694, "celTheoAngle": 0.595723, "apparentAngle": -0.134803 },</v>
      </c>
    </row>
    <row r="40" spans="1:21" x14ac:dyDescent="0.45">
      <c r="A40" s="2">
        <v>45732</v>
      </c>
      <c r="B40" s="5">
        <v>0.83333333333333337</v>
      </c>
      <c r="C40" s="4">
        <v>3002</v>
      </c>
      <c r="D40" s="4">
        <v>1</v>
      </c>
      <c r="E40" s="7">
        <f>Observations[[#This Row],[First Frame]] + ((Observations[[#This Row],[Frame '#]] * Observations[[#This Row],[Interval]]) / 86400)</f>
        <v>0.86807870370370377</v>
      </c>
      <c r="F40" s="25">
        <v>-6</v>
      </c>
      <c r="G40" s="1" t="s">
        <v>45</v>
      </c>
      <c r="H40" s="9">
        <f>VLOOKUP(Observations[[#This Row],[Peak]], Peaks[], 5)</f>
        <v>132200</v>
      </c>
      <c r="I40" t="s">
        <v>47</v>
      </c>
      <c r="J40" s="4">
        <v>0</v>
      </c>
      <c r="K40" s="4">
        <v>46</v>
      </c>
      <c r="L40" s="3">
        <v>36.799999999999997</v>
      </c>
      <c r="M40" s="8">
        <f>Observations[[#This Row],[Deg]] + (Observations[[#This Row],[Min]] / 60) + (Observations[[#This Row],[Sec]] / 3600)</f>
        <v>0.77688888888888896</v>
      </c>
      <c r="N40" t="str" cm="1">
        <f t="array" ref="N40">DMS(Observations[[#This Row],[DegDecimal]])</f>
        <v>00° 46' 37"</v>
      </c>
      <c r="O40" t="str">
        <f>TEXT(Observations[[#This Row],[Date]] + Observations[[#This Row],[Time]] - (Observations[[#This Row],[UTC Offset]] / 24), "YYYY-MM-DDThh:mm:ss")</f>
        <v>2025-03-17T02:50:02</v>
      </c>
      <c r="P40" s="6" t="s">
        <v>107</v>
      </c>
      <c r="Q40" s="26">
        <v>0.77298014455293995</v>
      </c>
      <c r="R40" s="8" t="s">
        <v>107</v>
      </c>
      <c r="S40" s="26">
        <v>1.89852636595516E-2</v>
      </c>
      <c r="T40" s="27" t="str">
        <f>IF(AND(Observations[[#This Row],[UTC TimeStamp]] = Observations[[#This Row],[celTheoTimestamp]], Observations[[#This Row],[UTC TimeStamp]] = Observations[[#This Row],[apparentTimestamp]]), "", #VALUE!)</f>
        <v/>
      </c>
      <c r="U40" t="str">
        <f>"{ ""timestamp"": """ &amp; Observations[[#This Row],[UTC TimeStamp]] &amp; """, ""peak"": """ &amp; Observations[[#This Row],[Peak]] &amp; """, ""star"": """ &amp; Observations[[#This Row],[Star]] &amp; """, ""recordedAngle"": " &amp; TEXT(Observations[[#This Row],[DegDecimal]], "0.000000") &amp; ", ""celTheoAngle"": " &amp; TEXT(Observations[[#This Row],[celTheoAngle]], "0.000000") &amp; ", ""apparentAngle"": " &amp; TEXT(Observations[[#This Row],[apparentAngle]], "0.000000") &amp; " },"</f>
        <v>{ "timestamp": "2025-03-17T02:50:02", "peak": "Greenhorn Mountain", "star": "HD 36889", "recordedAngle": 0.776889, "celTheoAngle": 0.772980, "apparentAngle": 0.018985 },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3ABA-F603-4CBA-A0C4-42E77A98D409}">
  <dimension ref="B2:J33"/>
  <sheetViews>
    <sheetView tabSelected="1" workbookViewId="0"/>
  </sheetViews>
  <sheetFormatPr defaultRowHeight="14.25" x14ac:dyDescent="0.45"/>
  <cols>
    <col min="2" max="2" width="11.53125" bestFit="1" customWidth="1"/>
    <col min="3" max="3" width="13.796875" bestFit="1" customWidth="1"/>
    <col min="4" max="4" width="13.6640625" bestFit="1" customWidth="1"/>
    <col min="5" max="5" width="13" bestFit="1" customWidth="1"/>
    <col min="6" max="7" width="12.53125" bestFit="1" customWidth="1"/>
    <col min="8" max="8" width="11.73046875" bestFit="1" customWidth="1"/>
  </cols>
  <sheetData>
    <row r="2" spans="2:7" ht="14.65" thickBot="1" x14ac:dyDescent="0.5">
      <c r="B2" s="14" t="s">
        <v>49</v>
      </c>
      <c r="C2" s="13">
        <v>50700</v>
      </c>
      <c r="D2" s="14" t="s">
        <v>58</v>
      </c>
    </row>
    <row r="3" spans="2:7" ht="14.65" thickBot="1" x14ac:dyDescent="0.5">
      <c r="B3" s="14" t="s">
        <v>48</v>
      </c>
      <c r="C3" s="13">
        <v>2074</v>
      </c>
      <c r="D3" s="14" t="s">
        <v>58</v>
      </c>
    </row>
    <row r="4" spans="2:7" ht="14.65" thickBot="1" x14ac:dyDescent="0.5">
      <c r="B4" s="14" t="s">
        <v>59</v>
      </c>
      <c r="C4" s="13">
        <v>4300</v>
      </c>
      <c r="D4" s="14" t="s">
        <v>58</v>
      </c>
    </row>
    <row r="6" spans="2:7" ht="14.65" thickBot="1" x14ac:dyDescent="0.5">
      <c r="B6" s="15" t="s">
        <v>55</v>
      </c>
      <c r="C6" s="13">
        <v>788</v>
      </c>
      <c r="D6" s="15" t="s">
        <v>60</v>
      </c>
    </row>
    <row r="7" spans="2:7" ht="14.65" thickBot="1" x14ac:dyDescent="0.5">
      <c r="B7" s="15" t="s">
        <v>56</v>
      </c>
      <c r="C7" s="13">
        <v>5</v>
      </c>
      <c r="D7" s="15" t="s">
        <v>61</v>
      </c>
    </row>
    <row r="9" spans="2:7" x14ac:dyDescent="0.45">
      <c r="B9" s="16" t="s">
        <v>50</v>
      </c>
      <c r="C9" s="17">
        <f>C2^2 / 2 / 6371000</f>
        <v>201.73363679171246</v>
      </c>
      <c r="D9" s="16" t="s">
        <v>58</v>
      </c>
    </row>
    <row r="11" spans="2:7" ht="14.65" thickBot="1" x14ac:dyDescent="0.5">
      <c r="B11" s="15" t="s">
        <v>65</v>
      </c>
      <c r="C11" s="32">
        <f>DEGREES(ATAN((C4 - C3 -C9)/C2))</f>
        <v>2.2863974089047288</v>
      </c>
      <c r="D11" s="30" t="str" cm="1">
        <f t="array" ref="D11">DMS(C11)</f>
        <v>02° 17' 11"</v>
      </c>
    </row>
    <row r="12" spans="2:7" ht="14.65" thickBot="1" x14ac:dyDescent="0.5">
      <c r="B12" s="14" t="s">
        <v>57</v>
      </c>
      <c r="C12" s="32"/>
      <c r="D12" s="30"/>
    </row>
    <row r="14" spans="2:7" x14ac:dyDescent="0.45">
      <c r="B14" s="16" t="s">
        <v>62</v>
      </c>
      <c r="C14" s="23">
        <f>2.4 * (C2 / 1000) / 3600</f>
        <v>3.3800000000000004E-2</v>
      </c>
      <c r="D14" s="16" t="s">
        <v>80</v>
      </c>
    </row>
    <row r="15" spans="2:7" ht="14.65" thickBot="1" x14ac:dyDescent="0.5"/>
    <row r="16" spans="2:7" ht="15" thickTop="1" thickBot="1" x14ac:dyDescent="0.5">
      <c r="B16" s="15" t="s">
        <v>63</v>
      </c>
      <c r="C16" s="32">
        <f>C11 + C14</f>
        <v>2.3201974089047286</v>
      </c>
      <c r="D16" s="30" t="str" cm="1">
        <f t="array" ref="D16">DMS(C16)</f>
        <v>02° 19' 13"</v>
      </c>
      <c r="F16" s="31">
        <v>2.3153000000000001</v>
      </c>
      <c r="G16" s="20" t="str" cm="1">
        <f t="array" ref="G16">DMS(ABS(C16 - F16))</f>
        <v>00° 00' 18"</v>
      </c>
    </row>
    <row r="17" spans="2:10" ht="15" thickTop="1" thickBot="1" x14ac:dyDescent="0.5">
      <c r="B17" s="15" t="s">
        <v>57</v>
      </c>
      <c r="C17" s="32"/>
      <c r="D17" s="30"/>
      <c r="E17" s="6" t="s">
        <v>76</v>
      </c>
      <c r="F17" s="31"/>
      <c r="G17" s="20" t="str" cm="1">
        <f t="array" ref="G17">DMS(F16)</f>
        <v>02° 18' 55"</v>
      </c>
    </row>
    <row r="18" spans="2:10" x14ac:dyDescent="0.45">
      <c r="D18" s="12"/>
      <c r="J18" s="12"/>
    </row>
    <row r="20" spans="2:10" ht="17.649999999999999" thickBot="1" x14ac:dyDescent="0.6">
      <c r="B20" s="33" t="s">
        <v>64</v>
      </c>
      <c r="C20" s="33"/>
    </row>
    <row r="21" spans="2:10" ht="15" thickTop="1" thickBot="1" x14ac:dyDescent="0.5">
      <c r="B21" s="14" t="s">
        <v>75</v>
      </c>
      <c r="C21" s="21" cm="1">
        <f t="array" ref="C21">PressTempCorr(C6, C7)</f>
        <v>1.3237172638127122E-2</v>
      </c>
    </row>
    <row r="22" spans="2:10" ht="14.65" thickBot="1" x14ac:dyDescent="0.5">
      <c r="B22" s="14" t="s">
        <v>78</v>
      </c>
      <c r="C22" s="23" cm="1">
        <f t="array" ref="C22">Bennett(C21, C16)</f>
        <v>0.22230301412087383</v>
      </c>
      <c r="D22" s="6" t="s">
        <v>68</v>
      </c>
      <c r="E22" s="20" t="str" cm="1">
        <f t="array" ref="E22">DMS(C22)</f>
        <v>00° 13' 20"</v>
      </c>
    </row>
    <row r="23" spans="2:10" ht="14.65" thickBot="1" x14ac:dyDescent="0.5">
      <c r="B23" s="14" t="s">
        <v>79</v>
      </c>
      <c r="C23" s="22">
        <f>SQRT(1 - SIN(RADIANS(C16)))</f>
        <v>0.97954886691132603</v>
      </c>
      <c r="D23" s="6">
        <f>C22 * C23</f>
        <v>0.21775666559307447</v>
      </c>
    </row>
    <row r="24" spans="2:10" ht="14.65" thickBot="1" x14ac:dyDescent="0.5"/>
    <row r="25" spans="2:10" ht="15" thickTop="1" thickBot="1" x14ac:dyDescent="0.5">
      <c r="B25" s="14" t="s">
        <v>65</v>
      </c>
      <c r="C25" s="32">
        <f>C16 - C22</f>
        <v>2.0978943947838546</v>
      </c>
      <c r="D25" s="30" t="str" cm="1">
        <f t="array" ref="D25">DMS(C25)</f>
        <v>02° 05' 52"</v>
      </c>
      <c r="F25" s="31">
        <v>1.2796000000000001</v>
      </c>
      <c r="G25" s="20" t="str" cm="1">
        <f t="array" ref="G25">DMS(ABS(C25 - F25))</f>
        <v>00° 49' 06"</v>
      </c>
    </row>
    <row r="26" spans="2:10" ht="15" thickTop="1" thickBot="1" x14ac:dyDescent="0.5">
      <c r="B26" s="14" t="s">
        <v>57</v>
      </c>
      <c r="C26" s="32"/>
      <c r="D26" s="30"/>
      <c r="E26" s="6" t="s">
        <v>76</v>
      </c>
      <c r="F26" s="31"/>
      <c r="G26" s="20" t="str" cm="1">
        <f t="array" ref="G26">DMS(F25)</f>
        <v>01° 16' 47"</v>
      </c>
    </row>
    <row r="28" spans="2:10" ht="14.65" thickBot="1" x14ac:dyDescent="0.5">
      <c r="B28" s="14" t="s">
        <v>66</v>
      </c>
      <c r="C28" s="39">
        <f>C2 / 111111</f>
        <v>0.45630045630045629</v>
      </c>
      <c r="D28" s="20" t="str" cm="1">
        <f t="array" ref="D28">DMS(C28)</f>
        <v>00° 27' 23"</v>
      </c>
      <c r="F28" s="10">
        <f>F30 - F25</f>
        <v>1.2705</v>
      </c>
    </row>
    <row r="29" spans="2:10" ht="14.65" thickBot="1" x14ac:dyDescent="0.5"/>
    <row r="30" spans="2:10" ht="14.25" customHeight="1" thickTop="1" thickBot="1" x14ac:dyDescent="0.5">
      <c r="B30" s="35" t="s">
        <v>67</v>
      </c>
      <c r="C30" s="34">
        <f>C25 + C28</f>
        <v>2.5541948510843109</v>
      </c>
      <c r="D30" s="30" t="str" cm="1">
        <f t="array" ref="D30">DMS(C30)</f>
        <v>02° 33' 15"</v>
      </c>
      <c r="F30" s="31">
        <v>2.5501</v>
      </c>
      <c r="G30" s="20" t="str" cm="1">
        <f t="array" ref="G30">DMS(ABS(C30 - F30))</f>
        <v>00° 00' 15"</v>
      </c>
    </row>
    <row r="31" spans="2:10" ht="14.25" customHeight="1" thickTop="1" thickBot="1" x14ac:dyDescent="0.5">
      <c r="B31" s="35"/>
      <c r="C31" s="34"/>
      <c r="D31" s="30"/>
      <c r="E31" s="6" t="s">
        <v>76</v>
      </c>
      <c r="F31" s="31"/>
      <c r="G31" s="20" t="str" cm="1">
        <f t="array" ref="G31">DMS(F30)</f>
        <v>02° 33' 00"</v>
      </c>
    </row>
    <row r="32" spans="2:10" ht="14.65" thickTop="1" x14ac:dyDescent="0.45">
      <c r="B32" s="36" t="s">
        <v>69</v>
      </c>
      <c r="C32" s="37">
        <f>DEGREES(ATAN((C4-C3)/C2))</f>
        <v>2.5139752976626655</v>
      </c>
      <c r="D32" s="30" t="str" cm="1">
        <f t="array" ref="D32">DMS(C32)</f>
        <v>02° 30' 50"</v>
      </c>
    </row>
    <row r="33" spans="2:6" x14ac:dyDescent="0.45">
      <c r="B33" s="36"/>
      <c r="C33" s="38"/>
      <c r="D33" s="30"/>
      <c r="E33" s="6" t="s">
        <v>77</v>
      </c>
      <c r="F33" s="20" t="str" cm="1">
        <f t="array" ref="F33">DMS(ABS(C32 - F30))</f>
        <v>00° 02' 10"</v>
      </c>
    </row>
  </sheetData>
  <mergeCells count="16">
    <mergeCell ref="B32:B33"/>
    <mergeCell ref="C32:C33"/>
    <mergeCell ref="C11:C12"/>
    <mergeCell ref="D11:D12"/>
    <mergeCell ref="C16:C17"/>
    <mergeCell ref="B20:C20"/>
    <mergeCell ref="C25:C26"/>
    <mergeCell ref="C30:C31"/>
    <mergeCell ref="B30:B31"/>
    <mergeCell ref="D32:D33"/>
    <mergeCell ref="F30:F31"/>
    <mergeCell ref="F25:F26"/>
    <mergeCell ref="F16:F17"/>
    <mergeCell ref="D25:D26"/>
    <mergeCell ref="D16:D17"/>
    <mergeCell ref="D30:D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225A9-78BC-4AA1-B7C9-787CBA4E0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Peaks</vt:lpstr>
      <vt:lpstr>Observations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Williamson</dc:creator>
  <cp:lastModifiedBy>Glenn Williamson</cp:lastModifiedBy>
  <dcterms:created xsi:type="dcterms:W3CDTF">2025-06-17T02:12:12Z</dcterms:created>
  <dcterms:modified xsi:type="dcterms:W3CDTF">2025-06-23T06:03:23Z</dcterms:modified>
</cp:coreProperties>
</file>