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roopa\Downloads\excel 30 days\"/>
    </mc:Choice>
  </mc:AlternateContent>
  <xr:revisionPtr revIDLastSave="0" documentId="13_ncr:1_{8B05D2BF-79CD-4CF7-88DB-10B103CBA3CC}" xr6:coauthVersionLast="47" xr6:coauthVersionMax="47" xr10:uidLastSave="{00000000-0000-0000-0000-000000000000}"/>
  <bookViews>
    <workbookView xWindow="-108" yWindow="-108" windowWidth="21336" windowHeight="11376" activeTab="4" xr2:uid="{496C4C31-3F96-400C-8F2F-CAA8E3E2CAC6}"/>
  </bookViews>
  <sheets>
    <sheet name="Settings" sheetId="1" r:id="rId1"/>
    <sheet name="Budget Planning" sheetId="2" r:id="rId2"/>
    <sheet name="Budget Tracking" sheetId="3" r:id="rId3"/>
    <sheet name="Calculations" sheetId="4" state="hidden" r:id="rId4"/>
    <sheet name="Budget Dashboard" sheetId="5" r:id="rId5"/>
    <sheet name="DropDown Data" sheetId="6" state="hidden" r:id="rId6"/>
  </sheets>
  <definedNames>
    <definedName name="budget" localSheetId="4">'Budget Dashboard'!$L1</definedName>
    <definedName name="budget_range" localSheetId="4">'Budget Dashboard'!$Q1</definedName>
    <definedName name="budget_rank" localSheetId="4">'Budget Dashboard'!$R1</definedName>
    <definedName name="cc_Budget" localSheetId="3">Calculations!$L1</definedName>
    <definedName name="cc_Delta" localSheetId="3">Calculations!$M1</definedName>
    <definedName name="cc_In_Focus" localSheetId="3">Calculations!$G1</definedName>
    <definedName name="cc_month_number" localSheetId="3">Calculations!$F1</definedName>
    <definedName name="cc_Show_Rem_Budget" localSheetId="3">Calculations!$I1</definedName>
    <definedName name="cc_Show_Type" localSheetId="3">Calculations!$H1</definedName>
    <definedName name="cc_Tracked" localSheetId="3">Calculations!$J1</definedName>
    <definedName name="cc_type" localSheetId="3">Calculations!$E1</definedName>
    <definedName name="comb_rank" localSheetId="4">'Budget Dashboard'!$S1</definedName>
    <definedName name="comb_rank_norm" localSheetId="4">'Budget Dashboard'!$U1</definedName>
    <definedName name="comb_rank_norm_run_range" localSheetId="4">'Budget Dashboard'!$V1</definedName>
    <definedName name="comb_rank_range" localSheetId="4">'Budget Dashboard'!$T1</definedName>
    <definedName name="comb_rank_unique" localSheetId="4">'Budget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Planning'!$C$41)</definedName>
    <definedName name="header_row_id" localSheetId="4">'Budget Dashboard'!$D1</definedName>
    <definedName name="income_header_row">ROW(Income[[#Headers],[Income]])</definedName>
    <definedName name="income_max_row">MAX(ROW(Income[]))</definedName>
    <definedName name="income_min_row">MIN(ROW(Income[]))</definedName>
    <definedName name="income_total_row">ROW('Budget Planning'!$C$22)</definedName>
    <definedName name="is_cat" localSheetId="4">'Budget Dashboard'!$F1</definedName>
    <definedName name="is_empty" localSheetId="4">'Budget Dashboard'!$H1</definedName>
    <definedName name="is_header" localSheetId="4">'Budget Dashboard'!$E1</definedName>
    <definedName name="is_total" localSheetId="4">'Budget Dashboard'!$G1</definedName>
    <definedName name="item" localSheetId="4">'Budget Dashboard'!$J1</definedName>
    <definedName name="out_Budget" localSheetId="4">'Budget Dashboard'!$AA1</definedName>
    <definedName name="out_percentage_completed" localSheetId="4">'Budget Dashboard'!$AB1</definedName>
    <definedName name="out_tracked" localSheetId="4">'Budget Dashboard'!$Z1</definedName>
    <definedName name="row_id" localSheetId="4">'Budget Dashboard'!$C1</definedName>
    <definedName name="savings_header_row">ROW(Savings[[#Headers],[Savings]])</definedName>
    <definedName name="savings_max_row">MAX(ROW(Savings[]))</definedName>
    <definedName name="savings_min_row">MIN(ROW(Savings[]))</definedName>
    <definedName name="savings_rate_calculation_type">Settings!$D$20</definedName>
    <definedName name="savings_total_row">ROW('Budget Planning'!$C$59)</definedName>
    <definedName name="selected_period">Calculations!$E$20</definedName>
    <definedName name="selected_period_display">Calculations!$E$21</definedName>
    <definedName name="selected_year">Calculations!$E$19</definedName>
    <definedName name="shift_late_income_starting_day">Settings!$D$16</definedName>
    <definedName name="shift_late_income_status">Settings!$D$14</definedName>
    <definedName name="sort_max_row" localSheetId="4">'Budget Dashboard'!$N1</definedName>
    <definedName name="sort_min_row" localSheetId="4">'Budget Dashboard'!$M1</definedName>
    <definedName name="Starting_year">Settings!$D$7</definedName>
    <definedName name="tracked" localSheetId="4">'Budget Dashboard'!$K1</definedName>
    <definedName name="tracked_range" localSheetId="4">'Budget Dashboard'!$O1</definedName>
    <definedName name="tracked_rank" localSheetId="4">'Budget Dashboard'!$P1</definedName>
    <definedName name="type" localSheetId="4">'Budget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3" i="5" l="1" a="1"/>
  <c r="L13" i="5" s="1"/>
  <c r="K13" i="5" a="1"/>
  <c r="K13" i="5" s="1"/>
  <c r="I58" i="4"/>
  <c r="I59" i="4"/>
  <c r="I60" i="4"/>
  <c r="I62" i="4"/>
  <c r="I63" i="4"/>
  <c r="I64" i="4"/>
  <c r="I66" i="4"/>
  <c r="I67" i="4"/>
  <c r="I68" i="4"/>
  <c r="I70" i="4"/>
  <c r="I71" i="4"/>
  <c r="I72" i="4"/>
  <c r="I74" i="4"/>
  <c r="I75" i="4"/>
  <c r="I76" i="4"/>
  <c r="I78" i="4"/>
  <c r="I79" i="4"/>
  <c r="I80" i="4"/>
  <c r="I82" i="4"/>
  <c r="I83" i="4"/>
  <c r="I84" i="4"/>
  <c r="I86" i="4"/>
  <c r="I87" i="4"/>
  <c r="I88" i="4"/>
  <c r="I90" i="4"/>
  <c r="I91" i="4"/>
  <c r="I92" i="4"/>
  <c r="I94" i="4"/>
  <c r="I95" i="4"/>
  <c r="I96" i="4"/>
  <c r="I98" i="4"/>
  <c r="I99" i="4"/>
  <c r="I100" i="4"/>
  <c r="I55" i="4"/>
  <c r="I56" i="4"/>
  <c r="I54" i="4"/>
  <c r="H58" i="4"/>
  <c r="H59" i="4"/>
  <c r="H60" i="4"/>
  <c r="H62" i="4"/>
  <c r="H63" i="4"/>
  <c r="H64" i="4"/>
  <c r="H66" i="4"/>
  <c r="H67" i="4"/>
  <c r="H68" i="4"/>
  <c r="H70" i="4"/>
  <c r="H71" i="4"/>
  <c r="H72" i="4"/>
  <c r="H74" i="4"/>
  <c r="H75" i="4"/>
  <c r="H76" i="4"/>
  <c r="H78" i="4"/>
  <c r="H79" i="4"/>
  <c r="H80" i="4"/>
  <c r="H82" i="4"/>
  <c r="H83" i="4"/>
  <c r="H84" i="4"/>
  <c r="H86" i="4"/>
  <c r="H87" i="4"/>
  <c r="H88" i="4"/>
  <c r="H90" i="4"/>
  <c r="H91" i="4"/>
  <c r="H92" i="4"/>
  <c r="H94" i="4"/>
  <c r="H95" i="4"/>
  <c r="H96" i="4"/>
  <c r="H98" i="4"/>
  <c r="H99" i="4"/>
  <c r="H100" i="4"/>
  <c r="H56" i="4"/>
  <c r="H55" i="4"/>
  <c r="H54" i="4"/>
  <c r="F38" i="4" a="1"/>
  <c r="F38" i="4" s="1"/>
  <c r="E38" i="4" s="1" a="1"/>
  <c r="E38" i="4" s="1"/>
  <c r="AI19" i="5" s="1"/>
  <c r="F39" i="4" a="1"/>
  <c r="F39" i="4" s="1"/>
  <c r="E39" i="4" s="1" a="1"/>
  <c r="E39" i="4" s="1"/>
  <c r="AI20" i="5" s="1"/>
  <c r="AP35" i="5"/>
  <c r="AI35" i="5"/>
  <c r="AI22" i="5"/>
  <c r="H70" i="3" a="1"/>
  <c r="H70" i="3" s="1"/>
  <c r="I70" i="3"/>
  <c r="H69" i="3" a="1"/>
  <c r="H69" i="3" s="1"/>
  <c r="I69" i="3"/>
  <c r="H68" i="3" a="1"/>
  <c r="H68" i="3" s="1"/>
  <c r="I68" i="3"/>
  <c r="H67" i="3" a="1"/>
  <c r="H67" i="3" s="1"/>
  <c r="I67" i="3"/>
  <c r="H66" i="3" a="1"/>
  <c r="H66" i="3" s="1"/>
  <c r="I66" i="3"/>
  <c r="H65" i="3" a="1"/>
  <c r="H65" i="3" s="1"/>
  <c r="I65" i="3"/>
  <c r="H64" i="3" a="1"/>
  <c r="H64" i="3" s="1"/>
  <c r="I64" i="3"/>
  <c r="H63" i="3" a="1"/>
  <c r="H63" i="3" s="1"/>
  <c r="I63" i="3"/>
  <c r="H62" i="3" a="1"/>
  <c r="H62" i="3" s="1"/>
  <c r="I62" i="3"/>
  <c r="H61" i="3" a="1"/>
  <c r="H61" i="3" s="1"/>
  <c r="I61" i="3"/>
  <c r="H60" i="3" a="1"/>
  <c r="H60" i="3" s="1"/>
  <c r="I60" i="3"/>
  <c r="H59" i="3" a="1"/>
  <c r="H59" i="3" s="1"/>
  <c r="I59" i="3"/>
  <c r="H56" i="3" a="1"/>
  <c r="H56" i="3" s="1"/>
  <c r="I56" i="3"/>
  <c r="H58" i="3" a="1"/>
  <c r="H58" i="3" s="1"/>
  <c r="I58" i="3"/>
  <c r="H57" i="3" a="1"/>
  <c r="H57" i="3" s="1"/>
  <c r="I57" i="3"/>
  <c r="H55" i="3" a="1"/>
  <c r="H55" i="3" s="1"/>
  <c r="I55" i="3"/>
  <c r="H54" i="3" a="1"/>
  <c r="H54" i="3" s="1"/>
  <c r="I54" i="3"/>
  <c r="H53" i="3" a="1"/>
  <c r="H53" i="3" s="1"/>
  <c r="I53" i="3"/>
  <c r="H52" i="3" a="1"/>
  <c r="H52" i="3" s="1"/>
  <c r="I52" i="3"/>
  <c r="H51" i="3" a="1"/>
  <c r="H51" i="3" s="1"/>
  <c r="I51" i="3"/>
  <c r="H50" i="3" a="1"/>
  <c r="H50" i="3" s="1"/>
  <c r="I50" i="3"/>
  <c r="H49" i="3" a="1"/>
  <c r="H49" i="3" s="1"/>
  <c r="I49" i="3"/>
  <c r="H48" i="3" a="1"/>
  <c r="H48" i="3" s="1"/>
  <c r="I48" i="3"/>
  <c r="H47" i="3" a="1"/>
  <c r="H47" i="3" s="1"/>
  <c r="I47" i="3"/>
  <c r="H46" i="3" a="1"/>
  <c r="H46" i="3" s="1"/>
  <c r="I46" i="3"/>
  <c r="H45" i="3" a="1"/>
  <c r="H45" i="3" s="1"/>
  <c r="I45" i="3"/>
  <c r="H44" i="3" a="1"/>
  <c r="H44" i="3" s="1"/>
  <c r="I44" i="3"/>
  <c r="H43" i="3" a="1"/>
  <c r="H43" i="3" s="1"/>
  <c r="I43" i="3"/>
  <c r="H18" i="3" a="1"/>
  <c r="H18" i="3" s="1"/>
  <c r="I18" i="3"/>
  <c r="H17" i="3" a="1"/>
  <c r="H17" i="3" s="1"/>
  <c r="I17" i="3"/>
  <c r="H16" i="3" a="1"/>
  <c r="H16" i="3" s="1"/>
  <c r="I16" i="3"/>
  <c r="H39" i="3" a="1"/>
  <c r="H39" i="3" s="1"/>
  <c r="I39" i="3"/>
  <c r="H38" i="3" a="1"/>
  <c r="H38" i="3" s="1"/>
  <c r="I38" i="3"/>
  <c r="H37" i="3" a="1"/>
  <c r="H37" i="3" s="1"/>
  <c r="I37" i="3"/>
  <c r="H36" i="3" a="1"/>
  <c r="H36" i="3" s="1"/>
  <c r="I36" i="3"/>
  <c r="H35" i="3" a="1"/>
  <c r="H35" i="3" s="1"/>
  <c r="I35" i="3"/>
  <c r="H34" i="3" a="1"/>
  <c r="H34" i="3" s="1"/>
  <c r="I34" i="3"/>
  <c r="H33" i="3" a="1"/>
  <c r="H33" i="3" s="1"/>
  <c r="I33" i="3"/>
  <c r="H32" i="3" a="1"/>
  <c r="H32" i="3" s="1"/>
  <c r="I32" i="3"/>
  <c r="H31" i="3" a="1"/>
  <c r="H31" i="3" s="1"/>
  <c r="I31" i="3"/>
  <c r="H30" i="3" a="1"/>
  <c r="H30" i="3" s="1"/>
  <c r="I30" i="3"/>
  <c r="H29" i="3" a="1"/>
  <c r="H29" i="3" s="1"/>
  <c r="I29" i="3"/>
  <c r="H28" i="3" a="1"/>
  <c r="H28" i="3" s="1"/>
  <c r="I28" i="3"/>
  <c r="H27" i="3" a="1"/>
  <c r="H27" i="3" s="1"/>
  <c r="I27" i="3"/>
  <c r="H26" i="3" a="1"/>
  <c r="H26" i="3" s="1"/>
  <c r="I26" i="3"/>
  <c r="H25" i="3" a="1"/>
  <c r="H25" i="3" s="1"/>
  <c r="I25" i="3"/>
  <c r="H24" i="3" a="1"/>
  <c r="H24" i="3" s="1"/>
  <c r="I24" i="3"/>
  <c r="H23" i="3" a="1"/>
  <c r="H23" i="3" s="1"/>
  <c r="I23" i="3"/>
  <c r="H22" i="3" a="1"/>
  <c r="H22" i="3" s="1"/>
  <c r="I22" i="3"/>
  <c r="H21" i="3" a="1"/>
  <c r="H21" i="3" s="1"/>
  <c r="I21" i="3"/>
  <c r="H20" i="3" a="1"/>
  <c r="H20" i="3" s="1"/>
  <c r="I20" i="3"/>
  <c r="H42" i="3" a="1"/>
  <c r="H42" i="3" s="1"/>
  <c r="I42" i="3"/>
  <c r="H41" i="3" a="1"/>
  <c r="H41" i="3" s="1"/>
  <c r="I41" i="3"/>
  <c r="H40" i="3" a="1"/>
  <c r="H40" i="3" s="1"/>
  <c r="I40" i="3"/>
  <c r="H19" i="3" a="1"/>
  <c r="H19" i="3" s="1"/>
  <c r="I19" i="3"/>
  <c r="J13" i="5" a="1"/>
  <c r="J13" i="5" s="1"/>
  <c r="G13" i="5" a="1"/>
  <c r="G13" i="5" s="1"/>
  <c r="C13" i="5" a="1"/>
  <c r="C13" i="5" s="1"/>
  <c r="H13" i="5" s="1"/>
  <c r="E20" i="4" a="1"/>
  <c r="E20" i="4" s="1"/>
  <c r="E19" i="4" a="1"/>
  <c r="E19" i="4" s="1"/>
  <c r="D98" i="4" s="1"/>
  <c r="F98" i="4" s="1"/>
  <c r="C18" i="6"/>
  <c r="C17" i="6"/>
  <c r="C16" i="6"/>
  <c r="C15" i="6"/>
  <c r="C14" i="6"/>
  <c r="C13" i="6"/>
  <c r="C12" i="6"/>
  <c r="C11" i="6"/>
  <c r="C10" i="6"/>
  <c r="C9" i="6"/>
  <c r="E12" i="4" a="1"/>
  <c r="E12" i="4" s="1"/>
  <c r="E11" i="4"/>
  <c r="E9" i="4"/>
  <c r="E8" i="4" a="1"/>
  <c r="E8" i="4" s="1"/>
  <c r="H13" i="3" a="1"/>
  <c r="H13" i="3" s="1"/>
  <c r="H14" i="3" a="1"/>
  <c r="H14" i="3" s="1"/>
  <c r="H15" i="3" a="1"/>
  <c r="H15" i="3" s="1"/>
  <c r="H12" i="3" a="1"/>
  <c r="H12" i="3" s="1"/>
  <c r="I12" i="3"/>
  <c r="I13" i="3"/>
  <c r="I14" i="3"/>
  <c r="I15" i="3"/>
  <c r="Q49" i="2"/>
  <c r="AE49" i="2"/>
  <c r="AS49" i="2"/>
  <c r="BG49" i="2"/>
  <c r="BU49" i="2"/>
  <c r="CI49" i="2"/>
  <c r="Q50" i="2"/>
  <c r="AE50" i="2"/>
  <c r="AS50" i="2"/>
  <c r="BG50" i="2"/>
  <c r="BU50" i="2"/>
  <c r="CI50" i="2"/>
  <c r="Q51" i="2"/>
  <c r="AE51" i="2"/>
  <c r="AS51" i="2"/>
  <c r="BG51" i="2"/>
  <c r="BU51" i="2"/>
  <c r="CI51" i="2"/>
  <c r="Q52" i="2"/>
  <c r="AE52" i="2"/>
  <c r="AS52" i="2"/>
  <c r="BG52" i="2"/>
  <c r="BU52" i="2"/>
  <c r="CI52" i="2"/>
  <c r="Q53" i="2"/>
  <c r="AE53" i="2"/>
  <c r="AS53" i="2"/>
  <c r="BG53" i="2"/>
  <c r="BU53" i="2"/>
  <c r="CI53" i="2"/>
  <c r="Q54" i="2"/>
  <c r="AE54" i="2"/>
  <c r="AS54" i="2"/>
  <c r="BG54" i="2"/>
  <c r="BU54" i="2"/>
  <c r="CI54" i="2"/>
  <c r="Q33" i="2"/>
  <c r="AE33" i="2"/>
  <c r="AS33" i="2"/>
  <c r="BG33" i="2"/>
  <c r="BU33" i="2"/>
  <c r="CI33" i="2"/>
  <c r="Q34" i="2"/>
  <c r="AE34" i="2"/>
  <c r="AS34" i="2"/>
  <c r="BG34" i="2"/>
  <c r="BU34" i="2"/>
  <c r="CI34" i="2"/>
  <c r="Q35" i="2"/>
  <c r="AE35" i="2"/>
  <c r="AS35" i="2"/>
  <c r="BG35" i="2"/>
  <c r="BU35" i="2"/>
  <c r="CI35" i="2"/>
  <c r="Q36" i="2"/>
  <c r="AE36" i="2"/>
  <c r="AS36" i="2"/>
  <c r="BG36" i="2"/>
  <c r="BU36" i="2"/>
  <c r="CI36" i="2"/>
  <c r="Q37" i="2"/>
  <c r="AE37" i="2"/>
  <c r="AS37" i="2"/>
  <c r="BG37" i="2"/>
  <c r="BU37" i="2"/>
  <c r="CI37" i="2"/>
  <c r="Q38" i="2"/>
  <c r="AE38" i="2"/>
  <c r="AS38" i="2"/>
  <c r="BG38" i="2"/>
  <c r="BU38" i="2"/>
  <c r="CI38" i="2"/>
  <c r="AS11" i="2"/>
  <c r="BG11" i="2"/>
  <c r="BU11" i="2"/>
  <c r="CI11" i="2"/>
  <c r="AS12" i="2"/>
  <c r="BG12" i="2"/>
  <c r="BU12" i="2"/>
  <c r="CI12" i="2"/>
  <c r="AS13" i="2"/>
  <c r="BG13" i="2"/>
  <c r="BU13" i="2"/>
  <c r="CI13" i="2"/>
  <c r="AS14" i="2"/>
  <c r="BG14" i="2"/>
  <c r="BU14" i="2"/>
  <c r="CI14" i="2"/>
  <c r="AS15" i="2"/>
  <c r="BG15" i="2"/>
  <c r="BU15" i="2"/>
  <c r="CI15" i="2"/>
  <c r="AS16" i="2"/>
  <c r="BG16" i="2"/>
  <c r="BU16" i="2"/>
  <c r="CI16" i="2"/>
  <c r="AS17" i="2"/>
  <c r="BG17" i="2"/>
  <c r="BU17" i="2"/>
  <c r="CI17" i="2"/>
  <c r="AS18" i="2"/>
  <c r="BG18" i="2"/>
  <c r="BU18" i="2"/>
  <c r="CI18" i="2"/>
  <c r="AS19" i="2"/>
  <c r="BG19" i="2"/>
  <c r="BU19" i="2"/>
  <c r="CI19" i="2"/>
  <c r="AS20" i="2"/>
  <c r="BG20" i="2"/>
  <c r="BU20" i="2"/>
  <c r="CI20" i="2"/>
  <c r="AS21" i="2"/>
  <c r="BG21" i="2"/>
  <c r="BU21" i="2"/>
  <c r="CI21" i="2"/>
  <c r="AS25" i="2"/>
  <c r="BG25" i="2"/>
  <c r="BU25" i="2"/>
  <c r="CI25" i="2"/>
  <c r="AS26" i="2"/>
  <c r="BG26" i="2"/>
  <c r="BU26" i="2"/>
  <c r="CI26" i="2"/>
  <c r="AS27" i="2"/>
  <c r="BG27" i="2"/>
  <c r="BU27" i="2"/>
  <c r="CI27" i="2"/>
  <c r="AS28" i="2"/>
  <c r="BG28" i="2"/>
  <c r="BU28" i="2"/>
  <c r="CI28" i="2"/>
  <c r="AS29" i="2"/>
  <c r="BG29" i="2"/>
  <c r="BU29" i="2"/>
  <c r="CI29" i="2"/>
  <c r="AS30" i="2"/>
  <c r="BG30" i="2"/>
  <c r="BU30" i="2"/>
  <c r="CI30" i="2"/>
  <c r="AS31" i="2"/>
  <c r="BG31" i="2"/>
  <c r="BU31" i="2"/>
  <c r="CI31" i="2"/>
  <c r="AS32" i="2"/>
  <c r="BG32" i="2"/>
  <c r="BU32" i="2"/>
  <c r="CI32" i="2"/>
  <c r="AS39" i="2"/>
  <c r="BG39" i="2"/>
  <c r="BU39" i="2"/>
  <c r="CI39" i="2"/>
  <c r="AS40" i="2"/>
  <c r="BG40" i="2"/>
  <c r="BU40" i="2"/>
  <c r="CI40" i="2"/>
  <c r="AS44" i="2"/>
  <c r="BG44" i="2"/>
  <c r="BU44" i="2"/>
  <c r="CI44" i="2"/>
  <c r="AS45" i="2"/>
  <c r="BG45" i="2"/>
  <c r="BU45" i="2"/>
  <c r="CI45" i="2"/>
  <c r="AS46" i="2"/>
  <c r="BG46" i="2"/>
  <c r="BU46" i="2"/>
  <c r="CI46" i="2"/>
  <c r="AS47" i="2"/>
  <c r="BG47" i="2"/>
  <c r="BU47" i="2"/>
  <c r="CI47" i="2"/>
  <c r="AS48" i="2"/>
  <c r="BG48" i="2"/>
  <c r="BU48" i="2"/>
  <c r="CI48" i="2"/>
  <c r="AS55" i="2"/>
  <c r="BG55" i="2"/>
  <c r="BU55" i="2"/>
  <c r="CI55" i="2"/>
  <c r="AS56" i="2"/>
  <c r="BG56" i="2"/>
  <c r="BU56" i="2"/>
  <c r="CI56" i="2"/>
  <c r="AS57" i="2"/>
  <c r="BG57" i="2"/>
  <c r="BU57" i="2"/>
  <c r="CI57" i="2"/>
  <c r="AS58" i="2"/>
  <c r="BG58" i="2"/>
  <c r="BU58" i="2"/>
  <c r="CI58" i="2"/>
  <c r="AE11" i="2"/>
  <c r="AE12" i="2"/>
  <c r="AE13" i="2"/>
  <c r="AE14" i="2"/>
  <c r="AE15" i="2"/>
  <c r="AE16" i="2"/>
  <c r="AE17" i="2"/>
  <c r="AE18" i="2"/>
  <c r="AE19" i="2"/>
  <c r="AE20" i="2"/>
  <c r="AE21" i="2"/>
  <c r="AE25" i="2"/>
  <c r="AE26" i="2"/>
  <c r="AE27" i="2"/>
  <c r="AE28" i="2"/>
  <c r="AE29" i="2"/>
  <c r="AE30" i="2"/>
  <c r="AE31" i="2"/>
  <c r="AE32" i="2"/>
  <c r="AE39" i="2"/>
  <c r="AE40" i="2"/>
  <c r="AE44" i="2"/>
  <c r="AE45" i="2"/>
  <c r="AE46" i="2"/>
  <c r="AE47" i="2"/>
  <c r="AE48" i="2"/>
  <c r="AE55" i="2"/>
  <c r="AE56" i="2"/>
  <c r="AE57" i="2"/>
  <c r="AE58" i="2"/>
  <c r="Q58" i="2"/>
  <c r="Q57" i="2"/>
  <c r="Q56" i="2"/>
  <c r="Q55" i="2"/>
  <c r="Q48" i="2"/>
  <c r="Q47" i="2"/>
  <c r="Q46" i="2"/>
  <c r="Q45" i="2"/>
  <c r="Q44" i="2"/>
  <c r="Q25" i="2"/>
  <c r="Q40" i="2"/>
  <c r="Q39" i="2"/>
  <c r="Q32" i="2"/>
  <c r="Q31" i="2"/>
  <c r="Q30" i="2"/>
  <c r="Q29" i="2"/>
  <c r="Q28" i="2"/>
  <c r="Q27" i="2"/>
  <c r="Q26" i="2"/>
  <c r="Q12" i="2"/>
  <c r="Q13" i="2"/>
  <c r="Q14" i="2"/>
  <c r="Q15" i="2"/>
  <c r="Q16" i="2"/>
  <c r="Q17" i="2"/>
  <c r="Q18" i="2"/>
  <c r="Q19" i="2"/>
  <c r="Q20" i="2"/>
  <c r="Q21" i="2"/>
  <c r="Q11" i="2"/>
  <c r="E5" i="2"/>
  <c r="P24" i="2" s="1"/>
  <c r="AG22" i="2" a="1"/>
  <c r="AM22" i="2" a="1"/>
  <c r="AS22" i="2" a="1"/>
  <c r="AZ22" i="2" a="1"/>
  <c r="BF22" i="2" a="1"/>
  <c r="BM22" i="2" a="1"/>
  <c r="BS22" i="2" a="1"/>
  <c r="BZ22" i="2" a="1"/>
  <c r="CF22" i="2" a="1"/>
  <c r="AI41" i="2" a="1"/>
  <c r="AO41" i="2" a="1"/>
  <c r="AV41" i="2" a="1"/>
  <c r="BB41" i="2" a="1"/>
  <c r="BI41" i="2" a="1"/>
  <c r="BO41" i="2" a="1"/>
  <c r="BU41" i="2" a="1"/>
  <c r="CB41" i="2" a="1"/>
  <c r="CH41" i="2" a="1"/>
  <c r="AK59" i="2" a="1"/>
  <c r="AQ59" i="2" a="1"/>
  <c r="AX59" i="2" a="1"/>
  <c r="BD59" i="2" a="1"/>
  <c r="BK59" i="2" a="1"/>
  <c r="BQ59" i="2" a="1"/>
  <c r="BX59" i="2" a="1"/>
  <c r="CD59" i="2" a="1"/>
  <c r="BU22" i="2" a="1"/>
  <c r="AK41" i="2" a="1"/>
  <c r="BD41" i="2" a="1"/>
  <c r="BX41" i="2" a="1"/>
  <c r="AS59" i="2" a="1"/>
  <c r="BF59" i="2" a="1"/>
  <c r="BZ59" i="2" a="1"/>
  <c r="AW22" i="2" a="1"/>
  <c r="BJ22" i="2" a="1"/>
  <c r="CC22" i="2" a="1"/>
  <c r="BT22" i="2" a="1"/>
  <c r="AP41" i="2" a="1"/>
  <c r="BC41" i="2" a="1"/>
  <c r="BP41" i="2" a="1"/>
  <c r="CC41" i="2" a="1"/>
  <c r="AR59" i="2" a="1"/>
  <c r="BE59" i="2" a="1"/>
  <c r="BR59" i="2" a="1"/>
  <c r="CE59" i="2" a="1"/>
  <c r="AO22" i="2" a="1"/>
  <c r="BB22" i="2" a="1"/>
  <c r="BO22" i="2" a="1"/>
  <c r="CH22" i="2" a="1"/>
  <c r="AX41" i="2" a="1"/>
  <c r="BQ41" i="2" a="1"/>
  <c r="AM59" i="2" a="1"/>
  <c r="BM59" i="2" a="1"/>
  <c r="CF59" i="2" a="1"/>
  <c r="AJ22" i="2" a="1"/>
  <c r="BP22" i="2" a="1"/>
  <c r="CI22" i="2" a="1"/>
  <c r="AH22" i="2" a="1"/>
  <c r="AN22" i="2" a="1"/>
  <c r="AU22" i="2" a="1"/>
  <c r="BA22" i="2" a="1"/>
  <c r="BG22" i="2" a="1"/>
  <c r="BN22" i="2" a="1"/>
  <c r="CA22" i="2" a="1"/>
  <c r="CG22" i="2" a="1"/>
  <c r="AJ41" i="2" a="1"/>
  <c r="AW41" i="2" a="1"/>
  <c r="BJ41" i="2" a="1"/>
  <c r="BW41" i="2" a="1"/>
  <c r="CI41" i="2" a="1"/>
  <c r="AL59" i="2" a="1"/>
  <c r="AY59" i="2" a="1"/>
  <c r="BL59" i="2" a="1"/>
  <c r="BY59" i="2" a="1"/>
  <c r="AI22" i="2" a="1"/>
  <c r="AV22" i="2" a="1"/>
  <c r="BI22" i="2" a="1"/>
  <c r="CB22" i="2" a="1"/>
  <c r="AQ41" i="2" a="1"/>
  <c r="BK41" i="2" a="1"/>
  <c r="CD41" i="2" a="1"/>
  <c r="AG59" i="2" a="1"/>
  <c r="AZ59" i="2" a="1"/>
  <c r="BS59" i="2" a="1"/>
  <c r="AP22" i="2" a="1"/>
  <c r="BC22" i="2" a="1"/>
  <c r="BW22" i="2" a="1"/>
  <c r="BD22" i="2" a="1"/>
  <c r="BR22" i="2" a="1"/>
  <c r="AH41" i="2" a="1"/>
  <c r="AU41" i="2" a="1"/>
  <c r="BG41" i="2" a="1"/>
  <c r="BT41" i="2" a="1"/>
  <c r="CG41" i="2" a="1"/>
  <c r="AW59" i="2" a="1"/>
  <c r="CI59" i="2" a="1"/>
  <c r="CA59" i="2" a="1"/>
  <c r="BN41" i="2" a="1"/>
  <c r="BL22" i="2" a="1"/>
  <c r="CB59" i="2" a="1"/>
  <c r="CD22" i="2" a="1"/>
  <c r="CE41" i="2" a="1"/>
  <c r="BC59" i="2" a="1"/>
  <c r="AG41" i="2" a="1"/>
  <c r="CF41" i="2" a="1"/>
  <c r="AU59" i="2" a="1"/>
  <c r="CG59" i="2" a="1"/>
  <c r="AI59" i="2" a="1"/>
  <c r="AV59" i="2" a="1"/>
  <c r="BI59" i="2" a="1"/>
  <c r="BU59" i="2" a="1"/>
  <c r="CH59" i="2" a="1"/>
  <c r="BX22" i="2" a="1"/>
  <c r="BJ59" i="2" a="1"/>
  <c r="BA59" i="2" a="1"/>
  <c r="CA41" i="2" a="1"/>
  <c r="BB59" i="2" a="1"/>
  <c r="BE41" i="2" a="1"/>
  <c r="AP59" i="2" a="1"/>
  <c r="CE22" i="2" a="1"/>
  <c r="BF41" i="2" a="1"/>
  <c r="AH59" i="2" a="1"/>
  <c r="AQ22" i="2" a="1"/>
  <c r="BE22" i="2" a="1"/>
  <c r="AL41" i="2" a="1"/>
  <c r="AY41" i="2" a="1"/>
  <c r="BL41" i="2" a="1"/>
  <c r="BY41" i="2" a="1"/>
  <c r="AJ59" i="2" a="1"/>
  <c r="BW59" i="2" a="1"/>
  <c r="BN59" i="2" a="1"/>
  <c r="BA41" i="2" a="1"/>
  <c r="AO59" i="2" a="1"/>
  <c r="BR41" i="2" a="1"/>
  <c r="AK22" i="2" a="1"/>
  <c r="BP59" i="2" a="1"/>
  <c r="BQ22" i="2" a="1"/>
  <c r="BS41" i="2" a="1"/>
  <c r="AL22" i="2" a="1"/>
  <c r="BT59" i="2" a="1"/>
  <c r="AR22" i="2" a="1"/>
  <c r="AM41" i="2" a="1"/>
  <c r="AZ41" i="2" a="1"/>
  <c r="BM41" i="2" a="1"/>
  <c r="BZ41" i="2" a="1"/>
  <c r="BK22" i="2" a="1"/>
  <c r="BY22" i="2" a="1"/>
  <c r="AN59" i="2" a="1"/>
  <c r="AN41" i="2" a="1"/>
  <c r="AX22" i="2" a="1"/>
  <c r="BO59" i="2" a="1"/>
  <c r="AR41" i="2" a="1"/>
  <c r="AY22" i="2" a="1"/>
  <c r="CC59" i="2" a="1"/>
  <c r="AS41" i="2" a="1"/>
  <c r="BG59" i="2" a="1"/>
  <c r="AC41" i="2" a="1"/>
  <c r="Y22" i="2" a="1"/>
  <c r="AD41" i="2" a="1"/>
  <c r="AC59" i="2" a="1"/>
  <c r="AD59" i="2" a="1"/>
  <c r="T41" i="2" a="1"/>
  <c r="Y59" i="2" a="1"/>
  <c r="U41" i="2" a="1"/>
  <c r="Z59" i="2" a="1"/>
  <c r="W22" i="2" a="1"/>
  <c r="AB41" i="2" a="1"/>
  <c r="X22" i="2" a="1"/>
  <c r="AD22" i="2" a="1"/>
  <c r="W41" i="2" a="1"/>
  <c r="V59" i="2" a="1"/>
  <c r="AB59" i="2" a="1"/>
  <c r="S22" i="2" a="1"/>
  <c r="AE22" i="2" a="1"/>
  <c r="X41" i="2" a="1"/>
  <c r="W59" i="2" a="1"/>
  <c r="X59" i="2" a="1"/>
  <c r="U22" i="2" a="1"/>
  <c r="S59" i="2" a="1"/>
  <c r="V22" i="2" a="1"/>
  <c r="T59" i="2" a="1"/>
  <c r="AC22" i="2" a="1"/>
  <c r="U59" i="2" a="1"/>
  <c r="T22" i="2" a="1"/>
  <c r="S41" i="2" a="1"/>
  <c r="Y41" i="2" a="1"/>
  <c r="AE41" i="2" a="1"/>
  <c r="AA22" i="2" a="1"/>
  <c r="Z41" i="2" a="1"/>
  <c r="AE59" i="2" a="1"/>
  <c r="AB22" i="2" a="1"/>
  <c r="AA41" i="2" a="1"/>
  <c r="V41" i="2" a="1"/>
  <c r="AA59" i="2" a="1"/>
  <c r="Z22" i="2" a="1"/>
  <c r="F59" i="2" a="1"/>
  <c r="L59" i="2" a="1"/>
  <c r="N59" i="2" a="1"/>
  <c r="I59" i="2" a="1"/>
  <c r="O59" i="2" a="1"/>
  <c r="J59" i="2" a="1"/>
  <c r="K59" i="2" a="1"/>
  <c r="Q59" i="2" a="1"/>
  <c r="M59" i="2" a="1"/>
  <c r="G59" i="2" a="1"/>
  <c r="P59" i="2" a="1"/>
  <c r="H59" i="2" a="1"/>
  <c r="E59" i="2" a="1"/>
  <c r="F41" i="2" a="1"/>
  <c r="L41" i="2" a="1"/>
  <c r="N41" i="2" a="1"/>
  <c r="O41" i="2" a="1"/>
  <c r="J41" i="2" a="1"/>
  <c r="Q41" i="2" a="1"/>
  <c r="M41" i="2" a="1"/>
  <c r="G41" i="2" a="1"/>
  <c r="H41" i="2" a="1"/>
  <c r="I41" i="2" a="1"/>
  <c r="P41" i="2" a="1"/>
  <c r="K41" i="2" a="1"/>
  <c r="E41" i="2" a="1"/>
  <c r="F22" i="2" a="1"/>
  <c r="L22" i="2" a="1"/>
  <c r="N22" i="2" a="1"/>
  <c r="O22" i="2" a="1"/>
  <c r="P22" i="2" a="1"/>
  <c r="G22" i="2" a="1"/>
  <c r="M22" i="2" a="1"/>
  <c r="J22" i="2" a="1"/>
  <c r="Q22" i="2" a="1"/>
  <c r="H22" i="2" a="1"/>
  <c r="I22" i="2" a="1"/>
  <c r="K22" i="2" a="1"/>
  <c r="E22" i="2" a="1"/>
  <c r="J98" i="4" l="1" a="1"/>
  <c r="J98" i="4" s="1"/>
  <c r="E22" i="4"/>
  <c r="E23" i="4" s="1" a="1"/>
  <c r="E23" i="4" s="1"/>
  <c r="E24" i="4" s="1"/>
  <c r="G98" i="4"/>
  <c r="F99" i="4"/>
  <c r="J99" i="4" s="1" a="1"/>
  <c r="J99" i="4" s="1"/>
  <c r="F100" i="4"/>
  <c r="J100" i="4" s="1" a="1"/>
  <c r="J100" i="4" s="1"/>
  <c r="D66" i="4"/>
  <c r="D78" i="4"/>
  <c r="D62" i="4"/>
  <c r="D74" i="4"/>
  <c r="D82" i="4"/>
  <c r="D58" i="4"/>
  <c r="D70" i="4"/>
  <c r="D86" i="4"/>
  <c r="D54" i="4"/>
  <c r="D90" i="4"/>
  <c r="D94" i="4"/>
  <c r="E10" i="4"/>
  <c r="E13" i="5" a="1"/>
  <c r="E13" i="5" s="1"/>
  <c r="F13" i="5"/>
  <c r="AC13" i="5"/>
  <c r="AD13" i="5"/>
  <c r="Z13" i="5"/>
  <c r="E13" i="4"/>
  <c r="E14" i="4" s="1"/>
  <c r="E21" i="4"/>
  <c r="Y11" i="5" s="1"/>
  <c r="C14" i="5" a="1"/>
  <c r="C14" i="5" s="1"/>
  <c r="BG59" i="2"/>
  <c r="AS41" i="2"/>
  <c r="CC59" i="2"/>
  <c r="AY22" i="2"/>
  <c r="AR41" i="2"/>
  <c r="BO59" i="2"/>
  <c r="AX22" i="2"/>
  <c r="AN41" i="2"/>
  <c r="AN59" i="2"/>
  <c r="BY22" i="2"/>
  <c r="BK22" i="2"/>
  <c r="BZ41" i="2"/>
  <c r="BM41" i="2"/>
  <c r="AZ41" i="2"/>
  <c r="AM41" i="2"/>
  <c r="AR22" i="2"/>
  <c r="BT59" i="2"/>
  <c r="AL22" i="2"/>
  <c r="BS41" i="2"/>
  <c r="BQ22" i="2"/>
  <c r="BP59" i="2"/>
  <c r="AK22" i="2"/>
  <c r="BR41" i="2"/>
  <c r="AO59" i="2"/>
  <c r="BA41" i="2"/>
  <c r="BN59" i="2"/>
  <c r="BW59" i="2"/>
  <c r="AJ59" i="2"/>
  <c r="BY41" i="2"/>
  <c r="BL41" i="2"/>
  <c r="AY41" i="2"/>
  <c r="AL41" i="2"/>
  <c r="BE22" i="2"/>
  <c r="AQ22" i="2"/>
  <c r="AH59" i="2"/>
  <c r="BF41" i="2"/>
  <c r="CE22" i="2"/>
  <c r="AP59" i="2"/>
  <c r="BE41" i="2"/>
  <c r="BB59" i="2"/>
  <c r="CA41" i="2"/>
  <c r="BA59" i="2"/>
  <c r="BJ59" i="2"/>
  <c r="BX22" i="2"/>
  <c r="CH59" i="2"/>
  <c r="BU59" i="2"/>
  <c r="BI59" i="2"/>
  <c r="AV59" i="2"/>
  <c r="AI59" i="2"/>
  <c r="CG59" i="2"/>
  <c r="AU59" i="2"/>
  <c r="CF41" i="2"/>
  <c r="AG41" i="2"/>
  <c r="BC59" i="2"/>
  <c r="CE41" i="2"/>
  <c r="CD22" i="2"/>
  <c r="CB59" i="2"/>
  <c r="BL22" i="2"/>
  <c r="BN41" i="2"/>
  <c r="CA59" i="2"/>
  <c r="CI59" i="2"/>
  <c r="AW59" i="2"/>
  <c r="CG41" i="2"/>
  <c r="BT41" i="2"/>
  <c r="BG41" i="2"/>
  <c r="AU41" i="2"/>
  <c r="AH41" i="2"/>
  <c r="BR22" i="2"/>
  <c r="BD22" i="2"/>
  <c r="BW22" i="2"/>
  <c r="BC22" i="2"/>
  <c r="AP22" i="2"/>
  <c r="BS59" i="2"/>
  <c r="AZ59" i="2"/>
  <c r="AG59" i="2"/>
  <c r="CD41" i="2"/>
  <c r="BK41" i="2"/>
  <c r="AQ41" i="2"/>
  <c r="CB22" i="2"/>
  <c r="BI22" i="2"/>
  <c r="AV22" i="2"/>
  <c r="AI22" i="2"/>
  <c r="BY59" i="2"/>
  <c r="BL59" i="2"/>
  <c r="AY59" i="2"/>
  <c r="AL59" i="2"/>
  <c r="CI41" i="2"/>
  <c r="BW41" i="2"/>
  <c r="BJ41" i="2"/>
  <c r="AW41" i="2"/>
  <c r="AJ41" i="2"/>
  <c r="CG22" i="2"/>
  <c r="CA22" i="2"/>
  <c r="BN22" i="2"/>
  <c r="BG22" i="2"/>
  <c r="BA22" i="2"/>
  <c r="AU22" i="2"/>
  <c r="AN22" i="2"/>
  <c r="AH22" i="2"/>
  <c r="CI22" i="2"/>
  <c r="BP22" i="2"/>
  <c r="AJ22" i="2"/>
  <c r="CF59" i="2"/>
  <c r="BM59" i="2"/>
  <c r="AM59" i="2"/>
  <c r="BQ41" i="2"/>
  <c r="AX41" i="2"/>
  <c r="CH22" i="2"/>
  <c r="BO22" i="2"/>
  <c r="BB22" i="2"/>
  <c r="AO22" i="2"/>
  <c r="CE59" i="2"/>
  <c r="BR59" i="2"/>
  <c r="BE59" i="2"/>
  <c r="AR59" i="2"/>
  <c r="CC41" i="2"/>
  <c r="BP41" i="2"/>
  <c r="BC41" i="2"/>
  <c r="AP41" i="2"/>
  <c r="BT22" i="2"/>
  <c r="CC22" i="2"/>
  <c r="BJ22" i="2"/>
  <c r="AW22" i="2"/>
  <c r="BZ59" i="2"/>
  <c r="BF59" i="2"/>
  <c r="AS59" i="2"/>
  <c r="BX41" i="2"/>
  <c r="BD41" i="2"/>
  <c r="AK41" i="2"/>
  <c r="BU22" i="2"/>
  <c r="CD59" i="2"/>
  <c r="BX59" i="2"/>
  <c r="BQ59" i="2"/>
  <c r="BK59" i="2"/>
  <c r="BD59" i="2"/>
  <c r="AX59" i="2"/>
  <c r="AQ59" i="2"/>
  <c r="AK59" i="2"/>
  <c r="CH41" i="2"/>
  <c r="CB41" i="2"/>
  <c r="BU41" i="2"/>
  <c r="BO41" i="2"/>
  <c r="BI41" i="2"/>
  <c r="BB41" i="2"/>
  <c r="AV41" i="2"/>
  <c r="AO41" i="2"/>
  <c r="AI41" i="2"/>
  <c r="CF22" i="2"/>
  <c r="BZ22" i="2"/>
  <c r="BS22" i="2"/>
  <c r="BM22" i="2"/>
  <c r="BF22" i="2"/>
  <c r="AZ22" i="2"/>
  <c r="AS22" i="2"/>
  <c r="AM22" i="2"/>
  <c r="AG22" i="2"/>
  <c r="F43" i="2"/>
  <c r="E43" i="2"/>
  <c r="G43" i="2"/>
  <c r="K43" i="2"/>
  <c r="Q43" i="2"/>
  <c r="H43" i="2"/>
  <c r="I43" i="2"/>
  <c r="J43" i="2"/>
  <c r="L43" i="2"/>
  <c r="M43" i="2"/>
  <c r="N43" i="2"/>
  <c r="O43" i="2"/>
  <c r="P43" i="2"/>
  <c r="S5" i="2"/>
  <c r="AG5" i="2" s="1"/>
  <c r="Z22" i="2"/>
  <c r="AA59" i="2"/>
  <c r="V41" i="2"/>
  <c r="AA41" i="2"/>
  <c r="AB22" i="2"/>
  <c r="AE59" i="2"/>
  <c r="Z41" i="2"/>
  <c r="AA22" i="2"/>
  <c r="AE41" i="2"/>
  <c r="Y41" i="2"/>
  <c r="S41" i="2"/>
  <c r="T22" i="2"/>
  <c r="U59" i="2"/>
  <c r="AC22" i="2"/>
  <c r="T59" i="2"/>
  <c r="V22" i="2"/>
  <c r="S59" i="2"/>
  <c r="U22" i="2"/>
  <c r="X59" i="2"/>
  <c r="W59" i="2"/>
  <c r="X41" i="2"/>
  <c r="AE22" i="2"/>
  <c r="S22" i="2"/>
  <c r="AB59" i="2"/>
  <c r="V59" i="2"/>
  <c r="W41" i="2"/>
  <c r="AD22" i="2"/>
  <c r="X22" i="2"/>
  <c r="AB41" i="2"/>
  <c r="W22" i="2"/>
  <c r="Z59" i="2"/>
  <c r="U41" i="2"/>
  <c r="Y59" i="2"/>
  <c r="T41" i="2"/>
  <c r="AD59" i="2"/>
  <c r="AC59" i="2"/>
  <c r="AD41" i="2"/>
  <c r="Y22" i="2"/>
  <c r="AC41" i="2"/>
  <c r="H59" i="2"/>
  <c r="P59" i="2"/>
  <c r="G59" i="2"/>
  <c r="M59" i="2"/>
  <c r="Q59" i="2"/>
  <c r="K59" i="2"/>
  <c r="J59" i="2"/>
  <c r="O59" i="2"/>
  <c r="I59" i="2"/>
  <c r="N59" i="2"/>
  <c r="L59" i="2"/>
  <c r="F59" i="2"/>
  <c r="E59" i="2"/>
  <c r="K41" i="2"/>
  <c r="P41" i="2"/>
  <c r="I41" i="2"/>
  <c r="H41" i="2"/>
  <c r="G41" i="2"/>
  <c r="M41" i="2"/>
  <c r="Q41" i="2"/>
  <c r="J41" i="2"/>
  <c r="O41" i="2"/>
  <c r="N41" i="2"/>
  <c r="L41" i="2"/>
  <c r="F41" i="2"/>
  <c r="E41" i="2"/>
  <c r="Q24" i="2"/>
  <c r="F24" i="2"/>
  <c r="G24" i="2"/>
  <c r="E24" i="2"/>
  <c r="G10" i="2"/>
  <c r="H10" i="2"/>
  <c r="H24" i="2"/>
  <c r="I24" i="2"/>
  <c r="M10" i="2"/>
  <c r="N10" i="2"/>
  <c r="O10" i="2"/>
  <c r="Q10" i="2"/>
  <c r="J10" i="2"/>
  <c r="J24" i="2"/>
  <c r="E10" i="2"/>
  <c r="K10" i="2"/>
  <c r="K24" i="2"/>
  <c r="F10" i="2"/>
  <c r="I10" i="2"/>
  <c r="L10" i="2"/>
  <c r="L24" i="2"/>
  <c r="M24" i="2"/>
  <c r="N24" i="2"/>
  <c r="O24" i="2"/>
  <c r="P10" i="2"/>
  <c r="K22" i="2"/>
  <c r="I22" i="2"/>
  <c r="H22" i="2"/>
  <c r="Q22" i="2"/>
  <c r="J22" i="2"/>
  <c r="M22" i="2"/>
  <c r="G22" i="2"/>
  <c r="P22" i="2"/>
  <c r="O22" i="2"/>
  <c r="N22" i="2"/>
  <c r="L22" i="2"/>
  <c r="F22" i="2"/>
  <c r="E22" i="2"/>
  <c r="G99" i="4" l="1"/>
  <c r="G100" i="4"/>
  <c r="L100" i="4" a="1"/>
  <c r="L100" i="4" s="1"/>
  <c r="N100" i="4" s="1"/>
  <c r="L98" i="4" a="1"/>
  <c r="L98" i="4" s="1"/>
  <c r="N98" i="4" s="1"/>
  <c r="L99" i="4" a="1"/>
  <c r="L99" i="4" s="1"/>
  <c r="F90" i="4"/>
  <c r="F91" i="4"/>
  <c r="F92" i="4"/>
  <c r="F54" i="4"/>
  <c r="F56" i="4"/>
  <c r="F55" i="4"/>
  <c r="L55" i="4" s="1" a="1"/>
  <c r="L55" i="4" s="1"/>
  <c r="F88" i="4"/>
  <c r="F86" i="4"/>
  <c r="F87" i="4"/>
  <c r="F70" i="4"/>
  <c r="F71" i="4"/>
  <c r="F72" i="4"/>
  <c r="F58" i="4"/>
  <c r="F59" i="4"/>
  <c r="F60" i="4"/>
  <c r="F82" i="4"/>
  <c r="F83" i="4"/>
  <c r="F84" i="4"/>
  <c r="F74" i="4"/>
  <c r="F75" i="4"/>
  <c r="F76" i="4"/>
  <c r="F62" i="4"/>
  <c r="F63" i="4"/>
  <c r="F64" i="4"/>
  <c r="F78" i="4"/>
  <c r="F80" i="4"/>
  <c r="F79" i="4"/>
  <c r="F66" i="4"/>
  <c r="F67" i="4"/>
  <c r="F68" i="4"/>
  <c r="F94" i="4"/>
  <c r="F95" i="4"/>
  <c r="F96" i="4"/>
  <c r="C15" i="5" a="1"/>
  <c r="C15" i="5" s="1"/>
  <c r="G14" i="5" a="1"/>
  <c r="G14" i="5" s="1"/>
  <c r="H14" i="5"/>
  <c r="E14" i="5" a="1"/>
  <c r="E14" i="5" s="1"/>
  <c r="D13" i="5"/>
  <c r="I13" i="5" s="1" a="1"/>
  <c r="I13" i="5" s="1"/>
  <c r="AB13" i="5"/>
  <c r="AA13" i="5"/>
  <c r="P13" i="5"/>
  <c r="R13" i="5"/>
  <c r="T13" i="5"/>
  <c r="S13" i="5"/>
  <c r="Q13" i="5"/>
  <c r="W13" i="5"/>
  <c r="N13" i="5" a="1"/>
  <c r="N13" i="5" s="1"/>
  <c r="M13" i="5" a="1"/>
  <c r="M13" i="5" s="1"/>
  <c r="O13" i="5"/>
  <c r="X13" i="5"/>
  <c r="Y13" i="5" s="1"/>
  <c r="V13" i="5"/>
  <c r="U13" i="5"/>
  <c r="AF11" i="5"/>
  <c r="J15" i="5" a="1"/>
  <c r="J15" i="5" s="1"/>
  <c r="J14" i="5" a="1"/>
  <c r="J14" i="5" s="1"/>
  <c r="AK7" i="2"/>
  <c r="AK6" i="2" s="1"/>
  <c r="AQ7" i="2"/>
  <c r="AQ6" i="2" s="1"/>
  <c r="AD10" i="2"/>
  <c r="CH7" i="2"/>
  <c r="CH6" i="2" s="1"/>
  <c r="AO10" i="2"/>
  <c r="AH24" i="2"/>
  <c r="AK43" i="2"/>
  <c r="AO43" i="2"/>
  <c r="AP43" i="2"/>
  <c r="AR43" i="2"/>
  <c r="AS43" i="2"/>
  <c r="AU5" i="2"/>
  <c r="AP10" i="2"/>
  <c r="AI24" i="2"/>
  <c r="AL43" i="2"/>
  <c r="AS10" i="2"/>
  <c r="AK10" i="2"/>
  <c r="AI43" i="2"/>
  <c r="AG24" i="2"/>
  <c r="AQ10" i="2"/>
  <c r="AJ24" i="2"/>
  <c r="AM43" i="2"/>
  <c r="AG10" i="2"/>
  <c r="AG43" i="2"/>
  <c r="AQ24" i="2"/>
  <c r="AN10" i="2"/>
  <c r="AS24" i="2"/>
  <c r="AR10" i="2"/>
  <c r="AK24" i="2"/>
  <c r="AN43" i="2"/>
  <c r="AL24" i="2"/>
  <c r="AH10" i="2"/>
  <c r="AM24" i="2"/>
  <c r="AM10" i="2"/>
  <c r="AJ43" i="2"/>
  <c r="AI10" i="2"/>
  <c r="AN24" i="2"/>
  <c r="AQ43" i="2"/>
  <c r="AJ10" i="2"/>
  <c r="AO24" i="2"/>
  <c r="AP24" i="2"/>
  <c r="AL10" i="2"/>
  <c r="AH43" i="2"/>
  <c r="AR24" i="2"/>
  <c r="AG7" i="2"/>
  <c r="AG6" i="2" s="1"/>
  <c r="BT7" i="2"/>
  <c r="BT6" i="2" s="1"/>
  <c r="BA7" i="2"/>
  <c r="BA6" i="2" s="1"/>
  <c r="AP7" i="2"/>
  <c r="AP6" i="2" s="1"/>
  <c r="AM7" i="2"/>
  <c r="AM6" i="2" s="1"/>
  <c r="BG7" i="2"/>
  <c r="BG6" i="2" s="1"/>
  <c r="AS7" i="2"/>
  <c r="AS6" i="2" s="1"/>
  <c r="AI7" i="2"/>
  <c r="AI6" i="2" s="1"/>
  <c r="BW7" i="2"/>
  <c r="BW6" i="2" s="1"/>
  <c r="AZ7" i="2"/>
  <c r="AZ6" i="2" s="1"/>
  <c r="BD7" i="2"/>
  <c r="BD6" i="2" s="1"/>
  <c r="BE7" i="2"/>
  <c r="BE6" i="2" s="1"/>
  <c r="BU7" i="2"/>
  <c r="BU6" i="2" s="1"/>
  <c r="BC7" i="2"/>
  <c r="BC6" i="2" s="1"/>
  <c r="BK7" i="2"/>
  <c r="BK6" i="2" s="1"/>
  <c r="CG7" i="2"/>
  <c r="CG6" i="2" s="1"/>
  <c r="AA7" i="2"/>
  <c r="AA6" i="2" s="1"/>
  <c r="CI7" i="2"/>
  <c r="CI6" i="2" s="1"/>
  <c r="BY7" i="2"/>
  <c r="BY6" i="2" s="1"/>
  <c r="CA7" i="2"/>
  <c r="CA6" i="2" s="1"/>
  <c r="BI7" i="2"/>
  <c r="BI6" i="2" s="1"/>
  <c r="BR7" i="2"/>
  <c r="BR6" i="2" s="1"/>
  <c r="CD7" i="2"/>
  <c r="CD6" i="2" s="1"/>
  <c r="BX7" i="2"/>
  <c r="BX6" i="2" s="1"/>
  <c r="BQ7" i="2"/>
  <c r="BQ6" i="2" s="1"/>
  <c r="CB7" i="2"/>
  <c r="CB6" i="2" s="1"/>
  <c r="AX7" i="2"/>
  <c r="AX6" i="2" s="1"/>
  <c r="BS7" i="2"/>
  <c r="BS6" i="2" s="1"/>
  <c r="AJ7" i="2"/>
  <c r="AJ6" i="2" s="1"/>
  <c r="BP7" i="2"/>
  <c r="BP6" i="2" s="1"/>
  <c r="BN7" i="2"/>
  <c r="BN6" i="2" s="1"/>
  <c r="BL7" i="2"/>
  <c r="BL6" i="2" s="1"/>
  <c r="AV7" i="2"/>
  <c r="AV6" i="2" s="1"/>
  <c r="BF7" i="2"/>
  <c r="BF6" i="2" s="1"/>
  <c r="BM7" i="2"/>
  <c r="BM6" i="2" s="1"/>
  <c r="AL7" i="2"/>
  <c r="AL6" i="2" s="1"/>
  <c r="BZ7" i="2"/>
  <c r="BZ6" i="2" s="1"/>
  <c r="CF7" i="2"/>
  <c r="CF6" i="2" s="1"/>
  <c r="AR7" i="2"/>
  <c r="AR6" i="2" s="1"/>
  <c r="AY7" i="2"/>
  <c r="AY6" i="2" s="1"/>
  <c r="AW7" i="2"/>
  <c r="AW6" i="2" s="1"/>
  <c r="AO7" i="2"/>
  <c r="AO6" i="2" s="1"/>
  <c r="AH7" i="2"/>
  <c r="AH6" i="2" s="1"/>
  <c r="BJ7" i="2"/>
  <c r="BJ6" i="2" s="1"/>
  <c r="BB7" i="2"/>
  <c r="BB6" i="2" s="1"/>
  <c r="AN7" i="2"/>
  <c r="AN6" i="2" s="1"/>
  <c r="CC7" i="2"/>
  <c r="CC6" i="2" s="1"/>
  <c r="BO7" i="2"/>
  <c r="BO6" i="2" s="1"/>
  <c r="AU7" i="2"/>
  <c r="AU6" i="2" s="1"/>
  <c r="CE7" i="2"/>
  <c r="CE6" i="2" s="1"/>
  <c r="V7" i="2"/>
  <c r="V6" i="2" s="1"/>
  <c r="AE7" i="2"/>
  <c r="AE6" i="2" s="1"/>
  <c r="T7" i="2"/>
  <c r="T6" i="2" s="1"/>
  <c r="AE10" i="2"/>
  <c r="S24" i="2"/>
  <c r="AE24" i="2"/>
  <c r="S43" i="2"/>
  <c r="AE43" i="2"/>
  <c r="AC10" i="2"/>
  <c r="T24" i="2"/>
  <c r="T43" i="2"/>
  <c r="S10" i="2"/>
  <c r="U24" i="2"/>
  <c r="U43" i="2"/>
  <c r="T10" i="2"/>
  <c r="V24" i="2"/>
  <c r="V43" i="2"/>
  <c r="X43" i="2"/>
  <c r="W10" i="2"/>
  <c r="Y24" i="2"/>
  <c r="X10" i="2"/>
  <c r="Z24" i="2"/>
  <c r="Z10" i="2"/>
  <c r="AB24" i="2"/>
  <c r="AB43" i="2"/>
  <c r="AB10" i="2"/>
  <c r="AD24" i="2"/>
  <c r="AD43" i="2"/>
  <c r="U10" i="2"/>
  <c r="W24" i="2"/>
  <c r="W43" i="2"/>
  <c r="V10" i="2"/>
  <c r="X24" i="2"/>
  <c r="Y43" i="2"/>
  <c r="Z43" i="2"/>
  <c r="Y10" i="2"/>
  <c r="AA24" i="2"/>
  <c r="AA43" i="2"/>
  <c r="AA10" i="2"/>
  <c r="AC24" i="2"/>
  <c r="AC43" i="2"/>
  <c r="S7" i="2"/>
  <c r="S6" i="2" s="1"/>
  <c r="AC7" i="2"/>
  <c r="AC6" i="2" s="1"/>
  <c r="W7" i="2"/>
  <c r="W6" i="2" s="1"/>
  <c r="U7" i="2"/>
  <c r="U6" i="2" s="1"/>
  <c r="AB7" i="2"/>
  <c r="AB6" i="2" s="1"/>
  <c r="X7" i="2"/>
  <c r="X6" i="2" s="1"/>
  <c r="AD7" i="2"/>
  <c r="AD6" i="2" s="1"/>
  <c r="G7" i="2"/>
  <c r="G6" i="2" s="1"/>
  <c r="Y7" i="2"/>
  <c r="Y6" i="2" s="1"/>
  <c r="Z7" i="2"/>
  <c r="Z6" i="2" s="1"/>
  <c r="M7" i="2"/>
  <c r="M6" i="2" s="1"/>
  <c r="P7" i="2"/>
  <c r="P6" i="2" s="1"/>
  <c r="H7" i="2"/>
  <c r="H6" i="2" s="1"/>
  <c r="O7" i="2"/>
  <c r="O6" i="2" s="1"/>
  <c r="J7" i="2"/>
  <c r="J6" i="2" s="1"/>
  <c r="Q7" i="2"/>
  <c r="Q6" i="2" s="1"/>
  <c r="I7" i="2"/>
  <c r="I6" i="2" s="1"/>
  <c r="K7" i="2"/>
  <c r="K6" i="2" s="1"/>
  <c r="F7" i="2"/>
  <c r="F6" i="2" s="1"/>
  <c r="L7" i="2"/>
  <c r="L6" i="2" s="1"/>
  <c r="N7" i="2"/>
  <c r="N6" i="2" s="1"/>
  <c r="E7" i="2"/>
  <c r="E6" i="2" s="1"/>
  <c r="M100" i="4" l="1"/>
  <c r="P100" i="4" s="1"/>
  <c r="Q100" i="4"/>
  <c r="M98" i="4"/>
  <c r="R98" i="4" s="1"/>
  <c r="Q98" i="4"/>
  <c r="J66" i="4" a="1"/>
  <c r="J66" i="4" s="1"/>
  <c r="G66" i="4"/>
  <c r="J60" i="4" a="1"/>
  <c r="J60" i="4" s="1"/>
  <c r="G60" i="4"/>
  <c r="J91" i="4" a="1"/>
  <c r="J91" i="4" s="1"/>
  <c r="G91" i="4"/>
  <c r="J90" i="4" a="1"/>
  <c r="J90" i="4" s="1"/>
  <c r="G90" i="4"/>
  <c r="J72" i="4" a="1"/>
  <c r="J72" i="4" s="1"/>
  <c r="G72" i="4"/>
  <c r="J63" i="4" a="1"/>
  <c r="J63" i="4" s="1"/>
  <c r="G63" i="4"/>
  <c r="J71" i="4" a="1"/>
  <c r="J71" i="4" s="1"/>
  <c r="G71" i="4"/>
  <c r="J62" i="4" a="1"/>
  <c r="J62" i="4" s="1"/>
  <c r="G62" i="4"/>
  <c r="J70" i="4" a="1"/>
  <c r="J70" i="4" s="1"/>
  <c r="G70" i="4"/>
  <c r="J96" i="4" a="1"/>
  <c r="J96" i="4" s="1"/>
  <c r="G96" i="4"/>
  <c r="J76" i="4" a="1"/>
  <c r="J76" i="4" s="1"/>
  <c r="G76" i="4"/>
  <c r="J87" i="4" a="1"/>
  <c r="J87" i="4" s="1"/>
  <c r="G87" i="4"/>
  <c r="J94" i="4" a="1"/>
  <c r="J94" i="4" s="1"/>
  <c r="G94" i="4"/>
  <c r="J74" i="4" a="1"/>
  <c r="J74" i="4" s="1"/>
  <c r="G74" i="4"/>
  <c r="J88" i="4" a="1"/>
  <c r="J88" i="4" s="1"/>
  <c r="G88" i="4"/>
  <c r="J54" i="4" a="1"/>
  <c r="J54" i="4" s="1"/>
  <c r="G54" i="4"/>
  <c r="J92" i="4" a="1"/>
  <c r="J92" i="4" s="1"/>
  <c r="G92" i="4"/>
  <c r="J59" i="4" a="1"/>
  <c r="J59" i="4" s="1"/>
  <c r="G59" i="4"/>
  <c r="J58" i="4" a="1"/>
  <c r="J58" i="4" s="1"/>
  <c r="G58" i="4"/>
  <c r="J95" i="4" a="1"/>
  <c r="J95" i="4" s="1"/>
  <c r="G95" i="4"/>
  <c r="J75" i="4" a="1"/>
  <c r="J75" i="4" s="1"/>
  <c r="G75" i="4"/>
  <c r="J86" i="4" a="1"/>
  <c r="J86" i="4" s="1"/>
  <c r="G86" i="4"/>
  <c r="J68" i="4" a="1"/>
  <c r="J68" i="4" s="1"/>
  <c r="G68" i="4"/>
  <c r="J84" i="4" a="1"/>
  <c r="J84" i="4" s="1"/>
  <c r="G84" i="4"/>
  <c r="J55" i="4" a="1"/>
  <c r="J55" i="4" s="1"/>
  <c r="M55" i="4" s="1"/>
  <c r="G55" i="4"/>
  <c r="J82" i="4" a="1"/>
  <c r="J82" i="4" s="1"/>
  <c r="G82" i="4"/>
  <c r="J79" i="4" a="1"/>
  <c r="J79" i="4" s="1"/>
  <c r="G79" i="4"/>
  <c r="J80" i="4" a="1"/>
  <c r="J80" i="4" s="1"/>
  <c r="G80" i="4"/>
  <c r="J78" i="4" a="1"/>
  <c r="J78" i="4" s="1"/>
  <c r="G78" i="4"/>
  <c r="J64" i="4" a="1"/>
  <c r="J64" i="4" s="1"/>
  <c r="G64" i="4"/>
  <c r="J67" i="4" a="1"/>
  <c r="J67" i="4" s="1"/>
  <c r="G67" i="4"/>
  <c r="J83" i="4" a="1"/>
  <c r="J83" i="4" s="1"/>
  <c r="G83" i="4"/>
  <c r="J56" i="4" a="1"/>
  <c r="J56" i="4" s="1"/>
  <c r="G56" i="4"/>
  <c r="N99" i="4"/>
  <c r="Q99" i="4"/>
  <c r="R100" i="4"/>
  <c r="S100" i="4"/>
  <c r="O100" i="4"/>
  <c r="M99" i="4"/>
  <c r="L70" i="4" a="1"/>
  <c r="L70" i="4" s="1"/>
  <c r="L72" i="4" a="1"/>
  <c r="L72" i="4" s="1"/>
  <c r="L67" i="4" a="1"/>
  <c r="L67" i="4" s="1"/>
  <c r="L71" i="4" a="1"/>
  <c r="L71" i="4" s="1"/>
  <c r="L91" i="4" a="1"/>
  <c r="L91" i="4" s="1"/>
  <c r="L63" i="4" a="1"/>
  <c r="L63" i="4" s="1"/>
  <c r="L60" i="4" a="1"/>
  <c r="L60" i="4" s="1"/>
  <c r="L75" i="4" a="1"/>
  <c r="L75" i="4" s="1"/>
  <c r="L83" i="4" a="1"/>
  <c r="L83" i="4" s="1"/>
  <c r="L84" i="4" a="1"/>
  <c r="L84" i="4" s="1"/>
  <c r="L94" i="4" a="1"/>
  <c r="L94" i="4" s="1"/>
  <c r="L66" i="4" a="1"/>
  <c r="L66" i="4" s="1"/>
  <c r="L68" i="4" a="1"/>
  <c r="L68" i="4" s="1"/>
  <c r="L78" i="4" a="1"/>
  <c r="L78" i="4" s="1"/>
  <c r="L59" i="4" a="1"/>
  <c r="L59" i="4" s="1"/>
  <c r="L86" i="4" a="1"/>
  <c r="L86" i="4" s="1"/>
  <c r="L95" i="4" a="1"/>
  <c r="L95" i="4" s="1"/>
  <c r="L79" i="4" a="1"/>
  <c r="L79" i="4" s="1"/>
  <c r="L92" i="4" a="1"/>
  <c r="L92" i="4" s="1"/>
  <c r="L76" i="4" a="1"/>
  <c r="L76" i="4" s="1"/>
  <c r="L82" i="4" a="1"/>
  <c r="L82" i="4" s="1"/>
  <c r="L64" i="4" a="1"/>
  <c r="L64" i="4" s="1"/>
  <c r="L87" i="4" a="1"/>
  <c r="L87" i="4" s="1"/>
  <c r="L54" i="4" a="1"/>
  <c r="L54" i="4" s="1"/>
  <c r="L80" i="4" a="1"/>
  <c r="L80" i="4" s="1"/>
  <c r="L62" i="4" a="1"/>
  <c r="L62" i="4" s="1"/>
  <c r="L56" i="4" a="1"/>
  <c r="L56" i="4" s="1"/>
  <c r="L58" i="4" a="1"/>
  <c r="L58" i="4" s="1"/>
  <c r="L96" i="4" a="1"/>
  <c r="L96" i="4" s="1"/>
  <c r="L90" i="4" a="1"/>
  <c r="L90" i="4" s="1"/>
  <c r="L88" i="4" a="1"/>
  <c r="L88" i="4" s="1"/>
  <c r="L74" i="4" a="1"/>
  <c r="L74" i="4" s="1"/>
  <c r="D14" i="5"/>
  <c r="I14" i="5" s="1" a="1"/>
  <c r="I14" i="5" s="1"/>
  <c r="K14" i="5" s="1" a="1"/>
  <c r="K14" i="5" s="1"/>
  <c r="L14" i="5" a="1"/>
  <c r="L14" i="5" s="1"/>
  <c r="F14" i="5"/>
  <c r="C16" i="5" a="1"/>
  <c r="C16" i="5" s="1"/>
  <c r="G15" i="5" a="1"/>
  <c r="G15" i="5" s="1"/>
  <c r="H15" i="5"/>
  <c r="E15" i="5" a="1"/>
  <c r="E15" i="5" s="1"/>
  <c r="BB10" i="2"/>
  <c r="AU24" i="2"/>
  <c r="BG24" i="2"/>
  <c r="AX43" i="2"/>
  <c r="AW10" i="2"/>
  <c r="BC24" i="2"/>
  <c r="BG43" i="2"/>
  <c r="AZ10" i="2"/>
  <c r="BE24" i="2"/>
  <c r="BC10" i="2"/>
  <c r="AV24" i="2"/>
  <c r="AY43" i="2"/>
  <c r="AY24" i="2"/>
  <c r="BB43" i="2"/>
  <c r="BG10" i="2"/>
  <c r="AZ24" i="2"/>
  <c r="BB24" i="2"/>
  <c r="BF43" i="2"/>
  <c r="BI5" i="2"/>
  <c r="BD10" i="2"/>
  <c r="AW24" i="2"/>
  <c r="AZ43" i="2"/>
  <c r="AU10" i="2"/>
  <c r="BD43" i="2"/>
  <c r="AX10" i="2"/>
  <c r="AY10" i="2"/>
  <c r="AU43" i="2"/>
  <c r="AV43" i="2"/>
  <c r="BE10" i="2"/>
  <c r="AX24" i="2"/>
  <c r="BA43" i="2"/>
  <c r="BF10" i="2"/>
  <c r="BC43" i="2"/>
  <c r="BE43" i="2"/>
  <c r="BF24" i="2"/>
  <c r="AV10" i="2"/>
  <c r="BA24" i="2"/>
  <c r="BD24" i="2"/>
  <c r="BA10" i="2"/>
  <c r="AW43" i="2"/>
  <c r="P98" i="4" l="1"/>
  <c r="O98" i="4"/>
  <c r="S98" i="4"/>
  <c r="N55" i="4"/>
  <c r="Q55" i="4"/>
  <c r="Q54" i="4"/>
  <c r="N84" i="4"/>
  <c r="Q84" i="4"/>
  <c r="N74" i="4"/>
  <c r="Q74" i="4"/>
  <c r="N90" i="4"/>
  <c r="Q90" i="4"/>
  <c r="N86" i="4"/>
  <c r="Q86" i="4"/>
  <c r="N71" i="4"/>
  <c r="Q71" i="4"/>
  <c r="N76" i="4"/>
  <c r="Q76" i="4"/>
  <c r="N60" i="4"/>
  <c r="Q60" i="4"/>
  <c r="N96" i="4"/>
  <c r="Q96" i="4"/>
  <c r="N78" i="4"/>
  <c r="Q78" i="4"/>
  <c r="N67" i="4"/>
  <c r="Q67" i="4"/>
  <c r="N75" i="4"/>
  <c r="Q75" i="4"/>
  <c r="N79" i="4"/>
  <c r="Q79" i="4"/>
  <c r="N91" i="4"/>
  <c r="Q91" i="4"/>
  <c r="N72" i="4"/>
  <c r="Q72" i="4"/>
  <c r="N82" i="4"/>
  <c r="Q82" i="4"/>
  <c r="N92" i="4"/>
  <c r="Q92" i="4"/>
  <c r="N63" i="4"/>
  <c r="Q63" i="4"/>
  <c r="N58" i="4"/>
  <c r="Q58" i="4"/>
  <c r="N59" i="4"/>
  <c r="Q59" i="4"/>
  <c r="N80" i="4"/>
  <c r="Q80" i="4"/>
  <c r="N66" i="4"/>
  <c r="Q66" i="4"/>
  <c r="N70" i="4"/>
  <c r="Q70" i="4"/>
  <c r="N64" i="4"/>
  <c r="Q64" i="4"/>
  <c r="N83" i="4"/>
  <c r="Q83" i="4"/>
  <c r="N88" i="4"/>
  <c r="Q88" i="4"/>
  <c r="N95" i="4"/>
  <c r="Q95" i="4"/>
  <c r="N62" i="4"/>
  <c r="Q62" i="4"/>
  <c r="N68" i="4"/>
  <c r="Q68" i="4"/>
  <c r="N87" i="4"/>
  <c r="Q87" i="4"/>
  <c r="N94" i="4"/>
  <c r="Q94" i="4"/>
  <c r="R99" i="4"/>
  <c r="S99" i="4"/>
  <c r="N56" i="4"/>
  <c r="Q56" i="4"/>
  <c r="R55" i="4"/>
  <c r="S55" i="4"/>
  <c r="N54" i="4"/>
  <c r="O99" i="4"/>
  <c r="P99" i="4"/>
  <c r="O55" i="4"/>
  <c r="P55" i="4"/>
  <c r="M56" i="4"/>
  <c r="M54" i="4"/>
  <c r="M67" i="4"/>
  <c r="M70" i="4"/>
  <c r="M58" i="4"/>
  <c r="M63" i="4"/>
  <c r="M95" i="4"/>
  <c r="M91" i="4"/>
  <c r="M86" i="4"/>
  <c r="M71" i="4"/>
  <c r="M62" i="4"/>
  <c r="M94" i="4"/>
  <c r="M96" i="4"/>
  <c r="M80" i="4"/>
  <c r="M87" i="4"/>
  <c r="M84" i="4"/>
  <c r="M59" i="4"/>
  <c r="M68" i="4"/>
  <c r="M64" i="4"/>
  <c r="M82" i="4"/>
  <c r="M74" i="4"/>
  <c r="M76" i="4"/>
  <c r="M83" i="4"/>
  <c r="M60" i="4"/>
  <c r="M78" i="4"/>
  <c r="M88" i="4"/>
  <c r="M75" i="4"/>
  <c r="M66" i="4"/>
  <c r="M92" i="4"/>
  <c r="M90" i="4"/>
  <c r="M79" i="4"/>
  <c r="M72" i="4"/>
  <c r="F15" i="5"/>
  <c r="L15" i="5" a="1"/>
  <c r="L15" i="5" s="1"/>
  <c r="D15" i="5"/>
  <c r="I15" i="5" s="1" a="1"/>
  <c r="I15" i="5" s="1"/>
  <c r="K15" i="5" s="1" a="1"/>
  <c r="K15" i="5" s="1"/>
  <c r="C17" i="5" a="1"/>
  <c r="C17" i="5" s="1"/>
  <c r="E16" i="5" a="1"/>
  <c r="E16" i="5" s="1"/>
  <c r="G16" i="5" a="1"/>
  <c r="G16" i="5" s="1"/>
  <c r="H16" i="5"/>
  <c r="J16" i="5" a="1"/>
  <c r="J16" i="5" s="1"/>
  <c r="M14" i="5" a="1"/>
  <c r="M14" i="5" s="1"/>
  <c r="V14" i="5" s="1"/>
  <c r="N14" i="5" a="1"/>
  <c r="N14" i="5" s="1"/>
  <c r="Q14" i="5" s="1"/>
  <c r="BS10" i="2"/>
  <c r="BO10" i="2"/>
  <c r="BT24" i="2"/>
  <c r="BK43" i="2"/>
  <c r="BO24" i="2"/>
  <c r="BJ43" i="2"/>
  <c r="BP10" i="2"/>
  <c r="BI24" i="2"/>
  <c r="BU24" i="2"/>
  <c r="BL43" i="2"/>
  <c r="BR43" i="2"/>
  <c r="BL10" i="2"/>
  <c r="BQ24" i="2"/>
  <c r="BR24" i="2"/>
  <c r="BU43" i="2"/>
  <c r="BN10" i="2"/>
  <c r="BS24" i="2"/>
  <c r="BQ10" i="2"/>
  <c r="BJ24" i="2"/>
  <c r="BM43" i="2"/>
  <c r="BU10" i="2"/>
  <c r="BL24" i="2"/>
  <c r="BO43" i="2"/>
  <c r="BM24" i="2"/>
  <c r="BP43" i="2"/>
  <c r="BP24" i="2"/>
  <c r="BW5" i="2"/>
  <c r="BR10" i="2"/>
  <c r="BK24" i="2"/>
  <c r="BN43" i="2"/>
  <c r="BJ10" i="2"/>
  <c r="BI10" i="2"/>
  <c r="BN24" i="2"/>
  <c r="BQ43" i="2"/>
  <c r="BK10" i="2"/>
  <c r="BS43" i="2"/>
  <c r="BT43" i="2"/>
  <c r="BM10" i="2"/>
  <c r="BI43" i="2"/>
  <c r="BT10" i="2"/>
  <c r="R96" i="4" l="1"/>
  <c r="S96" i="4"/>
  <c r="R83" i="4"/>
  <c r="S83" i="4"/>
  <c r="R72" i="4"/>
  <c r="S72" i="4"/>
  <c r="R62" i="4"/>
  <c r="S62" i="4"/>
  <c r="R74" i="4"/>
  <c r="S74" i="4"/>
  <c r="R64" i="4"/>
  <c r="S64" i="4"/>
  <c r="R68" i="4"/>
  <c r="S68" i="4"/>
  <c r="R58" i="4"/>
  <c r="S58" i="4"/>
  <c r="R60" i="4"/>
  <c r="S60" i="4"/>
  <c r="R82" i="4"/>
  <c r="S82" i="4"/>
  <c r="R63" i="4"/>
  <c r="S63" i="4"/>
  <c r="R84" i="4"/>
  <c r="S84" i="4"/>
  <c r="R71" i="4"/>
  <c r="S71" i="4"/>
  <c r="R95" i="4"/>
  <c r="S95" i="4"/>
  <c r="R59" i="4"/>
  <c r="S59" i="4"/>
  <c r="R87" i="4"/>
  <c r="S87" i="4"/>
  <c r="R78" i="4"/>
  <c r="S78" i="4"/>
  <c r="R94" i="4"/>
  <c r="S94" i="4"/>
  <c r="S76" i="4"/>
  <c r="R76" i="4"/>
  <c r="R86" i="4"/>
  <c r="S86" i="4"/>
  <c r="R91" i="4"/>
  <c r="S91" i="4"/>
  <c r="R79" i="4"/>
  <c r="S79" i="4"/>
  <c r="R90" i="4"/>
  <c r="S90" i="4"/>
  <c r="S92" i="4"/>
  <c r="R92" i="4"/>
  <c r="R66" i="4"/>
  <c r="S66" i="4"/>
  <c r="R70" i="4"/>
  <c r="S70" i="4"/>
  <c r="R75" i="4"/>
  <c r="S75" i="4"/>
  <c r="S67" i="4"/>
  <c r="R67" i="4"/>
  <c r="R88" i="4"/>
  <c r="S88" i="4"/>
  <c r="R80" i="4"/>
  <c r="S80" i="4"/>
  <c r="R56" i="4"/>
  <c r="S56" i="4"/>
  <c r="R54" i="4"/>
  <c r="S54" i="4"/>
  <c r="O91" i="4"/>
  <c r="P91" i="4"/>
  <c r="O95" i="4"/>
  <c r="P95" i="4"/>
  <c r="O63" i="4"/>
  <c r="P63" i="4"/>
  <c r="P92" i="4"/>
  <c r="O92" i="4"/>
  <c r="P66" i="4"/>
  <c r="O66" i="4"/>
  <c r="O67" i="4"/>
  <c r="P67" i="4"/>
  <c r="O80" i="4"/>
  <c r="P80" i="4"/>
  <c r="O78" i="4"/>
  <c r="P78" i="4"/>
  <c r="O96" i="4"/>
  <c r="P96" i="4"/>
  <c r="P82" i="4"/>
  <c r="O82" i="4"/>
  <c r="O64" i="4"/>
  <c r="P64" i="4"/>
  <c r="O68" i="4"/>
  <c r="P68" i="4"/>
  <c r="O58" i="4"/>
  <c r="P58" i="4"/>
  <c r="O70" i="4"/>
  <c r="P70" i="4"/>
  <c r="O75" i="4"/>
  <c r="P75" i="4"/>
  <c r="O88" i="4"/>
  <c r="P88" i="4"/>
  <c r="O94" i="4"/>
  <c r="P94" i="4"/>
  <c r="O76" i="4"/>
  <c r="P76" i="4"/>
  <c r="P71" i="4"/>
  <c r="O71" i="4"/>
  <c r="P72" i="4"/>
  <c r="O72" i="4"/>
  <c r="O79" i="4"/>
  <c r="P79" i="4"/>
  <c r="O90" i="4"/>
  <c r="P90" i="4"/>
  <c r="O59" i="4"/>
  <c r="P59" i="4"/>
  <c r="O84" i="4"/>
  <c r="P84" i="4"/>
  <c r="O87" i="4"/>
  <c r="P87" i="4"/>
  <c r="O60" i="4"/>
  <c r="P60" i="4"/>
  <c r="O83" i="4"/>
  <c r="P83" i="4"/>
  <c r="O62" i="4"/>
  <c r="P62" i="4"/>
  <c r="O74" i="4"/>
  <c r="P74" i="4"/>
  <c r="O86" i="4"/>
  <c r="P86" i="4"/>
  <c r="O56" i="4"/>
  <c r="P56" i="4"/>
  <c r="O54" i="4"/>
  <c r="P54" i="4"/>
  <c r="O14" i="5"/>
  <c r="C18" i="5" a="1"/>
  <c r="C18" i="5" s="1"/>
  <c r="G17" i="5" a="1"/>
  <c r="G17" i="5" s="1"/>
  <c r="E17" i="5" a="1"/>
  <c r="E17" i="5" s="1"/>
  <c r="H17" i="5"/>
  <c r="J17" i="5" a="1"/>
  <c r="J17" i="5" s="1"/>
  <c r="T14" i="5"/>
  <c r="F16" i="5"/>
  <c r="L16" i="5" a="1"/>
  <c r="L16" i="5" s="1"/>
  <c r="D16" i="5"/>
  <c r="I16" i="5" s="1" a="1"/>
  <c r="I16" i="5" s="1"/>
  <c r="K16" i="5" s="1" a="1"/>
  <c r="K16" i="5" s="1"/>
  <c r="N15" i="5" a="1"/>
  <c r="N15" i="5" s="1"/>
  <c r="M15" i="5" a="1"/>
  <c r="M15" i="5" s="1"/>
  <c r="CF10" i="2"/>
  <c r="CD10" i="2"/>
  <c r="BX43" i="2"/>
  <c r="BW10" i="2"/>
  <c r="CC24" i="2"/>
  <c r="CG43" i="2"/>
  <c r="BZ10" i="2"/>
  <c r="CE10" i="2"/>
  <c r="BY43" i="2"/>
  <c r="CF43" i="2"/>
  <c r="BY10" i="2"/>
  <c r="CB10" i="2"/>
  <c r="CI10" i="2"/>
  <c r="BW24" i="2"/>
  <c r="BZ43" i="2"/>
  <c r="CI43" i="2"/>
  <c r="CH24" i="2"/>
  <c r="BW43" i="2"/>
  <c r="CA24" i="2"/>
  <c r="CA43" i="2"/>
  <c r="CB24" i="2"/>
  <c r="CE43" i="2"/>
  <c r="CE24" i="2"/>
  <c r="CF24" i="2"/>
  <c r="CA10" i="2"/>
  <c r="CG24" i="2"/>
  <c r="CC10" i="2"/>
  <c r="BX10" i="2"/>
  <c r="CD24" i="2"/>
  <c r="CH43" i="2"/>
  <c r="CI24" i="2"/>
  <c r="BY24" i="2"/>
  <c r="BX24" i="2"/>
  <c r="CG10" i="2"/>
  <c r="CB43" i="2"/>
  <c r="CC43" i="2"/>
  <c r="CD43" i="2"/>
  <c r="BZ24" i="2"/>
  <c r="CH10" i="2"/>
  <c r="P14" i="5"/>
  <c r="R14" i="5"/>
  <c r="S14" i="5" l="1"/>
  <c r="V15" i="5"/>
  <c r="Q15" i="5"/>
  <c r="T15" i="5"/>
  <c r="O15" i="5"/>
  <c r="M16" i="5" a="1"/>
  <c r="M16" i="5" s="1"/>
  <c r="T16" i="5" s="1"/>
  <c r="N16" i="5" a="1"/>
  <c r="N16" i="5" s="1"/>
  <c r="F17" i="5"/>
  <c r="L17" i="5" a="1"/>
  <c r="L17" i="5" s="1"/>
  <c r="D17" i="5"/>
  <c r="I17" i="5" s="1" a="1"/>
  <c r="I17" i="5" s="1"/>
  <c r="K17" i="5" s="1" a="1"/>
  <c r="K17" i="5" s="1"/>
  <c r="V16" i="5"/>
  <c r="C19" i="5" a="1"/>
  <c r="C19" i="5" s="1"/>
  <c r="H18" i="5"/>
  <c r="E18" i="5" a="1"/>
  <c r="E18" i="5" s="1"/>
  <c r="G18" i="5" a="1"/>
  <c r="G18" i="5" s="1"/>
  <c r="J18" i="5" a="1"/>
  <c r="J18" i="5" s="1"/>
  <c r="R15" i="5"/>
  <c r="P15" i="5"/>
  <c r="S15" i="5" l="1"/>
  <c r="L18" i="5" a="1"/>
  <c r="L18" i="5" s="1"/>
  <c r="K18" i="5" a="1"/>
  <c r="K18" i="5" s="1"/>
  <c r="D18" i="5"/>
  <c r="I18" i="5" s="1" a="1"/>
  <c r="I18" i="5" s="1"/>
  <c r="F18" i="5"/>
  <c r="U17" i="5"/>
  <c r="S17" i="5"/>
  <c r="Q17" i="5"/>
  <c r="V17" i="5"/>
  <c r="W17" i="5"/>
  <c r="R17" i="5"/>
  <c r="T17" i="5"/>
  <c r="P17" i="5"/>
  <c r="O17" i="5"/>
  <c r="X17" i="5"/>
  <c r="N17" i="5" a="1"/>
  <c r="N17" i="5" s="1"/>
  <c r="M17" i="5" a="1"/>
  <c r="M17" i="5" s="1"/>
  <c r="AA18" i="5"/>
  <c r="AB18" i="5"/>
  <c r="Z18" i="5"/>
  <c r="AC18" i="5"/>
  <c r="AD18" i="5"/>
  <c r="Y18" i="5"/>
  <c r="O16" i="5"/>
  <c r="C20" i="5" a="1"/>
  <c r="C20" i="5" s="1"/>
  <c r="G19" i="5" a="1"/>
  <c r="G19" i="5" s="1"/>
  <c r="H19" i="5"/>
  <c r="E19" i="5" a="1"/>
  <c r="E19" i="5" s="1"/>
  <c r="J19" i="5" a="1"/>
  <c r="J19" i="5" s="1"/>
  <c r="Q16" i="5"/>
  <c r="R16" i="5"/>
  <c r="P16" i="5"/>
  <c r="S16" i="5" l="1"/>
  <c r="X18" i="5"/>
  <c r="N18" i="5" a="1"/>
  <c r="N18" i="5" s="1"/>
  <c r="M18" i="5" a="1"/>
  <c r="M18" i="5" s="1"/>
  <c r="S18" i="5"/>
  <c r="U18" i="5"/>
  <c r="V18" i="5"/>
  <c r="P18" i="5"/>
  <c r="Q18" i="5"/>
  <c r="O18" i="5"/>
  <c r="T18" i="5"/>
  <c r="R18" i="5"/>
  <c r="W18" i="5"/>
  <c r="K19" i="5" a="1"/>
  <c r="K19" i="5" s="1"/>
  <c r="D19" i="5"/>
  <c r="I19" i="5" s="1" a="1"/>
  <c r="I19" i="5" s="1"/>
  <c r="L19" i="5" a="1"/>
  <c r="L19" i="5" s="1"/>
  <c r="F19" i="5"/>
  <c r="AB19" i="5"/>
  <c r="AD19" i="5"/>
  <c r="AC19" i="5"/>
  <c r="Z19" i="5"/>
  <c r="AA19" i="5"/>
  <c r="C21" i="5" a="1"/>
  <c r="C21" i="5" s="1"/>
  <c r="H20" i="5"/>
  <c r="G20" i="5" a="1"/>
  <c r="G20" i="5" s="1"/>
  <c r="E20" i="5" a="1"/>
  <c r="E20" i="5" s="1"/>
  <c r="J20" i="5" a="1"/>
  <c r="J20" i="5" s="1"/>
  <c r="U14" i="5"/>
  <c r="W14" i="5" s="1"/>
  <c r="U15" i="5"/>
  <c r="W15" i="5" s="1"/>
  <c r="U16" i="5"/>
  <c r="W16" i="5" s="1"/>
  <c r="X16" i="5" l="1"/>
  <c r="X15" i="5"/>
  <c r="X14" i="5"/>
  <c r="C22" i="5" a="1"/>
  <c r="C22" i="5" s="1"/>
  <c r="E21" i="5" a="1"/>
  <c r="E21" i="5" s="1"/>
  <c r="H21" i="5"/>
  <c r="G21" i="5" a="1"/>
  <c r="G21" i="5" s="1"/>
  <c r="J21" i="5" a="1"/>
  <c r="J21" i="5" s="1"/>
  <c r="U19" i="5"/>
  <c r="X19" i="5"/>
  <c r="N19" i="5" a="1"/>
  <c r="N19" i="5" s="1"/>
  <c r="W19" i="5"/>
  <c r="O19" i="5"/>
  <c r="P19" i="5"/>
  <c r="M19" i="5" a="1"/>
  <c r="M19" i="5" s="1"/>
  <c r="Q19" i="5"/>
  <c r="S19" i="5"/>
  <c r="V19" i="5"/>
  <c r="R19" i="5"/>
  <c r="T19" i="5"/>
  <c r="F20" i="5"/>
  <c r="L20" i="5" a="1"/>
  <c r="L20" i="5" s="1"/>
  <c r="D20" i="5"/>
  <c r="I20" i="5" s="1" a="1"/>
  <c r="I20" i="5" s="1"/>
  <c r="K20" i="5" s="1" a="1"/>
  <c r="K20" i="5" s="1"/>
  <c r="F35" i="4" l="1" a="1"/>
  <c r="F35" i="4" s="1"/>
  <c r="E35" i="4" s="1" a="1"/>
  <c r="E35" i="4" s="1"/>
  <c r="AI16" i="5" s="1"/>
  <c r="F41" i="4" a="1"/>
  <c r="F41" i="4" s="1"/>
  <c r="F36" i="4" a="1"/>
  <c r="F36" i="4" s="1"/>
  <c r="F37" i="4" a="1"/>
  <c r="F37" i="4" s="1"/>
  <c r="C23" i="5" a="1"/>
  <c r="C23" i="5" s="1"/>
  <c r="H22" i="5"/>
  <c r="G22" i="5" a="1"/>
  <c r="G22" i="5" s="1"/>
  <c r="E22" i="5" a="1"/>
  <c r="E22" i="5" s="1"/>
  <c r="J22" i="5" a="1"/>
  <c r="J22" i="5" s="1"/>
  <c r="M20" i="5" a="1"/>
  <c r="M20" i="5" s="1"/>
  <c r="V20" i="5"/>
  <c r="Y19" i="5"/>
  <c r="Z17" i="5"/>
  <c r="Y17" i="5"/>
  <c r="AA17" i="5"/>
  <c r="F21" i="5"/>
  <c r="L21" i="5" a="1"/>
  <c r="L21" i="5" s="1"/>
  <c r="D21" i="5"/>
  <c r="I21" i="5" s="1" a="1"/>
  <c r="I21" i="5" s="1"/>
  <c r="K21" i="5" s="1" a="1"/>
  <c r="K21" i="5" s="1"/>
  <c r="AJ18" i="5" l="1"/>
  <c r="E37" i="4" a="1"/>
  <c r="E37" i="4" s="1"/>
  <c r="AI18" i="5" s="1"/>
  <c r="AJ17" i="5"/>
  <c r="E36" i="4" a="1"/>
  <c r="E36" i="4" s="1"/>
  <c r="AI17" i="5" s="1"/>
  <c r="AJ16" i="5"/>
  <c r="F40" i="4"/>
  <c r="E40" i="4" s="1"/>
  <c r="AJ22" i="5"/>
  <c r="AB17" i="5"/>
  <c r="F22" i="5"/>
  <c r="L22" i="5" a="1"/>
  <c r="L22" i="5" s="1"/>
  <c r="D22" i="5"/>
  <c r="I22" i="5" s="1" a="1"/>
  <c r="I22" i="5" s="1"/>
  <c r="K22" i="5" s="1" a="1"/>
  <c r="K22" i="5" s="1"/>
  <c r="M21" i="5" a="1"/>
  <c r="M21" i="5" s="1"/>
  <c r="AC17" i="5"/>
  <c r="AD17" i="5"/>
  <c r="C24" i="5" a="1"/>
  <c r="C24" i="5" s="1"/>
  <c r="H23" i="5"/>
  <c r="G23" i="5" a="1"/>
  <c r="G23" i="5" s="1"/>
  <c r="F23" i="5" s="1"/>
  <c r="E23" i="5" a="1"/>
  <c r="E23" i="5" s="1"/>
  <c r="J23" i="5" a="1"/>
  <c r="J23" i="5" s="1"/>
  <c r="AJ21" i="5" l="1"/>
  <c r="AI21" i="5"/>
  <c r="C25" i="5" a="1"/>
  <c r="C25" i="5" s="1"/>
  <c r="G24" i="5" a="1"/>
  <c r="G24" i="5" s="1"/>
  <c r="E24" i="5" a="1"/>
  <c r="E24" i="5" s="1"/>
  <c r="H24" i="5"/>
  <c r="J24" i="5" a="1"/>
  <c r="J24" i="5" s="1"/>
  <c r="M22" i="5" a="1"/>
  <c r="M22" i="5" s="1"/>
  <c r="V21" i="5"/>
  <c r="M23" i="5" a="1"/>
  <c r="M23" i="5" s="1"/>
  <c r="K23" i="5" a="1"/>
  <c r="K23" i="5" s="1"/>
  <c r="L23" i="5" a="1"/>
  <c r="L23" i="5" s="1"/>
  <c r="D23" i="5"/>
  <c r="I23" i="5" s="1" a="1"/>
  <c r="I23" i="5" s="1"/>
  <c r="V22" i="5" l="1"/>
  <c r="V23" i="5"/>
  <c r="L24" i="5" a="1"/>
  <c r="L24" i="5" s="1"/>
  <c r="F24" i="5"/>
  <c r="D24" i="5"/>
  <c r="I24" i="5" s="1" a="1"/>
  <c r="I24" i="5" s="1"/>
  <c r="C26" i="5" a="1"/>
  <c r="C26" i="5" s="1"/>
  <c r="H25" i="5"/>
  <c r="E25" i="5" a="1"/>
  <c r="E25" i="5" s="1"/>
  <c r="G25" i="5" a="1"/>
  <c r="G25" i="5" s="1"/>
  <c r="J25" i="5" a="1"/>
  <c r="J25" i="5" s="1"/>
  <c r="K24" i="5" a="1"/>
  <c r="K24" i="5" s="1"/>
  <c r="C27" i="5" l="1" a="1"/>
  <c r="C27" i="5" s="1"/>
  <c r="E26" i="5" a="1"/>
  <c r="E26" i="5" s="1"/>
  <c r="H26" i="5"/>
  <c r="G26" i="5" a="1"/>
  <c r="G26" i="5" s="1"/>
  <c r="J26" i="5" a="1"/>
  <c r="J26" i="5" s="1"/>
  <c r="M24" i="5" a="1"/>
  <c r="M24" i="5" s="1"/>
  <c r="F25" i="5"/>
  <c r="L25" i="5" a="1"/>
  <c r="L25" i="5" s="1"/>
  <c r="D25" i="5"/>
  <c r="I25" i="5" s="1" a="1"/>
  <c r="I25" i="5" s="1"/>
  <c r="K25" i="5" s="1" a="1"/>
  <c r="K25" i="5" s="1"/>
  <c r="F26" i="5" l="1"/>
  <c r="L26" i="5" a="1"/>
  <c r="L26" i="5" s="1"/>
  <c r="D26" i="5"/>
  <c r="I26" i="5" s="1" a="1"/>
  <c r="I26" i="5" s="1"/>
  <c r="K26" i="5" s="1" a="1"/>
  <c r="K26" i="5" s="1"/>
  <c r="M25" i="5" a="1"/>
  <c r="M25" i="5" s="1"/>
  <c r="Q25" i="5" s="1"/>
  <c r="N25" i="5" a="1"/>
  <c r="N25" i="5" s="1"/>
  <c r="V24" i="5"/>
  <c r="C28" i="5" a="1"/>
  <c r="C28" i="5" s="1"/>
  <c r="G27" i="5" a="1"/>
  <c r="G27" i="5" s="1"/>
  <c r="E27" i="5" a="1"/>
  <c r="E27" i="5" s="1"/>
  <c r="H27" i="5"/>
  <c r="J27" i="5" a="1"/>
  <c r="J27" i="5" s="1"/>
  <c r="N26" i="5" l="1" a="1"/>
  <c r="N26" i="5" s="1"/>
  <c r="M26" i="5" a="1"/>
  <c r="M26" i="5" s="1"/>
  <c r="O26" i="5" s="1"/>
  <c r="V26" i="5"/>
  <c r="T25" i="5"/>
  <c r="O25" i="5"/>
  <c r="C29" i="5" a="1"/>
  <c r="C29" i="5" s="1"/>
  <c r="E28" i="5" a="1"/>
  <c r="E28" i="5" s="1"/>
  <c r="H28" i="5"/>
  <c r="G28" i="5" a="1"/>
  <c r="G28" i="5" s="1"/>
  <c r="J28" i="5" a="1"/>
  <c r="J28" i="5" s="1"/>
  <c r="N21" i="5" a="1"/>
  <c r="N21" i="5" s="1"/>
  <c r="N23" i="5" a="1"/>
  <c r="N23" i="5" s="1"/>
  <c r="N22" i="5" a="1"/>
  <c r="N22" i="5" s="1"/>
  <c r="N20" i="5" a="1"/>
  <c r="N20" i="5" s="1"/>
  <c r="N24" i="5" a="1"/>
  <c r="N24" i="5" s="1"/>
  <c r="F27" i="5"/>
  <c r="L27" i="5" a="1"/>
  <c r="L27" i="5" s="1"/>
  <c r="D27" i="5"/>
  <c r="I27" i="5" s="1" a="1"/>
  <c r="I27" i="5" s="1"/>
  <c r="K27" i="5" a="1"/>
  <c r="K27" i="5" s="1"/>
  <c r="V25" i="5"/>
  <c r="N27" i="5" l="1" a="1"/>
  <c r="N27" i="5" s="1"/>
  <c r="M27" i="5" a="1"/>
  <c r="M27" i="5" s="1"/>
  <c r="T27" i="5" s="1"/>
  <c r="Q27" i="5"/>
  <c r="V27" i="5"/>
  <c r="Q22" i="5"/>
  <c r="T22" i="5"/>
  <c r="O22" i="5"/>
  <c r="T26" i="5"/>
  <c r="O24" i="5"/>
  <c r="Q24" i="5"/>
  <c r="T24" i="5"/>
  <c r="Q23" i="5"/>
  <c r="O23" i="5"/>
  <c r="T23" i="5"/>
  <c r="Q26" i="5"/>
  <c r="T21" i="5"/>
  <c r="O21" i="5"/>
  <c r="Q21" i="5"/>
  <c r="F28" i="5"/>
  <c r="L28" i="5" a="1"/>
  <c r="L28" i="5" s="1"/>
  <c r="D28" i="5"/>
  <c r="I28" i="5" s="1" a="1"/>
  <c r="I28" i="5" s="1"/>
  <c r="K28" i="5" s="1" a="1"/>
  <c r="K28" i="5" s="1"/>
  <c r="C30" i="5" a="1"/>
  <c r="C30" i="5" s="1"/>
  <c r="E29" i="5" a="1"/>
  <c r="E29" i="5" s="1"/>
  <c r="G29" i="5" a="1"/>
  <c r="G29" i="5" s="1"/>
  <c r="H29" i="5"/>
  <c r="J29" i="5" a="1"/>
  <c r="J29" i="5" s="1"/>
  <c r="T20" i="5"/>
  <c r="O20" i="5"/>
  <c r="Q20" i="5"/>
  <c r="R21" i="5"/>
  <c r="R25" i="5"/>
  <c r="R26" i="5"/>
  <c r="R20" i="5"/>
  <c r="P24" i="5"/>
  <c r="P23" i="5"/>
  <c r="P20" i="5"/>
  <c r="R24" i="5"/>
  <c r="R27" i="5"/>
  <c r="R22" i="5"/>
  <c r="P21" i="5"/>
  <c r="R23" i="5"/>
  <c r="P22" i="5"/>
  <c r="P26" i="5"/>
  <c r="P25" i="5"/>
  <c r="S25" i="5" l="1"/>
  <c r="S26" i="5"/>
  <c r="S22" i="5"/>
  <c r="S21" i="5"/>
  <c r="S20" i="5"/>
  <c r="S23" i="5"/>
  <c r="S24" i="5"/>
  <c r="F29" i="5"/>
  <c r="L29" i="5" a="1"/>
  <c r="L29" i="5" s="1"/>
  <c r="D29" i="5"/>
  <c r="I29" i="5" s="1" a="1"/>
  <c r="I29" i="5" s="1"/>
  <c r="K29" i="5" s="1" a="1"/>
  <c r="K29" i="5" s="1"/>
  <c r="C31" i="5" a="1"/>
  <c r="C31" i="5" s="1"/>
  <c r="H30" i="5"/>
  <c r="G30" i="5" a="1"/>
  <c r="G30" i="5" s="1"/>
  <c r="E30" i="5" a="1"/>
  <c r="E30" i="5" s="1"/>
  <c r="J30" i="5" a="1"/>
  <c r="J30" i="5" s="1"/>
  <c r="O27" i="5"/>
  <c r="N28" i="5" a="1"/>
  <c r="N28" i="5" s="1"/>
  <c r="M28" i="5" a="1"/>
  <c r="M28" i="5" s="1"/>
  <c r="V28" i="5" s="1"/>
  <c r="T28" i="5"/>
  <c r="P27" i="5"/>
  <c r="S27" i="5" l="1"/>
  <c r="AA30" i="5"/>
  <c r="AD30" i="5"/>
  <c r="Z30" i="5"/>
  <c r="AC30" i="5"/>
  <c r="Y30" i="5"/>
  <c r="AB30" i="5"/>
  <c r="O28" i="5"/>
  <c r="C32" i="5" a="1"/>
  <c r="C32" i="5" s="1"/>
  <c r="H31" i="5"/>
  <c r="G31" i="5" a="1"/>
  <c r="G31" i="5" s="1"/>
  <c r="E31" i="5" a="1"/>
  <c r="E31" i="5" s="1"/>
  <c r="J31" i="5" a="1"/>
  <c r="J31" i="5" s="1"/>
  <c r="Q28" i="5"/>
  <c r="Q29" i="5"/>
  <c r="X29" i="5"/>
  <c r="S29" i="5"/>
  <c r="W29" i="5"/>
  <c r="U29" i="5"/>
  <c r="R29" i="5"/>
  <c r="P29" i="5"/>
  <c r="O29" i="5"/>
  <c r="T29" i="5"/>
  <c r="M29" i="5" a="1"/>
  <c r="M29" i="5" s="1"/>
  <c r="V29" i="5"/>
  <c r="N29" i="5" a="1"/>
  <c r="N29" i="5" s="1"/>
  <c r="F30" i="5"/>
  <c r="K30" i="5" a="1"/>
  <c r="K30" i="5" s="1"/>
  <c r="D30" i="5"/>
  <c r="I30" i="5" s="1" a="1"/>
  <c r="I30" i="5" s="1"/>
  <c r="L30" i="5" a="1"/>
  <c r="L30" i="5" s="1"/>
  <c r="R28" i="5"/>
  <c r="P28" i="5"/>
  <c r="S28" i="5" l="1"/>
  <c r="L31" i="5" a="1"/>
  <c r="L31" i="5" s="1"/>
  <c r="D31" i="5"/>
  <c r="I31" i="5" s="1" a="1"/>
  <c r="I31" i="5" s="1"/>
  <c r="K31" i="5" a="1"/>
  <c r="K31" i="5" s="1"/>
  <c r="F31" i="5"/>
  <c r="C33" i="5" a="1"/>
  <c r="C33" i="5" s="1"/>
  <c r="E32" i="5" a="1"/>
  <c r="E32" i="5" s="1"/>
  <c r="G32" i="5" a="1"/>
  <c r="G32" i="5" s="1"/>
  <c r="H32" i="5"/>
  <c r="J32" i="5" a="1"/>
  <c r="J32" i="5" s="1"/>
  <c r="X30" i="5"/>
  <c r="Q30" i="5"/>
  <c r="N30" i="5" a="1"/>
  <c r="N30" i="5" s="1"/>
  <c r="V30" i="5"/>
  <c r="U30" i="5"/>
  <c r="R30" i="5"/>
  <c r="P30" i="5"/>
  <c r="S30" i="5"/>
  <c r="O30" i="5"/>
  <c r="T30" i="5"/>
  <c r="W30" i="5"/>
  <c r="M30" i="5" a="1"/>
  <c r="M30" i="5" s="1"/>
  <c r="AB31" i="5"/>
  <c r="AA31" i="5"/>
  <c r="AC31" i="5"/>
  <c r="Z31" i="5"/>
  <c r="AD31" i="5"/>
  <c r="U27" i="5"/>
  <c r="U25" i="5"/>
  <c r="U26" i="5"/>
  <c r="U22" i="5"/>
  <c r="U24" i="5"/>
  <c r="U21" i="5"/>
  <c r="U23" i="5"/>
  <c r="U20" i="5"/>
  <c r="U28" i="5"/>
  <c r="W28" i="5" s="1"/>
  <c r="W23" i="5"/>
  <c r="W21" i="5"/>
  <c r="W24" i="5"/>
  <c r="W22" i="5"/>
  <c r="W26" i="5"/>
  <c r="W25" i="5"/>
  <c r="W27" i="5"/>
  <c r="W20" i="5"/>
  <c r="X20" i="5" l="1"/>
  <c r="X27" i="5"/>
  <c r="X25" i="5"/>
  <c r="X26" i="5"/>
  <c r="X22" i="5"/>
  <c r="X24" i="5"/>
  <c r="X21" i="5"/>
  <c r="X23" i="5"/>
  <c r="X28" i="5"/>
  <c r="C34" i="5" a="1"/>
  <c r="C34" i="5" s="1"/>
  <c r="H33" i="5"/>
  <c r="E33" i="5" a="1"/>
  <c r="E33" i="5" s="1"/>
  <c r="G33" i="5" a="1"/>
  <c r="G33" i="5" s="1"/>
  <c r="J33" i="5" a="1"/>
  <c r="J33" i="5" s="1"/>
  <c r="N31" i="5" a="1"/>
  <c r="N31" i="5" s="1"/>
  <c r="Q31" i="5"/>
  <c r="T31" i="5"/>
  <c r="M31" i="5" a="1"/>
  <c r="M31" i="5" s="1"/>
  <c r="W31" i="5"/>
  <c r="U31" i="5"/>
  <c r="O31" i="5"/>
  <c r="R31" i="5"/>
  <c r="P31" i="5"/>
  <c r="X31" i="5"/>
  <c r="V31" i="5"/>
  <c r="S31" i="5"/>
  <c r="F32" i="5"/>
  <c r="D32" i="5"/>
  <c r="I32" i="5" s="1" a="1"/>
  <c r="I32" i="5" s="1"/>
  <c r="L32" i="5" a="1"/>
  <c r="L32" i="5" s="1"/>
  <c r="K32" i="5" a="1"/>
  <c r="K32" i="5" s="1"/>
  <c r="J41" i="4" l="1" a="1"/>
  <c r="J41" i="4" s="1"/>
  <c r="J35" i="4" a="1"/>
  <c r="J35" i="4" s="1"/>
  <c r="I35" i="4" s="1" a="1"/>
  <c r="I35" i="4" s="1"/>
  <c r="AI29" i="5" s="1"/>
  <c r="J36" i="4" a="1"/>
  <c r="J36" i="4" s="1"/>
  <c r="I36" i="4" s="1" a="1"/>
  <c r="I36" i="4" s="1"/>
  <c r="J38" i="4" a="1"/>
  <c r="J38" i="4" s="1"/>
  <c r="I38" i="4" s="1" a="1"/>
  <c r="I38" i="4" s="1"/>
  <c r="J39" i="4" a="1"/>
  <c r="J39" i="4" s="1"/>
  <c r="I39" i="4" s="1" a="1"/>
  <c r="I39" i="4" s="1"/>
  <c r="J37" i="4" a="1"/>
  <c r="J37" i="4" s="1"/>
  <c r="I37" i="4" s="1" a="1"/>
  <c r="I37" i="4" s="1"/>
  <c r="F33" i="5"/>
  <c r="L33" i="5" a="1"/>
  <c r="L33" i="5" s="1"/>
  <c r="D33" i="5"/>
  <c r="I33" i="5" s="1" a="1"/>
  <c r="I33" i="5" s="1"/>
  <c r="M32" i="5" a="1"/>
  <c r="M32" i="5" s="1"/>
  <c r="V32" i="5"/>
  <c r="K33" i="5" a="1"/>
  <c r="K33" i="5" s="1"/>
  <c r="C35" i="5" a="1"/>
  <c r="C35" i="5" s="1"/>
  <c r="H34" i="5"/>
  <c r="G34" i="5" a="1"/>
  <c r="G34" i="5" s="1"/>
  <c r="E34" i="5" a="1"/>
  <c r="E34" i="5" s="1"/>
  <c r="J34" i="5" a="1"/>
  <c r="J34" i="5" s="1"/>
  <c r="AA29" i="5"/>
  <c r="Z29" i="5"/>
  <c r="Y29" i="5"/>
  <c r="Y31" i="5"/>
  <c r="AJ35" i="5" l="1"/>
  <c r="AJ29" i="5"/>
  <c r="AI31" i="5"/>
  <c r="AJ31" i="5"/>
  <c r="AJ33" i="5"/>
  <c r="AI30" i="5"/>
  <c r="AJ30" i="5"/>
  <c r="J40" i="4"/>
  <c r="I40" i="4" s="1"/>
  <c r="AI34" i="5" s="1"/>
  <c r="AJ32" i="5"/>
  <c r="AB29" i="5"/>
  <c r="C36" i="5" a="1"/>
  <c r="C36" i="5" s="1"/>
  <c r="H35" i="5"/>
  <c r="E35" i="5" a="1"/>
  <c r="E35" i="5" s="1"/>
  <c r="G35" i="5" a="1"/>
  <c r="G35" i="5" s="1"/>
  <c r="J35" i="5" a="1"/>
  <c r="J35" i="5" s="1"/>
  <c r="N32" i="5" a="1"/>
  <c r="N32" i="5" s="1"/>
  <c r="AC29" i="5"/>
  <c r="AD29" i="5"/>
  <c r="F34" i="5"/>
  <c r="L34" i="5" a="1"/>
  <c r="L34" i="5" s="1"/>
  <c r="D34" i="5"/>
  <c r="I34" i="5" s="1" a="1"/>
  <c r="I34" i="5" s="1"/>
  <c r="K34" i="5" s="1" a="1"/>
  <c r="K34" i="5" s="1"/>
  <c r="N33" i="5" a="1"/>
  <c r="N33" i="5" s="1"/>
  <c r="T33" i="5" s="1"/>
  <c r="M33" i="5" a="1"/>
  <c r="M33" i="5" s="1"/>
  <c r="V33" i="5"/>
  <c r="AJ34" i="5" l="1"/>
  <c r="O33" i="5"/>
  <c r="F35" i="5"/>
  <c r="L35" i="5" a="1"/>
  <c r="L35" i="5" s="1"/>
  <c r="D35" i="5"/>
  <c r="I35" i="5" s="1" a="1"/>
  <c r="I35" i="5" s="1"/>
  <c r="T32" i="5"/>
  <c r="O32" i="5"/>
  <c r="K35" i="5" a="1"/>
  <c r="K35" i="5" s="1"/>
  <c r="C37" i="5" a="1"/>
  <c r="C37" i="5" s="1"/>
  <c r="H36" i="5"/>
  <c r="G36" i="5" a="1"/>
  <c r="G36" i="5" s="1"/>
  <c r="E36" i="5" a="1"/>
  <c r="E36" i="5" s="1"/>
  <c r="J36" i="5" a="1"/>
  <c r="J36" i="5" s="1"/>
  <c r="Q33" i="5"/>
  <c r="N34" i="5" a="1"/>
  <c r="N34" i="5" s="1"/>
  <c r="M34" i="5" a="1"/>
  <c r="M34" i="5" s="1"/>
  <c r="T34" i="5" s="1"/>
  <c r="V34" i="5"/>
  <c r="Q32" i="5"/>
  <c r="C38" i="5" l="1" a="1"/>
  <c r="C38" i="5" s="1"/>
  <c r="E37" i="5" a="1"/>
  <c r="E37" i="5" s="1"/>
  <c r="H37" i="5"/>
  <c r="G37" i="5" a="1"/>
  <c r="G37" i="5" s="1"/>
  <c r="J37" i="5" a="1"/>
  <c r="J37" i="5" s="1"/>
  <c r="O34" i="5"/>
  <c r="Q34" i="5"/>
  <c r="M35" i="5" a="1"/>
  <c r="M35" i="5" s="1"/>
  <c r="O35" i="5" s="1"/>
  <c r="N35" i="5" a="1"/>
  <c r="N35" i="5" s="1"/>
  <c r="F36" i="5"/>
  <c r="L36" i="5" a="1"/>
  <c r="L36" i="5" s="1"/>
  <c r="D36" i="5"/>
  <c r="I36" i="5" s="1" a="1"/>
  <c r="I36" i="5" s="1"/>
  <c r="K36" i="5" s="1" a="1"/>
  <c r="K36" i="5" s="1"/>
  <c r="R34" i="5"/>
  <c r="R32" i="5"/>
  <c r="R33" i="5"/>
  <c r="P34" i="5"/>
  <c r="P35" i="5"/>
  <c r="P32" i="5"/>
  <c r="P33" i="5"/>
  <c r="S33" i="5" l="1"/>
  <c r="S32" i="5"/>
  <c r="S34" i="5"/>
  <c r="N36" i="5" a="1"/>
  <c r="N36" i="5" s="1"/>
  <c r="M36" i="5" a="1"/>
  <c r="M36" i="5" s="1"/>
  <c r="T36" i="5" s="1"/>
  <c r="F37" i="5"/>
  <c r="L37" i="5" a="1"/>
  <c r="L37" i="5" s="1"/>
  <c r="D37" i="5"/>
  <c r="I37" i="5" s="1" a="1"/>
  <c r="I37" i="5" s="1"/>
  <c r="K37" i="5" s="1" a="1"/>
  <c r="K37" i="5" s="1"/>
  <c r="V35" i="5"/>
  <c r="T35" i="5"/>
  <c r="C39" i="5" a="1"/>
  <c r="C39" i="5" s="1"/>
  <c r="G38" i="5" a="1"/>
  <c r="G38" i="5" s="1"/>
  <c r="H38" i="5"/>
  <c r="E38" i="5" a="1"/>
  <c r="E38" i="5" s="1"/>
  <c r="J38" i="5" a="1"/>
  <c r="J38" i="5" s="1"/>
  <c r="Q35" i="5"/>
  <c r="R35" i="5"/>
  <c r="S35" i="5" l="1"/>
  <c r="Q36" i="5"/>
  <c r="V36" i="5"/>
  <c r="D38" i="5"/>
  <c r="I38" i="5" s="1" a="1"/>
  <c r="I38" i="5" s="1"/>
  <c r="AD38" i="5"/>
  <c r="AB38" i="5"/>
  <c r="AA38" i="5"/>
  <c r="AC38" i="5"/>
  <c r="Z38" i="5"/>
  <c r="Y38" i="5"/>
  <c r="C40" i="5" a="1"/>
  <c r="C40" i="5" s="1"/>
  <c r="G39" i="5" a="1"/>
  <c r="G39" i="5" s="1"/>
  <c r="H39" i="5"/>
  <c r="E39" i="5" a="1"/>
  <c r="E39" i="5" s="1"/>
  <c r="J39" i="5" a="1"/>
  <c r="J39" i="5" s="1"/>
  <c r="O36" i="5"/>
  <c r="K38" i="5" a="1"/>
  <c r="K38" i="5" s="1"/>
  <c r="L38" i="5" a="1"/>
  <c r="L38" i="5" s="1"/>
  <c r="F38" i="5"/>
  <c r="V37" i="5"/>
  <c r="U37" i="5"/>
  <c r="M37" i="5" a="1"/>
  <c r="M37" i="5" s="1"/>
  <c r="T37" i="5"/>
  <c r="W37" i="5"/>
  <c r="R37" i="5"/>
  <c r="N37" i="5" a="1"/>
  <c r="N37" i="5" s="1"/>
  <c r="X37" i="5"/>
  <c r="Q37" i="5"/>
  <c r="P37" i="5"/>
  <c r="S37" i="5"/>
  <c r="O37" i="5"/>
  <c r="R36" i="5"/>
  <c r="P36" i="5"/>
  <c r="S36" i="5" l="1"/>
  <c r="C41" i="5" a="1"/>
  <c r="C41" i="5" s="1"/>
  <c r="E40" i="5" a="1"/>
  <c r="E40" i="5" s="1"/>
  <c r="G40" i="5" a="1"/>
  <c r="G40" i="5" s="1"/>
  <c r="F40" i="5" s="1"/>
  <c r="H40" i="5"/>
  <c r="J40" i="5" a="1"/>
  <c r="J40" i="5" s="1"/>
  <c r="O38" i="5"/>
  <c r="V38" i="5"/>
  <c r="N38" i="5" a="1"/>
  <c r="N38" i="5" s="1"/>
  <c r="M38" i="5" a="1"/>
  <c r="M38" i="5" s="1"/>
  <c r="U38" i="5"/>
  <c r="P38" i="5"/>
  <c r="R38" i="5"/>
  <c r="S38" i="5"/>
  <c r="W38" i="5"/>
  <c r="Q38" i="5"/>
  <c r="T38" i="5"/>
  <c r="X38" i="5"/>
  <c r="D39" i="5"/>
  <c r="I39" i="5" s="1" a="1"/>
  <c r="I39" i="5" s="1"/>
  <c r="F39" i="5"/>
  <c r="L39" i="5" a="1"/>
  <c r="L39" i="5" s="1"/>
  <c r="K39" i="5" a="1"/>
  <c r="K39" i="5" s="1"/>
  <c r="AC39" i="5"/>
  <c r="AD39" i="5"/>
  <c r="AB39" i="5"/>
  <c r="AA39" i="5"/>
  <c r="Z39" i="5"/>
  <c r="Y39" i="5"/>
  <c r="U35" i="5"/>
  <c r="U33" i="5"/>
  <c r="U32" i="5"/>
  <c r="U34" i="5"/>
  <c r="W34" i="5" s="1"/>
  <c r="U36" i="5"/>
  <c r="W36" i="5" s="1"/>
  <c r="W33" i="5"/>
  <c r="W35" i="5"/>
  <c r="W32" i="5"/>
  <c r="X32" i="5" l="1"/>
  <c r="X35" i="5"/>
  <c r="X33" i="5"/>
  <c r="X36" i="5"/>
  <c r="X34" i="5"/>
  <c r="AD40" i="5"/>
  <c r="AC40" i="5"/>
  <c r="Z40" i="5"/>
  <c r="AA40" i="5"/>
  <c r="AB40" i="5"/>
  <c r="Y40" i="5"/>
  <c r="O40" i="5"/>
  <c r="X40" i="5"/>
  <c r="U40" i="5"/>
  <c r="V40" i="5"/>
  <c r="T40" i="5"/>
  <c r="Q40" i="5"/>
  <c r="N40" i="5" a="1"/>
  <c r="N40" i="5" s="1"/>
  <c r="P40" i="5"/>
  <c r="M40" i="5" a="1"/>
  <c r="M40" i="5" s="1"/>
  <c r="S40" i="5"/>
  <c r="W40" i="5"/>
  <c r="R40" i="5"/>
  <c r="C42" i="5" a="1"/>
  <c r="C42" i="5" s="1"/>
  <c r="G41" i="5" a="1"/>
  <c r="G41" i="5" s="1"/>
  <c r="E41" i="5" a="1"/>
  <c r="E41" i="5" s="1"/>
  <c r="H41" i="5"/>
  <c r="J41" i="5" a="1"/>
  <c r="J41" i="5" s="1"/>
  <c r="M39" i="5" a="1"/>
  <c r="M39" i="5" s="1"/>
  <c r="P39" i="5"/>
  <c r="Q39" i="5"/>
  <c r="U39" i="5"/>
  <c r="N39" i="5" a="1"/>
  <c r="N39" i="5" s="1"/>
  <c r="W39" i="5"/>
  <c r="O39" i="5"/>
  <c r="V39" i="5"/>
  <c r="X39" i="5"/>
  <c r="S39" i="5"/>
  <c r="R39" i="5"/>
  <c r="T39" i="5"/>
  <c r="D40" i="5"/>
  <c r="I40" i="5" s="1" a="1"/>
  <c r="I40" i="5" s="1"/>
  <c r="L40" i="5" a="1"/>
  <c r="L40" i="5" s="1"/>
  <c r="K40" i="5" a="1"/>
  <c r="K40" i="5" s="1"/>
  <c r="N41" i="4" l="1" a="1"/>
  <c r="N41" i="4" s="1"/>
  <c r="E27" i="4" s="1"/>
  <c r="N39" i="4" a="1"/>
  <c r="N39" i="4" s="1"/>
  <c r="N36" i="4" a="1"/>
  <c r="N36" i="4" s="1"/>
  <c r="N37" i="4" a="1"/>
  <c r="N37" i="4" s="1"/>
  <c r="N38" i="4" a="1"/>
  <c r="N38" i="4" s="1"/>
  <c r="N35" i="4" a="1"/>
  <c r="N35" i="4" s="1"/>
  <c r="M35" i="4" s="1" a="1"/>
  <c r="M35" i="4" s="1"/>
  <c r="AI32" i="5"/>
  <c r="AI33" i="5"/>
  <c r="AJ19" i="5"/>
  <c r="AJ20" i="5"/>
  <c r="AA16" i="5"/>
  <c r="Y24" i="5"/>
  <c r="AA23" i="5"/>
  <c r="Y15" i="5"/>
  <c r="Y23" i="5"/>
  <c r="Z24" i="5"/>
  <c r="Y25" i="5"/>
  <c r="Y20" i="5"/>
  <c r="Y26" i="5"/>
  <c r="Z20" i="5"/>
  <c r="Y21" i="5"/>
  <c r="Y22" i="5"/>
  <c r="Z16" i="5"/>
  <c r="Z25" i="5"/>
  <c r="Z14" i="5"/>
  <c r="AA14" i="5"/>
  <c r="AA25" i="5"/>
  <c r="AA22" i="5"/>
  <c r="Y16" i="5"/>
  <c r="AA24" i="5"/>
  <c r="Z22" i="5"/>
  <c r="AA15" i="5"/>
  <c r="AA20" i="5"/>
  <c r="AA21" i="5"/>
  <c r="Z21" i="5"/>
  <c r="Z23" i="5"/>
  <c r="Z26" i="5"/>
  <c r="Y14" i="5"/>
  <c r="Z27" i="5"/>
  <c r="AA28" i="5"/>
  <c r="Y27" i="5"/>
  <c r="Z15" i="5"/>
  <c r="AA27" i="5"/>
  <c r="AA26" i="5"/>
  <c r="Z28" i="5"/>
  <c r="Y28" i="5"/>
  <c r="C43" i="5" a="1"/>
  <c r="C43" i="5" s="1"/>
  <c r="H42" i="5"/>
  <c r="E42" i="5" a="1"/>
  <c r="E42" i="5" s="1"/>
  <c r="G42" i="5" a="1"/>
  <c r="G42" i="5" s="1"/>
  <c r="J42" i="5" a="1"/>
  <c r="J42" i="5" s="1"/>
  <c r="L41" i="5" a="1"/>
  <c r="L41" i="5" s="1"/>
  <c r="D41" i="5"/>
  <c r="I41" i="5" s="1" a="1"/>
  <c r="I41" i="5" s="1"/>
  <c r="K41" i="5" a="1"/>
  <c r="K41" i="5" s="1"/>
  <c r="AB41" i="5"/>
  <c r="AC41" i="5"/>
  <c r="Y41" i="5"/>
  <c r="Z41" i="5"/>
  <c r="AD41" i="5"/>
  <c r="AA41" i="5"/>
  <c r="F41" i="5"/>
  <c r="AA35" i="5"/>
  <c r="Z35" i="5"/>
  <c r="AA32" i="5"/>
  <c r="Y32" i="5"/>
  <c r="Z34" i="5"/>
  <c r="Z33" i="5"/>
  <c r="Y33" i="5"/>
  <c r="Y36" i="5"/>
  <c r="AA34" i="5"/>
  <c r="AA33" i="5"/>
  <c r="AA36" i="5"/>
  <c r="Y35" i="5"/>
  <c r="Z32" i="5"/>
  <c r="Y34" i="5"/>
  <c r="Z36" i="5"/>
  <c r="AA37" i="5"/>
  <c r="Y37" i="5"/>
  <c r="Z37" i="5"/>
  <c r="AQ35" i="5" l="1"/>
  <c r="E25" i="4"/>
  <c r="E26" i="4" s="1"/>
  <c r="M37" i="4" a="1"/>
  <c r="M37" i="4" s="1"/>
  <c r="AP31" i="5" s="1"/>
  <c r="AQ31" i="5"/>
  <c r="M38" i="4" a="1"/>
  <c r="M38" i="4" s="1"/>
  <c r="AP32" i="5" s="1"/>
  <c r="AQ32" i="5"/>
  <c r="M36" i="4" a="1"/>
  <c r="M36" i="4" s="1"/>
  <c r="AP30" i="5" s="1"/>
  <c r="AQ30" i="5"/>
  <c r="M39" i="4" a="1"/>
  <c r="M39" i="4" s="1"/>
  <c r="AP33" i="5" s="1"/>
  <c r="AQ33" i="5"/>
  <c r="AQ29" i="5"/>
  <c r="AP29" i="5"/>
  <c r="N40" i="4"/>
  <c r="AB37" i="5"/>
  <c r="AB22" i="5"/>
  <c r="AB16" i="5"/>
  <c r="AB33" i="5"/>
  <c r="AB28" i="5"/>
  <c r="AB36" i="5"/>
  <c r="AB35" i="5"/>
  <c r="AD20" i="5"/>
  <c r="AC20" i="5"/>
  <c r="AB20" i="5"/>
  <c r="AC24" i="5"/>
  <c r="AD24" i="5"/>
  <c r="AC27" i="5"/>
  <c r="AD27" i="5"/>
  <c r="AC28" i="5"/>
  <c r="AD28" i="5"/>
  <c r="AD22" i="5"/>
  <c r="AC22" i="5"/>
  <c r="AB24" i="5"/>
  <c r="AB15" i="5"/>
  <c r="AD15" i="5"/>
  <c r="AC15" i="5"/>
  <c r="AD14" i="5"/>
  <c r="AC14" i="5"/>
  <c r="AD25" i="5"/>
  <c r="AC25" i="5"/>
  <c r="AB26" i="5"/>
  <c r="AB14" i="5"/>
  <c r="AC23" i="5"/>
  <c r="AD23" i="5"/>
  <c r="AC26" i="5"/>
  <c r="AD26" i="5"/>
  <c r="AB23" i="5"/>
  <c r="AB25" i="5"/>
  <c r="AC21" i="5"/>
  <c r="AD21" i="5"/>
  <c r="AB27" i="5"/>
  <c r="AB21" i="5"/>
  <c r="AD16" i="5"/>
  <c r="AC16" i="5"/>
  <c r="AD32" i="5"/>
  <c r="AC32" i="5"/>
  <c r="AB34" i="5"/>
  <c r="AB32" i="5"/>
  <c r="D42" i="5"/>
  <c r="I42" i="5" s="1" a="1"/>
  <c r="I42" i="5" s="1"/>
  <c r="K42" i="5" a="1"/>
  <c r="K42" i="5" s="1"/>
  <c r="L42" i="5" a="1"/>
  <c r="L42" i="5" s="1"/>
  <c r="F42" i="5"/>
  <c r="AD34" i="5"/>
  <c r="AC34" i="5"/>
  <c r="AC37" i="5"/>
  <c r="AD37" i="5"/>
  <c r="AD35" i="5"/>
  <c r="AC35" i="5"/>
  <c r="N41" i="5" a="1"/>
  <c r="N41" i="5" s="1"/>
  <c r="V41" i="5"/>
  <c r="M41" i="5" a="1"/>
  <c r="M41" i="5" s="1"/>
  <c r="X41" i="5"/>
  <c r="Q41" i="5"/>
  <c r="O41" i="5"/>
  <c r="S41" i="5"/>
  <c r="W41" i="5"/>
  <c r="P41" i="5"/>
  <c r="T41" i="5"/>
  <c r="U41" i="5"/>
  <c r="R41" i="5"/>
  <c r="AB42" i="5"/>
  <c r="Z42" i="5"/>
  <c r="AA42" i="5"/>
  <c r="AD42" i="5"/>
  <c r="AC42" i="5"/>
  <c r="Y42" i="5"/>
  <c r="AC36" i="5"/>
  <c r="AD36" i="5"/>
  <c r="AC33" i="5"/>
  <c r="AD33" i="5"/>
  <c r="C44" i="5" a="1"/>
  <c r="C44" i="5" s="1"/>
  <c r="E43" i="5" a="1"/>
  <c r="E43" i="5" s="1"/>
  <c r="H43" i="5"/>
  <c r="G43" i="5" a="1"/>
  <c r="G43" i="5" s="1"/>
  <c r="J43" i="5" a="1"/>
  <c r="J43" i="5" s="1"/>
  <c r="AQ34" i="5" l="1"/>
  <c r="M40" i="4"/>
  <c r="AP34" i="5" s="1"/>
  <c r="T42" i="5"/>
  <c r="P42" i="5"/>
  <c r="N42" i="5" a="1"/>
  <c r="N42" i="5" s="1"/>
  <c r="V42" i="5"/>
  <c r="S42" i="5"/>
  <c r="U42" i="5"/>
  <c r="R42" i="5"/>
  <c r="Q42" i="5"/>
  <c r="X42" i="5"/>
  <c r="O42" i="5"/>
  <c r="M42" i="5" a="1"/>
  <c r="M42" i="5" s="1"/>
  <c r="W42" i="5"/>
  <c r="Y43" i="5"/>
  <c r="Z43" i="5"/>
  <c r="AD43" i="5"/>
  <c r="AB43" i="5"/>
  <c r="AA43" i="5"/>
  <c r="AC43" i="5"/>
  <c r="L43" i="5" a="1"/>
  <c r="L43" i="5" s="1"/>
  <c r="K43" i="5" a="1"/>
  <c r="K43" i="5" s="1"/>
  <c r="F43" i="5"/>
  <c r="D43" i="5"/>
  <c r="I43" i="5" s="1" a="1"/>
  <c r="I43" i="5" s="1"/>
  <c r="C45" i="5" a="1"/>
  <c r="C45" i="5" s="1"/>
  <c r="G44" i="5" a="1"/>
  <c r="G44" i="5" s="1"/>
  <c r="E44" i="5" a="1"/>
  <c r="E44" i="5" s="1"/>
  <c r="H44" i="5"/>
  <c r="J44" i="5" a="1"/>
  <c r="J44" i="5" s="1"/>
  <c r="C46" i="5" l="1" a="1"/>
  <c r="C46" i="5" s="1"/>
  <c r="G45" i="5" a="1"/>
  <c r="G45" i="5" s="1"/>
  <c r="E45" i="5" a="1"/>
  <c r="E45" i="5" s="1"/>
  <c r="H45" i="5"/>
  <c r="J45" i="5" a="1"/>
  <c r="J45" i="5" s="1"/>
  <c r="AC44" i="5"/>
  <c r="Y44" i="5"/>
  <c r="Z44" i="5"/>
  <c r="AD44" i="5"/>
  <c r="AB44" i="5"/>
  <c r="AA44" i="5"/>
  <c r="R43" i="5"/>
  <c r="U43" i="5"/>
  <c r="O43" i="5"/>
  <c r="N43" i="5" a="1"/>
  <c r="N43" i="5" s="1"/>
  <c r="T43" i="5"/>
  <c r="X43" i="5"/>
  <c r="S43" i="5"/>
  <c r="Q43" i="5"/>
  <c r="P43" i="5"/>
  <c r="M43" i="5" a="1"/>
  <c r="M43" i="5" s="1"/>
  <c r="V43" i="5"/>
  <c r="W43" i="5"/>
  <c r="D44" i="5"/>
  <c r="I44" i="5" s="1" a="1"/>
  <c r="I44" i="5" s="1"/>
  <c r="L44" i="5" a="1"/>
  <c r="L44" i="5" s="1"/>
  <c r="K44" i="5" a="1"/>
  <c r="K44" i="5" s="1"/>
  <c r="F44" i="5"/>
  <c r="AA45" i="5" l="1"/>
  <c r="Z45" i="5"/>
  <c r="AC45" i="5"/>
  <c r="AB45" i="5"/>
  <c r="AD45" i="5"/>
  <c r="Y45" i="5"/>
  <c r="P44" i="5"/>
  <c r="U44" i="5"/>
  <c r="V44" i="5"/>
  <c r="O44" i="5"/>
  <c r="W44" i="5"/>
  <c r="Q44" i="5"/>
  <c r="N44" i="5" a="1"/>
  <c r="N44" i="5" s="1"/>
  <c r="T44" i="5"/>
  <c r="R44" i="5"/>
  <c r="S44" i="5"/>
  <c r="M44" i="5" a="1"/>
  <c r="M44" i="5" s="1"/>
  <c r="X44" i="5"/>
  <c r="L45" i="5" a="1"/>
  <c r="L45" i="5" s="1"/>
  <c r="D45" i="5"/>
  <c r="I45" i="5" s="1" a="1"/>
  <c r="I45" i="5" s="1"/>
  <c r="K45" i="5" a="1"/>
  <c r="K45" i="5" s="1"/>
  <c r="F45" i="5"/>
  <c r="C47" i="5" a="1"/>
  <c r="C47" i="5" s="1"/>
  <c r="H46" i="5"/>
  <c r="E46" i="5" a="1"/>
  <c r="E46" i="5" s="1"/>
  <c r="G46" i="5" a="1"/>
  <c r="G46" i="5" s="1"/>
  <c r="J46" i="5" a="1"/>
  <c r="J46" i="5" s="1"/>
  <c r="Y46" i="5" l="1"/>
  <c r="AD46" i="5"/>
  <c r="Z46" i="5"/>
  <c r="AC46" i="5"/>
  <c r="AA46" i="5"/>
  <c r="AB46" i="5"/>
  <c r="X45" i="5"/>
  <c r="V45" i="5"/>
  <c r="O45" i="5"/>
  <c r="N45" i="5" a="1"/>
  <c r="N45" i="5" s="1"/>
  <c r="R45" i="5"/>
  <c r="S45" i="5"/>
  <c r="Q45" i="5"/>
  <c r="T45" i="5"/>
  <c r="P45" i="5"/>
  <c r="M45" i="5" a="1"/>
  <c r="M45" i="5" s="1"/>
  <c r="W45" i="5"/>
  <c r="U45" i="5"/>
  <c r="C48" i="5" a="1"/>
  <c r="C48" i="5" s="1"/>
  <c r="G47" i="5" a="1"/>
  <c r="G47" i="5" s="1"/>
  <c r="H47" i="5"/>
  <c r="E47" i="5" a="1"/>
  <c r="E47" i="5" s="1"/>
  <c r="J47" i="5" a="1"/>
  <c r="J47" i="5" s="1"/>
  <c r="K46" i="5" a="1"/>
  <c r="K46" i="5" s="1"/>
  <c r="L46" i="5" a="1"/>
  <c r="L46" i="5" s="1"/>
  <c r="D46" i="5"/>
  <c r="I46" i="5" s="1" a="1"/>
  <c r="I46" i="5" s="1"/>
  <c r="F46" i="5"/>
  <c r="D47" i="5" l="1"/>
  <c r="I47" i="5" s="1" a="1"/>
  <c r="I47" i="5" s="1"/>
  <c r="L47" i="5" a="1"/>
  <c r="L47" i="5" s="1"/>
  <c r="F47" i="5"/>
  <c r="K47" i="5" a="1"/>
  <c r="K47" i="5" s="1"/>
  <c r="AB47" i="5"/>
  <c r="AC47" i="5"/>
  <c r="Z47" i="5"/>
  <c r="AD47" i="5"/>
  <c r="AA47" i="5"/>
  <c r="Y47" i="5"/>
  <c r="C49" i="5" a="1"/>
  <c r="C49" i="5" s="1"/>
  <c r="E48" i="5" a="1"/>
  <c r="E48" i="5" s="1"/>
  <c r="H48" i="5"/>
  <c r="G48" i="5" a="1"/>
  <c r="G48" i="5" s="1"/>
  <c r="J48" i="5" a="1"/>
  <c r="J48" i="5" s="1"/>
  <c r="S46" i="5"/>
  <c r="V46" i="5"/>
  <c r="O46" i="5"/>
  <c r="T46" i="5"/>
  <c r="P46" i="5"/>
  <c r="R46" i="5"/>
  <c r="Q46" i="5"/>
  <c r="M46" i="5" a="1"/>
  <c r="M46" i="5" s="1"/>
  <c r="W46" i="5"/>
  <c r="N46" i="5" a="1"/>
  <c r="N46" i="5" s="1"/>
  <c r="X46" i="5"/>
  <c r="U46" i="5"/>
  <c r="C50" i="5" l="1" a="1"/>
  <c r="C50" i="5" s="1"/>
  <c r="H49" i="5"/>
  <c r="G49" i="5" a="1"/>
  <c r="G49" i="5" s="1"/>
  <c r="E49" i="5" a="1"/>
  <c r="E49" i="5" s="1"/>
  <c r="J49" i="5" a="1"/>
  <c r="J49" i="5" s="1"/>
  <c r="K48" i="5" a="1"/>
  <c r="K48" i="5" s="1"/>
  <c r="L48" i="5" a="1"/>
  <c r="L48" i="5" s="1"/>
  <c r="F48" i="5"/>
  <c r="D48" i="5"/>
  <c r="I48" i="5" s="1" a="1"/>
  <c r="I48" i="5" s="1"/>
  <c r="N47" i="5" a="1"/>
  <c r="N47" i="5" s="1"/>
  <c r="X47" i="5"/>
  <c r="S47" i="5"/>
  <c r="W47" i="5"/>
  <c r="R47" i="5"/>
  <c r="U47" i="5"/>
  <c r="T47" i="5"/>
  <c r="O47" i="5"/>
  <c r="P47" i="5"/>
  <c r="V47" i="5"/>
  <c r="Q47" i="5"/>
  <c r="M47" i="5" a="1"/>
  <c r="M47" i="5" s="1"/>
  <c r="AA48" i="5"/>
  <c r="AB48" i="5"/>
  <c r="AC48" i="5"/>
  <c r="AD48" i="5"/>
  <c r="Y48" i="5"/>
  <c r="Z48" i="5"/>
  <c r="L49" i="5" l="1" a="1"/>
  <c r="L49" i="5" s="1"/>
  <c r="F49" i="5"/>
  <c r="D49" i="5"/>
  <c r="I49" i="5" s="1" a="1"/>
  <c r="I49" i="5" s="1"/>
  <c r="K49" i="5" a="1"/>
  <c r="K49" i="5" s="1"/>
  <c r="Y49" i="5"/>
  <c r="AD49" i="5"/>
  <c r="AA49" i="5"/>
  <c r="AB49" i="5"/>
  <c r="AC49" i="5"/>
  <c r="Z49" i="5"/>
  <c r="T48" i="5"/>
  <c r="U48" i="5"/>
  <c r="P48" i="5"/>
  <c r="V48" i="5"/>
  <c r="W48" i="5"/>
  <c r="N48" i="5" a="1"/>
  <c r="N48" i="5" s="1"/>
  <c r="M48" i="5" a="1"/>
  <c r="M48" i="5" s="1"/>
  <c r="Q48" i="5"/>
  <c r="S48" i="5"/>
  <c r="O48" i="5"/>
  <c r="X48" i="5"/>
  <c r="R48" i="5"/>
  <c r="C51" i="5" a="1"/>
  <c r="C51" i="5" s="1"/>
  <c r="E50" i="5" a="1"/>
  <c r="E50" i="5" s="1"/>
  <c r="H50" i="5"/>
  <c r="G50" i="5" a="1"/>
  <c r="G50" i="5" s="1"/>
  <c r="J50" i="5" a="1"/>
  <c r="J50" i="5" s="1"/>
  <c r="C52" i="5" l="1" a="1"/>
  <c r="C52" i="5" s="1"/>
  <c r="H51" i="5"/>
  <c r="G51" i="5" a="1"/>
  <c r="G51" i="5" s="1"/>
  <c r="J51" i="5" a="1"/>
  <c r="J51" i="5" s="1"/>
  <c r="L50" i="5" a="1"/>
  <c r="L50" i="5" s="1"/>
  <c r="K50" i="5" a="1"/>
  <c r="K50" i="5" s="1"/>
  <c r="F50" i="5"/>
  <c r="D50" i="5"/>
  <c r="I50" i="5" s="1" a="1"/>
  <c r="I50" i="5" s="1"/>
  <c r="W49" i="5"/>
  <c r="U49" i="5"/>
  <c r="N49" i="5" a="1"/>
  <c r="N49" i="5" s="1"/>
  <c r="M49" i="5" a="1"/>
  <c r="M49" i="5" s="1"/>
  <c r="R49" i="5"/>
  <c r="T49" i="5"/>
  <c r="X49" i="5"/>
  <c r="V49" i="5"/>
  <c r="P49" i="5"/>
  <c r="O49" i="5"/>
  <c r="S49" i="5"/>
  <c r="Q49" i="5"/>
  <c r="AC50" i="5"/>
  <c r="Z50" i="5"/>
  <c r="AA50" i="5"/>
  <c r="AD50" i="5"/>
  <c r="AB50" i="5"/>
  <c r="Y50" i="5"/>
  <c r="X50" i="5" l="1"/>
  <c r="O50" i="5"/>
  <c r="T50" i="5"/>
  <c r="W50" i="5"/>
  <c r="S50" i="5"/>
  <c r="N50" i="5" a="1"/>
  <c r="N50" i="5" s="1"/>
  <c r="P50" i="5"/>
  <c r="Q50" i="5"/>
  <c r="V50" i="5"/>
  <c r="U50" i="5"/>
  <c r="M50" i="5" a="1"/>
  <c r="M50" i="5" s="1"/>
  <c r="R50" i="5"/>
  <c r="D51" i="5"/>
  <c r="I51" i="5" s="1" a="1"/>
  <c r="I51" i="5" s="1"/>
  <c r="L51" i="5" a="1"/>
  <c r="L51" i="5" s="1"/>
  <c r="K51" i="5" a="1"/>
  <c r="K51" i="5" s="1"/>
  <c r="F51" i="5"/>
  <c r="Z51" i="5"/>
  <c r="AD51" i="5"/>
  <c r="AB51" i="5"/>
  <c r="AC51" i="5"/>
  <c r="AA51" i="5"/>
  <c r="Y51" i="5"/>
  <c r="C53" i="5" a="1"/>
  <c r="C53" i="5" s="1"/>
  <c r="G52" i="5" a="1"/>
  <c r="G52" i="5" s="1"/>
  <c r="E52" i="5" a="1"/>
  <c r="E52" i="5" s="1"/>
  <c r="H52" i="5"/>
  <c r="J52" i="5" a="1"/>
  <c r="J52" i="5" s="1"/>
  <c r="C54" i="5" l="1" a="1"/>
  <c r="C54" i="5" s="1"/>
  <c r="E53" i="5" a="1"/>
  <c r="E53" i="5" s="1"/>
  <c r="G53" i="5" a="1"/>
  <c r="G53" i="5" s="1"/>
  <c r="H53" i="5"/>
  <c r="J53" i="5" a="1"/>
  <c r="J53" i="5" s="1"/>
  <c r="R51" i="5"/>
  <c r="M51" i="5" a="1"/>
  <c r="M51" i="5" s="1"/>
  <c r="V51" i="5"/>
  <c r="X51" i="5"/>
  <c r="N51" i="5" a="1"/>
  <c r="N51" i="5" s="1"/>
  <c r="O51" i="5"/>
  <c r="W51" i="5"/>
  <c r="U51" i="5"/>
  <c r="P51" i="5"/>
  <c r="T51" i="5"/>
  <c r="Q51" i="5"/>
  <c r="S51" i="5"/>
  <c r="Y52" i="5"/>
  <c r="AA52" i="5"/>
  <c r="AC52" i="5"/>
  <c r="AB52" i="5"/>
  <c r="AD52" i="5"/>
  <c r="Z52" i="5"/>
  <c r="K52" i="5" a="1"/>
  <c r="K52" i="5" s="1"/>
  <c r="D52" i="5"/>
  <c r="I52" i="5" s="1" a="1"/>
  <c r="I52" i="5" s="1"/>
  <c r="L52" i="5" a="1"/>
  <c r="L52" i="5" s="1"/>
  <c r="F52" i="5"/>
  <c r="AA53" i="5" l="1"/>
  <c r="AD53" i="5"/>
  <c r="Y53" i="5"/>
  <c r="Z53" i="5"/>
  <c r="AC53" i="5"/>
  <c r="AB53" i="5"/>
  <c r="U52" i="5"/>
  <c r="T52" i="5"/>
  <c r="R52" i="5"/>
  <c r="X52" i="5"/>
  <c r="Q52" i="5"/>
  <c r="P52" i="5"/>
  <c r="O52" i="5"/>
  <c r="N52" i="5" a="1"/>
  <c r="N52" i="5" s="1"/>
  <c r="M52" i="5" a="1"/>
  <c r="M52" i="5" s="1"/>
  <c r="V52" i="5"/>
  <c r="S52" i="5"/>
  <c r="W52" i="5"/>
  <c r="D53" i="5"/>
  <c r="I53" i="5" s="1" a="1"/>
  <c r="I53" i="5" s="1"/>
  <c r="L53" i="5" a="1"/>
  <c r="L53" i="5" s="1"/>
  <c r="F53" i="5"/>
  <c r="K53" i="5" a="1"/>
  <c r="K53" i="5" s="1"/>
  <c r="C55" i="5" a="1"/>
  <c r="C55" i="5" s="1"/>
  <c r="H54" i="5"/>
  <c r="G54" i="5" a="1"/>
  <c r="G54" i="5" s="1"/>
  <c r="E54" i="5" a="1"/>
  <c r="E54" i="5" s="1"/>
  <c r="J54" i="5" a="1"/>
  <c r="J54" i="5" s="1"/>
  <c r="AA54" i="5" l="1"/>
  <c r="AC54" i="5"/>
  <c r="Z54" i="5"/>
  <c r="AD54" i="5"/>
  <c r="AB54" i="5"/>
  <c r="Y54" i="5"/>
  <c r="C56" i="5" a="1"/>
  <c r="C56" i="5" s="1"/>
  <c r="G55" i="5" a="1"/>
  <c r="G55" i="5" s="1"/>
  <c r="H55" i="5"/>
  <c r="E55" i="5" a="1"/>
  <c r="E55" i="5" s="1"/>
  <c r="J55" i="5" a="1"/>
  <c r="J55" i="5" s="1"/>
  <c r="O53" i="5"/>
  <c r="U53" i="5"/>
  <c r="S53" i="5"/>
  <c r="V53" i="5"/>
  <c r="W53" i="5"/>
  <c r="X53" i="5"/>
  <c r="M53" i="5" a="1"/>
  <c r="M53" i="5" s="1"/>
  <c r="P53" i="5"/>
  <c r="Q53" i="5"/>
  <c r="T53" i="5"/>
  <c r="R53" i="5"/>
  <c r="N53" i="5" a="1"/>
  <c r="N53" i="5" s="1"/>
  <c r="L54" i="5" a="1"/>
  <c r="L54" i="5" s="1"/>
  <c r="K54" i="5" a="1"/>
  <c r="K54" i="5" s="1"/>
  <c r="D54" i="5"/>
  <c r="I54" i="5" s="1" a="1"/>
  <c r="I54" i="5" s="1"/>
  <c r="F54" i="5"/>
  <c r="D55" i="5" l="1"/>
  <c r="I55" i="5" s="1" a="1"/>
  <c r="I55" i="5" s="1"/>
  <c r="K55" i="5" a="1"/>
  <c r="K55" i="5" s="1"/>
  <c r="F55" i="5"/>
  <c r="L55" i="5" a="1"/>
  <c r="L55" i="5" s="1"/>
  <c r="Y55" i="5"/>
  <c r="AB55" i="5"/>
  <c r="AA55" i="5"/>
  <c r="AC55" i="5"/>
  <c r="Z55" i="5"/>
  <c r="AD55" i="5"/>
  <c r="G56" i="5" a="1"/>
  <c r="G56" i="5" s="1"/>
  <c r="E56" i="5" a="1"/>
  <c r="E56" i="5" s="1"/>
  <c r="H56" i="5"/>
  <c r="J56" i="5" a="1"/>
  <c r="J56" i="5" s="1"/>
  <c r="V54" i="5"/>
  <c r="R54" i="5"/>
  <c r="N54" i="5" a="1"/>
  <c r="N54" i="5" s="1"/>
  <c r="T54" i="5"/>
  <c r="U54" i="5"/>
  <c r="X54" i="5"/>
  <c r="M54" i="5" a="1"/>
  <c r="M54" i="5" s="1"/>
  <c r="O54" i="5"/>
  <c r="W54" i="5"/>
  <c r="S54" i="5"/>
  <c r="P54" i="5"/>
  <c r="Q54" i="5"/>
  <c r="W55" i="5" l="1"/>
  <c r="S55" i="5"/>
  <c r="U55" i="5"/>
  <c r="M55" i="5" a="1"/>
  <c r="M55" i="5" s="1"/>
  <c r="O55" i="5"/>
  <c r="R55" i="5"/>
  <c r="X55" i="5"/>
  <c r="V55" i="5"/>
  <c r="N55" i="5" a="1"/>
  <c r="N55" i="5" s="1"/>
  <c r="T55" i="5"/>
  <c r="P55" i="5"/>
  <c r="Q55" i="5"/>
  <c r="L56" i="5" a="1"/>
  <c r="L56" i="5" s="1"/>
  <c r="K56" i="5" a="1"/>
  <c r="K56" i="5" s="1"/>
  <c r="D56" i="5"/>
  <c r="I56" i="5" s="1" a="1"/>
  <c r="I56" i="5" s="1"/>
  <c r="F56" i="5"/>
  <c r="Z56" i="5"/>
  <c r="AD56" i="5"/>
  <c r="AB56" i="5"/>
  <c r="Y56" i="5"/>
  <c r="AC56" i="5"/>
  <c r="AA56" i="5"/>
  <c r="T56" i="5" l="1"/>
  <c r="R56" i="5"/>
  <c r="S56" i="5"/>
  <c r="N56" i="5" a="1"/>
  <c r="N56" i="5" s="1"/>
  <c r="U56" i="5"/>
  <c r="Q56" i="5"/>
  <c r="W56" i="5"/>
  <c r="V56" i="5"/>
  <c r="O56" i="5"/>
  <c r="X56" i="5"/>
  <c r="M56" i="5" a="1"/>
  <c r="M56" i="5" s="1"/>
  <c r="P56"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<sst xmlns="http://schemas.openxmlformats.org/spreadsheetml/2006/main" count="316" uniqueCount="118">
  <si>
    <t>Settings</t>
  </si>
  <si>
    <t>General</t>
  </si>
  <si>
    <t>Starting Year:</t>
  </si>
  <si>
    <t>Set the starting year (yyyy) once at the beginning and do not change it again..</t>
  </si>
  <si>
    <t>Budget Planning</t>
  </si>
  <si>
    <t>Define Starting year in Settings -&gt;</t>
  </si>
  <si>
    <t>Income</t>
  </si>
  <si>
    <t>Enter Income Category…</t>
  </si>
  <si>
    <t>Total</t>
  </si>
  <si>
    <t>Employment (Net)</t>
  </si>
  <si>
    <t>Side Hustle (Net)</t>
  </si>
  <si>
    <t>Dividents</t>
  </si>
  <si>
    <t>Expenses</t>
  </si>
  <si>
    <t>Housing</t>
  </si>
  <si>
    <t>Utlities</t>
  </si>
  <si>
    <t>Groceries</t>
  </si>
  <si>
    <t>Enter Expenses Category…</t>
  </si>
  <si>
    <t>Savings</t>
  </si>
  <si>
    <t>Emergency Fund</t>
  </si>
  <si>
    <t>Retirement Account</t>
  </si>
  <si>
    <t>Stock Portfolio</t>
  </si>
  <si>
    <t>Enter Savings Category…</t>
  </si>
  <si>
    <t>To be Allocated:</t>
  </si>
  <si>
    <t>Transportation</t>
  </si>
  <si>
    <t>Insaurances</t>
  </si>
  <si>
    <t>Clothing</t>
  </si>
  <si>
    <t>Body Care &amp; Medicine</t>
  </si>
  <si>
    <t>Media</t>
  </si>
  <si>
    <t>Fun &amp; Vacation</t>
  </si>
  <si>
    <t>Sinking Fund Down Payment</t>
  </si>
  <si>
    <t>Sinking Fund Rest</t>
  </si>
  <si>
    <t>Budget Tracking</t>
  </si>
  <si>
    <t>Date</t>
  </si>
  <si>
    <t>Type</t>
  </si>
  <si>
    <t>Category</t>
  </si>
  <si>
    <t>Amount</t>
  </si>
  <si>
    <t>Details</t>
  </si>
  <si>
    <t>Balance</t>
  </si>
  <si>
    <t>Effective Date</t>
  </si>
  <si>
    <t>Late Monthly Income</t>
  </si>
  <si>
    <t>Shift late Income:</t>
  </si>
  <si>
    <t>Active</t>
  </si>
  <si>
    <t>Starting on day x in month:</t>
  </si>
  <si>
    <t>Activate this option to treat late income received on or after a certain dayof month for the next month. This is espacially recommended in case you receive your monthly paycheck towards the end of the month and prefer to consider the income as the disposable income for the next month.</t>
  </si>
  <si>
    <t>Calculations</t>
  </si>
  <si>
    <t>Worksheet Budget Tracking</t>
  </si>
  <si>
    <t>Today:</t>
  </si>
  <si>
    <t>Last Record</t>
  </si>
  <si>
    <t>Delta Last Record</t>
  </si>
  <si>
    <t>#Records:</t>
  </si>
  <si>
    <t>#Records this year:</t>
  </si>
  <si>
    <t>Tracking Balance</t>
  </si>
  <si>
    <t>Balance Analysis Text:</t>
  </si>
  <si>
    <t>Budget Dashboard</t>
  </si>
  <si>
    <t>Year</t>
  </si>
  <si>
    <t>Select the year to view -&gt;</t>
  </si>
  <si>
    <t>Period</t>
  </si>
  <si>
    <t>Select the period to view -&gt;</t>
  </si>
  <si>
    <t>DropDown Data</t>
  </si>
  <si>
    <t>Year Dropdown</t>
  </si>
  <si>
    <t>Current Year</t>
  </si>
  <si>
    <t>Period Dropdown</t>
  </si>
  <si>
    <t>Total Year</t>
  </si>
  <si>
    <t>Current Month</t>
  </si>
  <si>
    <t>Worksheet Budget Dashboard</t>
  </si>
  <si>
    <t>Selected Year:</t>
  </si>
  <si>
    <t>Selected Period:</t>
  </si>
  <si>
    <t>Selected Period (Display):</t>
  </si>
  <si>
    <t>row_id</t>
  </si>
  <si>
    <t>is_header</t>
  </si>
  <si>
    <t>is_total</t>
  </si>
  <si>
    <t>is_empty</t>
  </si>
  <si>
    <t>type</t>
  </si>
  <si>
    <t>item</t>
  </si>
  <si>
    <t>tracked</t>
  </si>
  <si>
    <t>budget</t>
  </si>
  <si>
    <t>header_row_id</t>
  </si>
  <si>
    <t>is_cat</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</si>
  <si>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</si>
  <si>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</si>
  <si>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</si>
  <si>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</si>
  <si>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</si>
  <si>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</si>
  <si>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</si>
  <si>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</si>
  <si>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</si>
  <si>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</si>
  <si>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</si>
  <si>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</si>
  <si>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r>
      <rPr>
        <b/>
        <sz val="11"/>
        <color rgb="FF002060"/>
        <rFont val="Calibri"/>
        <family val="2"/>
        <scheme val="minor"/>
      </rPr>
      <t>Chart Calculations:</t>
    </r>
    <r>
      <rPr>
        <sz val="11"/>
        <color rgb="FF002060"/>
        <rFont val="Calibri"/>
        <family val="2"/>
        <scheme val="minor"/>
      </rPr>
      <t xml:space="preserve"> Category Distribution Charts</t>
    </r>
  </si>
  <si>
    <t>Month</t>
  </si>
  <si>
    <t>Month Num.</t>
  </si>
  <si>
    <t>In Focus</t>
  </si>
  <si>
    <t>Show Type</t>
  </si>
  <si>
    <t>Show Rem Budget</t>
  </si>
  <si>
    <t>Periods in Focus</t>
  </si>
  <si>
    <t>In Budget</t>
  </si>
  <si>
    <t>Remaining</t>
  </si>
  <si>
    <t>Excess</t>
  </si>
  <si>
    <t>Budget</t>
  </si>
  <si>
    <t>Delta</t>
  </si>
  <si>
    <t>Tracked</t>
  </si>
  <si>
    <t>Show Income:</t>
  </si>
  <si>
    <t>Show Expenses:</t>
  </si>
  <si>
    <t xml:space="preserve">Show Savings: </t>
  </si>
  <si>
    <t>Show Rem. Budget:</t>
  </si>
  <si>
    <t>Period not in focus</t>
  </si>
  <si>
    <t>Days in Period:</t>
  </si>
  <si>
    <t>Days passed in period:</t>
  </si>
  <si>
    <t>Days passed in Period%:</t>
  </si>
  <si>
    <t xml:space="preserve">Period Tracking Balance: </t>
  </si>
  <si>
    <t>Period Savings Rate:</t>
  </si>
  <si>
    <t>KPI Calculation in Dashboard</t>
  </si>
  <si>
    <t xml:space="preserve">Savings Rate as % of Income: </t>
  </si>
  <si>
    <t>% allocated to Savings</t>
  </si>
  <si>
    <t>Budget Tracking &amp; Dashboard</t>
  </si>
  <si>
    <t>Choose how you want the savings rate (SR) to be calculated in the dashboard KPI tiles: 1) Active Option (% allocated to Savings):   SR = Savings / Income. 2) Passive Option (% not allocated to Expenses):  SR = (Income - Expense) /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</si>
</sst>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5" formatCode="mmm"/>
    <numFmt numFmtId="167" formatCode="_ * #,##0_ ;_ * \-#,##0_ ;_ * &quot;-&quot;??_ ;_ @_ "/>
    <numFmt numFmtId="168" formatCode="d/mmm/yy"/>
    <numFmt numFmtId="172" formatCode="mmmm"/>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0"/>
      <name val="Calibri"/>
      <family val="2"/>
      <scheme val="minor"/>
    </font>
    <font>
      <sz val="11"/>
      <color rgb="FF002060"/>
      <name val="Calibri"/>
      <family val="2"/>
      <scheme val="minor"/>
    </font>
    <font>
      <b/>
      <sz val="11"/>
      <color rgb="FF002060"/>
      <name val="Calibri"/>
      <family val="2"/>
      <scheme val="minor"/>
    </font>
    <font>
      <i/>
      <sz val="9"/>
      <color theme="0" tint="-0.499984740745262"/>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sz val="9"/>
      <color theme="1"/>
      <name val="Calibri"/>
      <family val="2"/>
      <scheme val="minor"/>
    </font>
    <font>
      <sz val="10"/>
      <color theme="0" tint="-0.499984740745262"/>
      <name val="Calibri"/>
      <family val="2"/>
      <scheme val="minor"/>
    </font>
    <font>
      <b/>
      <sz val="10"/>
      <color theme="0" tint="-0.499984740745262"/>
      <name val="Calibri"/>
      <family val="2"/>
      <scheme val="minor"/>
    </font>
    <font>
      <i/>
      <sz val="10"/>
      <color theme="0" tint="-0.34998626667073579"/>
      <name val="Calibri"/>
      <family val="2"/>
      <scheme val="minor"/>
    </font>
    <font>
      <i/>
      <sz val="11"/>
      <color theme="1"/>
      <name val="Calibri"/>
      <family val="2"/>
      <scheme val="minor"/>
    </font>
    <font>
      <b/>
      <sz val="9"/>
      <color theme="1"/>
      <name val="Calibri"/>
      <family val="2"/>
      <scheme val="minor"/>
    </font>
    <font>
      <sz val="8"/>
      <name val="Segoe UI"/>
      <family val="2"/>
    </font>
    <font>
      <sz val="10"/>
      <color theme="1" tint="0.499984740745262"/>
      <name val="Calibri"/>
      <family val="2"/>
      <scheme val="minor"/>
    </font>
    <font>
      <sz val="11"/>
      <color theme="1" tint="0.499984740745262"/>
      <name val="Calibri"/>
      <family val="2"/>
      <scheme val="minor"/>
    </font>
    <font>
      <sz val="10"/>
      <color theme="0" tint="-0.34998626667073579"/>
      <name val="Calibri"/>
      <family val="2"/>
      <scheme val="minor"/>
    </font>
    <font>
      <b/>
      <sz val="20"/>
      <color rgb="FF002060"/>
      <name val="Calibri"/>
      <family val="2"/>
      <scheme val="minor"/>
    </font>
    <font>
      <sz val="10.5"/>
      <color theme="1"/>
      <name val="Calibri"/>
      <family val="2"/>
      <scheme val="minor"/>
    </font>
    <font>
      <sz val="8"/>
      <name val="Calibri"/>
      <family val="2"/>
      <scheme val="minor"/>
    </font>
  </fonts>
  <fills count="11">
    <fill>
      <patternFill patternType="none"/>
    </fill>
    <fill>
      <patternFill patternType="gray125"/>
    </fill>
    <fill>
      <patternFill patternType="solid">
        <fgColor rgb="FF00206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0066"/>
        <bgColor indexed="64"/>
      </patternFill>
    </fill>
    <fill>
      <patternFill patternType="solid">
        <fgColor rgb="FFEDAA1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499984740745262"/>
        <bgColor indexed="64"/>
      </patternFill>
    </fill>
  </fills>
  <borders count="21">
    <border>
      <left/>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24994659260841701"/>
      </top>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right/>
      <top/>
      <bottom style="hair">
        <color theme="0" tint="-0.24994659260841701"/>
      </bottom>
      <diagonal/>
    </border>
    <border>
      <left/>
      <right/>
      <top style="hair">
        <color theme="0" tint="-0.24994659260841701"/>
      </top>
      <bottom/>
      <diagonal/>
    </border>
    <border>
      <left/>
      <right/>
      <top style="thin">
        <color auto="1"/>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24994659260841701"/>
      </top>
      <bottom style="thin">
        <color theme="0" tint="-0.24994659260841701"/>
      </bottom>
      <diagonal/>
    </border>
    <border>
      <left/>
      <right/>
      <top style="hair">
        <color auto="1"/>
      </top>
      <bottom style="double">
        <color auto="1"/>
      </bottom>
      <diagonal/>
    </border>
    <border>
      <left/>
      <right/>
      <top style="hair">
        <color auto="1"/>
      </top>
      <bottom/>
      <diagonal/>
    </border>
    <border>
      <left/>
      <right/>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5">
    <xf numFmtId="0" fontId="0" fillId="0" borderId="0" xfId="0"/>
    <xf numFmtId="0" fontId="0" fillId="2" borderId="0" xfId="0" applyFill="1"/>
    <xf numFmtId="0" fontId="5" fillId="2" borderId="0" xfId="0" applyFont="1" applyFill="1" applyAlignment="1">
      <alignment horizontal="left" vertical="center"/>
    </xf>
    <xf numFmtId="0" fontId="0" fillId="2" borderId="0" xfId="0" applyFill="1" applyAlignment="1">
      <alignment horizontal="left" vertical="center"/>
    </xf>
    <xf numFmtId="0" fontId="0" fillId="0" borderId="0" xfId="0" applyAlignment="1">
      <alignment horizontal="center"/>
    </xf>
    <xf numFmtId="0" fontId="4" fillId="2" borderId="0" xfId="0" applyFont="1" applyFill="1" applyAlignment="1">
      <alignment horizontal="center"/>
    </xf>
    <xf numFmtId="0" fontId="2" fillId="2" borderId="0" xfId="0" applyFont="1" applyFill="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xf numFmtId="0" fontId="7" fillId="0" borderId="0" xfId="0" applyFont="1" applyBorder="1"/>
    <xf numFmtId="0" fontId="6" fillId="3" borderId="0" xfId="0" applyFont="1" applyFill="1" applyBorder="1" applyAlignment="1">
      <alignment horizontal="center"/>
    </xf>
    <xf numFmtId="0" fontId="8" fillId="0" borderId="0" xfId="0" applyFont="1" applyBorder="1"/>
    <xf numFmtId="0" fontId="3" fillId="2" borderId="0" xfId="0" applyFont="1" applyFill="1" applyAlignment="1">
      <alignment horizontal="left" vertical="center"/>
    </xf>
    <xf numFmtId="0" fontId="2" fillId="2" borderId="0" xfId="0" applyFont="1" applyFill="1" applyAlignment="1">
      <alignment horizontal="center" vertical="center"/>
    </xf>
    <xf numFmtId="0" fontId="3" fillId="0" borderId="0" xfId="0" applyFont="1" applyAlignment="1">
      <alignment horizontal="left" indent="1"/>
    </xf>
    <xf numFmtId="0" fontId="10" fillId="0" borderId="0" xfId="0" applyFont="1" applyAlignment="1">
      <alignment horizontal="left" indent="1"/>
    </xf>
    <xf numFmtId="0" fontId="3" fillId="0" borderId="7" xfId="0" applyFont="1" applyBorder="1" applyAlignment="1">
      <alignment horizontal="left" indent="1"/>
    </xf>
    <xf numFmtId="0" fontId="11" fillId="4" borderId="0" xfId="0" applyFont="1" applyFill="1" applyAlignment="1">
      <alignment horizontal="center"/>
    </xf>
    <xf numFmtId="165" fontId="11" fillId="4" borderId="0" xfId="0" applyNumberFormat="1" applyFont="1" applyFill="1" applyAlignment="1">
      <alignment horizontal="center"/>
    </xf>
    <xf numFmtId="0" fontId="5" fillId="2" borderId="0" xfId="0" applyFont="1" applyFill="1" applyAlignment="1">
      <alignment vertical="center"/>
    </xf>
    <xf numFmtId="0" fontId="3" fillId="2" borderId="0" xfId="0" applyFont="1" applyFill="1" applyAlignment="1">
      <alignment vertical="center"/>
    </xf>
    <xf numFmtId="0" fontId="13" fillId="0" borderId="0" xfId="0" applyFont="1" applyAlignment="1">
      <alignment horizontal="left" indent="1"/>
    </xf>
    <xf numFmtId="167" fontId="13" fillId="0" borderId="7" xfId="1" applyNumberFormat="1" applyFont="1" applyBorder="1"/>
    <xf numFmtId="167" fontId="9" fillId="0" borderId="7" xfId="1" applyNumberFormat="1" applyFont="1" applyBorder="1"/>
    <xf numFmtId="167" fontId="14" fillId="0" borderId="7" xfId="1" applyNumberFormat="1" applyFont="1" applyBorder="1"/>
    <xf numFmtId="0" fontId="15" fillId="0" borderId="0" xfId="0" applyFont="1"/>
    <xf numFmtId="165" fontId="11" fillId="6" borderId="0" xfId="0" applyNumberFormat="1" applyFont="1" applyFill="1" applyAlignment="1">
      <alignment horizontal="center"/>
    </xf>
    <xf numFmtId="0" fontId="11" fillId="6" borderId="0" xfId="0" applyFont="1" applyFill="1" applyAlignment="1">
      <alignment horizontal="center"/>
    </xf>
    <xf numFmtId="165" fontId="11" fillId="7" borderId="0" xfId="0" applyNumberFormat="1" applyFont="1" applyFill="1" applyAlignment="1">
      <alignment horizontal="center"/>
    </xf>
    <xf numFmtId="0" fontId="11" fillId="7" borderId="0" xfId="0" applyFont="1" applyFill="1" applyAlignment="1">
      <alignment horizontal="center"/>
    </xf>
    <xf numFmtId="0" fontId="16" fillId="0" borderId="0" xfId="0" applyFont="1" applyAlignment="1">
      <alignment horizontal="right"/>
    </xf>
    <xf numFmtId="167" fontId="12" fillId="0" borderId="7" xfId="0" applyNumberFormat="1" applyFont="1" applyBorder="1"/>
    <xf numFmtId="167" fontId="17" fillId="0" borderId="7" xfId="0" applyNumberFormat="1" applyFont="1" applyBorder="1"/>
    <xf numFmtId="0" fontId="3" fillId="0" borderId="7" xfId="0" applyFont="1" applyBorder="1"/>
    <xf numFmtId="0" fontId="0" fillId="0" borderId="0" xfId="0" applyFont="1" applyAlignment="1">
      <alignment horizontal="left" indent="1"/>
    </xf>
    <xf numFmtId="168" fontId="10" fillId="0" borderId="0" xfId="0" applyNumberFormat="1" applyFont="1" applyAlignment="1">
      <alignment horizontal="left" indent="1"/>
    </xf>
    <xf numFmtId="167" fontId="10" fillId="0" borderId="0" xfId="1" applyNumberFormat="1" applyFont="1" applyAlignment="1">
      <alignment horizontal="left" indent="1"/>
    </xf>
    <xf numFmtId="0" fontId="19" fillId="0" borderId="0" xfId="0" applyFont="1" applyAlignment="1">
      <alignment horizontal="left" indent="1"/>
    </xf>
    <xf numFmtId="0" fontId="20" fillId="8" borderId="0" xfId="0" applyFont="1" applyFill="1" applyAlignment="1">
      <alignment horizontal="left" indent="1"/>
    </xf>
    <xf numFmtId="167" fontId="19" fillId="0" borderId="0" xfId="1" applyNumberFormat="1" applyFont="1" applyAlignment="1">
      <alignment horizontal="left" indent="1"/>
    </xf>
    <xf numFmtId="0" fontId="0" fillId="0" borderId="0" xfId="0" applyBorder="1" applyAlignment="1">
      <alignment horizontal="center"/>
    </xf>
    <xf numFmtId="0" fontId="8" fillId="0" borderId="0" xfId="0" applyFont="1" applyBorder="1" applyAlignment="1">
      <alignment horizontal="left" vertical="top" wrapText="1"/>
    </xf>
    <xf numFmtId="168" fontId="21" fillId="0" borderId="0" xfId="0" applyNumberFormat="1" applyFont="1" applyAlignment="1">
      <alignment horizontal="right" indent="1"/>
    </xf>
    <xf numFmtId="0" fontId="0" fillId="9" borderId="0" xfId="0" applyFill="1"/>
    <xf numFmtId="0" fontId="22" fillId="9" borderId="0" xfId="0" applyFont="1" applyFill="1" applyAlignment="1">
      <alignment horizontal="left" vertical="center"/>
    </xf>
    <xf numFmtId="0" fontId="2" fillId="2" borderId="0" xfId="0" applyFont="1" applyFill="1" applyAlignment="1">
      <alignment horizontal="left" vertical="center" indent="1"/>
    </xf>
    <xf numFmtId="0" fontId="7" fillId="0" borderId="0" xfId="0" applyFont="1"/>
    <xf numFmtId="168" fontId="0" fillId="0" borderId="0" xfId="0" applyNumberFormat="1"/>
    <xf numFmtId="167" fontId="0" fillId="0" borderId="0" xfId="1" applyNumberFormat="1" applyFont="1"/>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0" fillId="5" borderId="8" xfId="0" applyFont="1" applyFill="1" applyBorder="1" applyAlignment="1">
      <alignment horizontal="center"/>
    </xf>
    <xf numFmtId="0" fontId="8" fillId="0" borderId="0" xfId="0" applyFont="1" applyAlignment="1">
      <alignment horizontal="right" indent="1"/>
    </xf>
    <xf numFmtId="0" fontId="2" fillId="2" borderId="0" xfId="0" applyFont="1" applyFill="1" applyAlignment="1">
      <alignment horizont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172" fontId="10" fillId="0" borderId="11" xfId="0" applyNumberFormat="1" applyFont="1" applyBorder="1" applyAlignment="1">
      <alignment horizontal="center" vertical="center"/>
    </xf>
    <xf numFmtId="172" fontId="10" fillId="0" borderId="1" xfId="0" applyNumberFormat="1" applyFont="1" applyBorder="1" applyAlignment="1">
      <alignment horizontal="center" vertical="center"/>
    </xf>
    <xf numFmtId="172" fontId="10" fillId="5" borderId="8" xfId="0" applyNumberFormat="1" applyFont="1" applyFill="1" applyBorder="1" applyAlignment="1">
      <alignment horizontal="center"/>
    </xf>
    <xf numFmtId="0" fontId="2" fillId="2" borderId="0" xfId="0" applyFont="1" applyFill="1" applyAlignment="1">
      <alignment horizontal="left" vertical="center"/>
    </xf>
    <xf numFmtId="0" fontId="7" fillId="0" borderId="12" xfId="0" applyFont="1" applyBorder="1"/>
    <xf numFmtId="0" fontId="7" fillId="0" borderId="13" xfId="0" applyFont="1" applyBorder="1"/>
    <xf numFmtId="0" fontId="12" fillId="9" borderId="2" xfId="0" applyFont="1" applyFill="1" applyBorder="1" applyAlignment="1">
      <alignment horizontal="center" vertical="center"/>
    </xf>
    <xf numFmtId="0" fontId="12" fillId="9" borderId="3" xfId="0" applyFont="1" applyFill="1" applyBorder="1" applyAlignment="1">
      <alignment horizontal="center" vertical="center"/>
    </xf>
    <xf numFmtId="0" fontId="12" fillId="9" borderId="0" xfId="0" applyFont="1" applyFill="1" applyBorder="1" applyAlignment="1">
      <alignment horizontal="center" vertical="center"/>
    </xf>
    <xf numFmtId="167" fontId="0" fillId="0" borderId="0" xfId="0" applyNumberFormat="1"/>
    <xf numFmtId="167" fontId="0" fillId="0" borderId="0" xfId="1" applyNumberFormat="1" applyFont="1" applyBorder="1"/>
    <xf numFmtId="167" fontId="0" fillId="0" borderId="3" xfId="1" applyNumberFormat="1" applyFont="1" applyBorder="1"/>
    <xf numFmtId="0" fontId="12" fillId="9" borderId="11" xfId="0" applyFont="1" applyFill="1" applyBorder="1" applyAlignment="1">
      <alignment horizontal="center" vertical="center"/>
    </xf>
    <xf numFmtId="0" fontId="0" fillId="0" borderId="11" xfId="0" applyBorder="1"/>
    <xf numFmtId="9" fontId="0" fillId="0" borderId="0" xfId="2" applyFont="1"/>
    <xf numFmtId="0" fontId="23" fillId="0" borderId="0" xfId="0" applyFont="1" applyAlignment="1">
      <alignment vertical="center"/>
    </xf>
    <xf numFmtId="9" fontId="23" fillId="0" borderId="0" xfId="2" applyFont="1" applyAlignment="1">
      <alignment vertical="center"/>
    </xf>
    <xf numFmtId="9" fontId="23" fillId="0" borderId="0" xfId="2" applyFont="1" applyAlignment="1">
      <alignment horizontal="center" vertical="center"/>
    </xf>
    <xf numFmtId="167" fontId="23" fillId="0" borderId="0" xfId="1" applyNumberFormat="1" applyFont="1" applyAlignment="1">
      <alignment horizontal="center" vertical="center"/>
    </xf>
    <xf numFmtId="167" fontId="23" fillId="0" borderId="0" xfId="1" applyNumberFormat="1" applyFont="1" applyAlignment="1">
      <alignment vertical="center"/>
    </xf>
    <xf numFmtId="0" fontId="0" fillId="0" borderId="15" xfId="0" applyBorder="1"/>
    <xf numFmtId="0" fontId="0" fillId="0" borderId="8" xfId="0" applyBorder="1"/>
    <xf numFmtId="0" fontId="0" fillId="0" borderId="16" xfId="0" applyBorder="1"/>
    <xf numFmtId="0" fontId="0" fillId="0" borderId="17" xfId="0" applyBorder="1"/>
    <xf numFmtId="0" fontId="6" fillId="0" borderId="17" xfId="0" applyFont="1" applyBorder="1"/>
    <xf numFmtId="0" fontId="3" fillId="0" borderId="0" xfId="0" applyFont="1"/>
    <xf numFmtId="0" fontId="3" fillId="0" borderId="5" xfId="0" applyFont="1" applyBorder="1" applyAlignment="1">
      <alignment horizontal="center"/>
    </xf>
    <xf numFmtId="0" fontId="0" fillId="0" borderId="18" xfId="0" applyBorder="1" applyAlignment="1">
      <alignment horizontal="center"/>
    </xf>
    <xf numFmtId="0" fontId="3" fillId="0" borderId="0" xfId="0" applyFont="1" applyAlignment="1">
      <alignment horizontal="center"/>
    </xf>
    <xf numFmtId="167" fontId="0" fillId="0" borderId="0" xfId="1" applyNumberFormat="1" applyFont="1" applyAlignment="1">
      <alignment horizontal="center"/>
    </xf>
    <xf numFmtId="167" fontId="0" fillId="0" borderId="18" xfId="1" applyNumberFormat="1" applyFont="1" applyBorder="1" applyAlignment="1">
      <alignment horizontal="center"/>
    </xf>
    <xf numFmtId="167" fontId="3" fillId="0" borderId="0" xfId="1" applyNumberFormat="1" applyFont="1" applyAlignment="1">
      <alignment horizontal="center"/>
    </xf>
    <xf numFmtId="0" fontId="0" fillId="0" borderId="0" xfId="0" applyFill="1" applyBorder="1"/>
    <xf numFmtId="0" fontId="4" fillId="0" borderId="0" xfId="0" applyFont="1" applyFill="1" applyBorder="1"/>
    <xf numFmtId="0" fontId="2" fillId="0" borderId="0" xfId="0" applyFont="1" applyFill="1" applyBorder="1" applyAlignment="1">
      <alignment vertical="center"/>
    </xf>
    <xf numFmtId="0" fontId="0" fillId="9" borderId="0" xfId="0" applyFill="1" applyBorder="1"/>
    <xf numFmtId="0" fontId="12" fillId="0" borderId="0" xfId="0" applyFont="1" applyBorder="1" applyAlignment="1">
      <alignment horizontal="left" indent="1"/>
    </xf>
    <xf numFmtId="167" fontId="12" fillId="0" borderId="0" xfId="1" applyNumberFormat="1" applyFont="1" applyBorder="1"/>
    <xf numFmtId="0" fontId="17" fillId="0" borderId="19" xfId="0" applyFont="1" applyBorder="1" applyAlignment="1">
      <alignment horizontal="left" indent="1"/>
    </xf>
    <xf numFmtId="167" fontId="17" fillId="0" borderId="19" xfId="1" applyNumberFormat="1" applyFont="1" applyBorder="1"/>
    <xf numFmtId="0" fontId="3" fillId="0" borderId="0" xfId="0" applyFont="1" applyFill="1" applyBorder="1" applyAlignment="1">
      <alignment horizontal="center"/>
    </xf>
    <xf numFmtId="0" fontId="2" fillId="10" borderId="0" xfId="0" applyFont="1" applyFill="1" applyAlignment="1">
      <alignment horizontal="center"/>
    </xf>
    <xf numFmtId="0" fontId="3" fillId="0" borderId="20" xfId="0" applyFont="1" applyBorder="1" applyAlignment="1">
      <alignment horizontal="center"/>
    </xf>
    <xf numFmtId="0" fontId="3" fillId="0" borderId="20" xfId="0" applyFont="1" applyFill="1" applyBorder="1" applyAlignment="1">
      <alignment horizontal="center"/>
    </xf>
    <xf numFmtId="165" fontId="0" fillId="0" borderId="14" xfId="0" applyNumberFormat="1" applyFont="1" applyBorder="1" applyAlignment="1">
      <alignment horizontal="center" vertical="center"/>
    </xf>
    <xf numFmtId="165" fontId="0" fillId="0" borderId="0" xfId="0" applyNumberFormat="1" applyFont="1" applyBorder="1" applyAlignment="1">
      <alignment horizontal="center" vertical="center"/>
    </xf>
    <xf numFmtId="165" fontId="0" fillId="0" borderId="20" xfId="0" applyNumberFormat="1" applyFont="1" applyBorder="1" applyAlignment="1">
      <alignment horizontal="center" vertical="center"/>
    </xf>
    <xf numFmtId="0" fontId="0" fillId="0" borderId="14" xfId="0" applyBorder="1" applyAlignment="1">
      <alignment horizontal="center"/>
    </xf>
    <xf numFmtId="0" fontId="0" fillId="0" borderId="0" xfId="0" applyFill="1" applyBorder="1" applyAlignment="1">
      <alignment horizontal="center"/>
    </xf>
    <xf numFmtId="0" fontId="0" fillId="0" borderId="20" xfId="0" applyBorder="1" applyAlignment="1">
      <alignment horizontal="center"/>
    </xf>
    <xf numFmtId="0" fontId="0" fillId="0" borderId="20" xfId="0" applyFill="1" applyBorder="1" applyAlignment="1">
      <alignment horizontal="center"/>
    </xf>
    <xf numFmtId="167" fontId="0" fillId="0" borderId="0" xfId="1" applyNumberFormat="1" applyFont="1" applyBorder="1" applyAlignment="1">
      <alignment horizontal="center"/>
    </xf>
    <xf numFmtId="0" fontId="2" fillId="0" borderId="0" xfId="0" applyFont="1" applyFill="1" applyAlignment="1"/>
    <xf numFmtId="167" fontId="0" fillId="0" borderId="20" xfId="1" applyNumberFormat="1" applyFont="1" applyBorder="1" applyAlignment="1">
      <alignment horizontal="center"/>
    </xf>
    <xf numFmtId="0" fontId="2" fillId="0" borderId="0" xfId="0" applyFont="1" applyFill="1" applyBorder="1" applyAlignment="1"/>
    <xf numFmtId="0" fontId="0" fillId="0" borderId="0" xfId="0"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xf>
    <xf numFmtId="167" fontId="0" fillId="0" borderId="0" xfId="1" applyNumberFormat="1" applyFont="1" applyBorder="1" applyAlignment="1">
      <alignment horizontal="center" vertical="center"/>
    </xf>
    <xf numFmtId="0" fontId="0" fillId="0" borderId="20" xfId="0" applyBorder="1" applyAlignment="1">
      <alignment horizontal="center" vertical="center"/>
    </xf>
    <xf numFmtId="0" fontId="0" fillId="0" borderId="20" xfId="0" applyFill="1" applyBorder="1" applyAlignment="1">
      <alignment horizontal="center" vertical="center"/>
    </xf>
    <xf numFmtId="167" fontId="0" fillId="0" borderId="20" xfId="1" applyNumberFormat="1" applyFont="1" applyBorder="1" applyAlignment="1">
      <alignment horizontal="center" vertical="center"/>
    </xf>
    <xf numFmtId="0" fontId="0" fillId="0" borderId="0" xfId="0" applyAlignment="1">
      <alignment horizontal="right"/>
    </xf>
    <xf numFmtId="0" fontId="0" fillId="0" borderId="12" xfId="0" applyBorder="1" applyAlignment="1">
      <alignment horizontal="right"/>
    </xf>
    <xf numFmtId="0" fontId="7" fillId="0" borderId="0" xfId="0" applyFont="1" applyFill="1" applyBorder="1"/>
  </cellXfs>
  <cellStyles count="3">
    <cellStyle name="Comma" xfId="1" builtinId="3"/>
    <cellStyle name="Normal" xfId="0" builtinId="0"/>
    <cellStyle name="Percent" xfId="2" builtinId="5"/>
  </cellStyles>
  <dxfs count="62">
    <dxf>
      <fill>
        <patternFill>
          <bgColor rgb="FFF1FED2"/>
        </patternFill>
      </fill>
    </dxf>
    <dxf>
      <fill>
        <patternFill>
          <bgColor rgb="FFFFF6D9"/>
        </patternFill>
      </fill>
    </dxf>
    <dxf>
      <fill>
        <patternFill>
          <bgColor rgb="FFFFEBAB"/>
        </patternFill>
      </fill>
    </dxf>
    <dxf>
      <fill>
        <patternFill>
          <bgColor rgb="FFFFDD71"/>
        </patternFill>
      </fill>
    </dxf>
    <dxf>
      <fill>
        <patternFill>
          <bgColor rgb="FFFFC91D"/>
        </patternFill>
      </fill>
    </dxf>
    <dxf>
      <fill>
        <patternFill>
          <bgColor rgb="FFE6AF00"/>
        </patternFill>
      </fill>
    </dxf>
    <dxf>
      <fill>
        <patternFill>
          <bgColor rgb="FFE9D9F7"/>
        </patternFill>
      </fill>
    </dxf>
    <dxf>
      <fill>
        <patternFill>
          <bgColor rgb="FFFFE1FF"/>
        </patternFill>
      </fill>
    </dxf>
    <dxf>
      <fill>
        <patternFill>
          <bgColor rgb="FFFFC5FF"/>
        </patternFill>
      </fill>
    </dxf>
    <dxf>
      <fill>
        <patternFill>
          <bgColor rgb="FFFF8FFF"/>
        </patternFill>
      </fill>
    </dxf>
    <dxf>
      <fill>
        <patternFill>
          <bgColor rgb="FFFF3BFF"/>
        </patternFill>
      </fill>
    </dxf>
    <dxf>
      <fill>
        <patternFill>
          <bgColor rgb="FFD200D2"/>
        </patternFill>
      </fill>
    </dxf>
    <dxf>
      <fill>
        <patternFill>
          <bgColor rgb="FFE2F0D8"/>
        </patternFill>
      </fill>
    </dxf>
    <dxf>
      <fill>
        <patternFill>
          <bgColor rgb="FFC2DFAF"/>
        </patternFill>
      </fill>
    </dxf>
    <dxf>
      <fill>
        <patternFill>
          <bgColor rgb="FFA4CF87"/>
        </patternFill>
      </fill>
    </dxf>
    <dxf>
      <fill>
        <patternFill>
          <bgColor rgb="FF6FAD45"/>
        </patternFill>
      </fill>
    </dxf>
    <dxf>
      <fill>
        <patternFill>
          <bgColor rgb="FF568636"/>
        </patternFill>
      </fill>
    </dxf>
    <dxf>
      <fill>
        <patternFill>
          <bgColor rgb="FF009242"/>
        </patternFill>
      </fill>
    </dxf>
    <dxf>
      <fill>
        <patternFill>
          <bgColor rgb="FFFFCCFF"/>
        </patternFill>
      </fill>
    </dxf>
    <dxf>
      <fill>
        <patternFill>
          <bgColor rgb="FFFFE697"/>
        </patternFill>
      </fill>
    </dxf>
    <dxf>
      <fill>
        <patternFill>
          <bgColor theme="9" tint="0.39994506668294322"/>
        </patternFill>
      </fill>
    </dxf>
    <dxf>
      <font>
        <b/>
        <i val="0"/>
      </font>
      <border>
        <top style="thin">
          <color auto="1"/>
        </top>
        <vertical/>
        <horizontal/>
      </border>
    </dxf>
    <dxf>
      <font>
        <b/>
        <i val="0"/>
        <color theme="0"/>
      </font>
      <fill>
        <patternFill>
          <bgColor rgb="FF00B050"/>
        </patternFill>
      </fill>
    </dxf>
    <dxf>
      <font>
        <b/>
        <i val="0"/>
        <color theme="0"/>
      </font>
      <fill>
        <patternFill>
          <bgColor rgb="FFFF66CC"/>
        </patternFill>
      </fill>
    </dxf>
    <dxf>
      <font>
        <b/>
        <i val="0"/>
        <color theme="0"/>
      </font>
      <fill>
        <patternFill>
          <bgColor rgb="FFFFC000"/>
        </patternFill>
      </fill>
    </dxf>
    <dxf>
      <font>
        <color theme="0" tint="-0.499984740745262"/>
      </font>
      <numFmt numFmtId="170" formatCode="\-\&gt;\ d/mmm/yy"/>
    </dxf>
    <dxf>
      <font>
        <b/>
        <i val="0"/>
        <color rgb="FF00B050"/>
      </font>
      <numFmt numFmtId="169" formatCode="#,##0;[Red]#,##0"/>
    </dxf>
    <dxf>
      <font>
        <color rgb="FFFF0000"/>
      </font>
    </dxf>
    <dxf>
      <font>
        <color rgb="FFFF0000"/>
      </font>
      <fill>
        <patternFill patternType="none">
          <bgColor auto="1"/>
        </patternFill>
      </fill>
    </dxf>
    <dxf>
      <font>
        <color rgb="FF00B050"/>
      </font>
    </dxf>
    <dxf>
      <font>
        <color theme="0" tint="-0.34998626667073579"/>
      </font>
    </dxf>
    <dxf>
      <font>
        <color theme="1" tint="4.9989318521683403E-2"/>
      </font>
      <fill>
        <patternFill>
          <bgColor rgb="FFFFCC99"/>
        </patternFill>
      </fill>
    </dxf>
    <dxf>
      <font>
        <color theme="1" tint="4.9989318521683403E-2"/>
      </font>
      <fill>
        <patternFill>
          <bgColor rgb="FFFFCCFF"/>
        </patternFill>
      </fill>
    </dxf>
    <dxf>
      <font>
        <color theme="1" tint="4.9989318521683403E-2"/>
      </font>
      <fill>
        <patternFill>
          <bgColor theme="9" tint="0.79998168889431442"/>
        </patternFill>
      </fill>
    </dxf>
    <dxf>
      <font>
        <color theme="0" tint="-0.34998626667073579"/>
      </font>
      <fill>
        <patternFill>
          <bgColor theme="0" tint="-0.14996795556505021"/>
        </patternFill>
      </fill>
    </dxf>
    <dxf>
      <font>
        <strike val="0"/>
        <outline val="0"/>
        <shadow val="0"/>
        <u val="none"/>
        <vertAlign val="baseline"/>
        <sz val="10"/>
        <color theme="0" tint="-0.34998626667073579"/>
        <name val="Calibri"/>
        <family val="2"/>
        <scheme val="minor"/>
      </font>
      <numFmt numFmtId="168" formatCode="d/mmm/yy"/>
      <alignment horizontal="right" vertical="bottom" textRotation="0" wrapText="0" indent="1" justifyLastLine="0" shrinkToFit="0" readingOrder="0"/>
    </dxf>
    <dxf>
      <font>
        <strike val="0"/>
        <outline val="0"/>
        <shadow val="0"/>
        <u val="none"/>
        <vertAlign val="baseline"/>
        <sz val="10"/>
        <color theme="1" tint="0.499984740745262"/>
        <name val="Calibri"/>
        <family val="2"/>
        <scheme val="minor"/>
      </font>
      <numFmt numFmtId="167" formatCode="_ * #,##0_ ;_ * \-#,##0_ ;_ * &quot;-&quot;??_ ;_ @_ "/>
      <alignment horizontal="left" vertical="bottom" textRotation="0" wrapText="0" relativeIndent="1" justifyLastLine="0" shrinkToFit="0" readingOrder="0"/>
    </dxf>
    <dxf>
      <font>
        <strike val="0"/>
        <outline val="0"/>
        <shadow val="0"/>
        <u val="none"/>
        <vertAlign val="baseline"/>
        <sz val="10"/>
        <color theme="1" tint="0.499984740745262"/>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7" formatCode="_ * #,##0_ ;_ * \-#,##0_ ;_ * &quot;-&quot;??_ ;_ @_ "/>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8" formatCode="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b val="0"/>
      </font>
      <alignment horizontal="left" vertical="bottom" textRotation="0" wrapText="0" relativeIndent="1" justifyLastLine="0" shrinkToFit="0" readingOrder="0"/>
    </dxf>
    <dxf>
      <fill>
        <patternFill>
          <bgColor theme="0" tint="-0.14996795556505021"/>
        </patternFill>
      </fill>
    </dxf>
    <dxf>
      <font>
        <b/>
        <i val="0"/>
        <color theme="0"/>
      </font>
      <fill>
        <patternFill>
          <bgColor rgb="FF002060"/>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i val="0"/>
        <color theme="0"/>
      </font>
      <fill>
        <patternFill>
          <bgColor rgb="FFEDAA13"/>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i val="0"/>
        <color theme="0"/>
      </font>
      <fill>
        <patternFill>
          <bgColor rgb="FFFF0066"/>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i val="0"/>
        <color theme="0"/>
      </font>
      <fill>
        <patternFill>
          <bgColor rgb="FF00B05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4" defaultTableStyle="TableStyleMedium2" defaultPivotStyle="PivotStyleLight16">
    <tableStyle name="Expenses Table Style 2" pivot="0" count="2" xr9:uid="{553844C2-D9B9-46B6-AE52-E0BD579EDB2D}">
      <tableStyleElement type="wholeTable" dxfId="56"/>
      <tableStyleElement type="headerRow" dxfId="55"/>
    </tableStyle>
    <tableStyle name="Income Table Style" pivot="0" count="2" xr9:uid="{8FEAF6B0-1E2C-4736-BEB7-1A6C2E461ADB}">
      <tableStyleElement type="wholeTable" dxfId="61"/>
      <tableStyleElement type="headerRow" dxfId="60"/>
    </tableStyle>
    <tableStyle name="Savings Table Style" pivot="0" count="2" xr9:uid="{042B2557-020C-43A8-860A-E788845939B1}">
      <tableStyleElement type="wholeTable" dxfId="51"/>
      <tableStyleElement type="headerRow" dxfId="50"/>
    </tableStyle>
    <tableStyle name="Tracking Table Style" pivot="0" count="3" xr9:uid="{F3F4DD04-89E9-486D-98A2-BFC1AC52EBE3}">
      <tableStyleElement type="wholeTable" dxfId="46"/>
      <tableStyleElement type="headerRow" dxfId="45"/>
      <tableStyleElement type="firstRowStripe" dxfId="44"/>
    </tableStyle>
  </tableStyles>
  <colors>
    <mruColors>
      <color rgb="FFB08600"/>
      <color rgb="FFFFF3CD"/>
      <color rgb="FFFFC000"/>
      <color rgb="FFA40052"/>
      <color rgb="FFFFCDE6"/>
      <color rgb="FFFF3399"/>
      <color rgb="FF009A46"/>
      <color rgb="FFD1FFE6"/>
      <color rgb="FFB8B8B8"/>
      <color rgb="FFC5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50000"/>
              </a:schemeClr>
            </a:solidFill>
          </c:spPr>
          <c:dPt>
            <c:idx val="0"/>
            <c:bubble3D val="0"/>
            <c:spPr>
              <a:solidFill>
                <a:srgbClr val="009242"/>
              </a:solidFill>
              <a:ln w="19050">
                <a:solidFill>
                  <a:schemeClr val="lt1"/>
                </a:solidFill>
              </a:ln>
              <a:effectLst/>
            </c:spPr>
            <c:extLst>
              <c:ext xmlns:c16="http://schemas.microsoft.com/office/drawing/2014/chart" uri="{C3380CC4-5D6E-409C-BE32-E72D297353CC}">
                <c16:uniqueId val="{00000001-D1E4-4A6E-B380-26485376ECEB}"/>
              </c:ext>
            </c:extLst>
          </c:dPt>
          <c:dPt>
            <c:idx val="1"/>
            <c:bubble3D val="0"/>
            <c:spPr>
              <a:solidFill>
                <a:srgbClr val="568636"/>
              </a:solidFill>
              <a:ln w="19050">
                <a:solidFill>
                  <a:schemeClr val="lt1"/>
                </a:solidFill>
              </a:ln>
              <a:effectLst/>
            </c:spPr>
            <c:extLst>
              <c:ext xmlns:c16="http://schemas.microsoft.com/office/drawing/2014/chart" uri="{C3380CC4-5D6E-409C-BE32-E72D297353CC}">
                <c16:uniqueId val="{00000003-D1E4-4A6E-B380-26485376ECEB}"/>
              </c:ext>
            </c:extLst>
          </c:dPt>
          <c:dPt>
            <c:idx val="2"/>
            <c:bubble3D val="0"/>
            <c:spPr>
              <a:solidFill>
                <a:srgbClr val="6FAD45"/>
              </a:solidFill>
              <a:ln w="19050">
                <a:solidFill>
                  <a:schemeClr val="lt1"/>
                </a:solidFill>
              </a:ln>
              <a:effectLst/>
            </c:spPr>
            <c:extLst>
              <c:ext xmlns:c16="http://schemas.microsoft.com/office/drawing/2014/chart" uri="{C3380CC4-5D6E-409C-BE32-E72D297353CC}">
                <c16:uniqueId val="{00000005-D1E4-4A6E-B380-26485376ECEB}"/>
              </c:ext>
            </c:extLst>
          </c:dPt>
          <c:dPt>
            <c:idx val="3"/>
            <c:bubble3D val="0"/>
            <c:spPr>
              <a:solidFill>
                <a:srgbClr val="A4CF87"/>
              </a:solidFill>
              <a:ln w="19050">
                <a:solidFill>
                  <a:schemeClr val="lt1"/>
                </a:solidFill>
              </a:ln>
              <a:effectLst/>
            </c:spPr>
            <c:extLst>
              <c:ext xmlns:c16="http://schemas.microsoft.com/office/drawing/2014/chart" uri="{C3380CC4-5D6E-409C-BE32-E72D297353CC}">
                <c16:uniqueId val="{00000007-D1E4-4A6E-B380-26485376ECEB}"/>
              </c:ext>
            </c:extLst>
          </c:dPt>
          <c:dPt>
            <c:idx val="4"/>
            <c:bubble3D val="0"/>
            <c:spPr>
              <a:solidFill>
                <a:srgbClr val="C2DFAF"/>
              </a:solidFill>
              <a:ln w="19050">
                <a:solidFill>
                  <a:schemeClr val="lt1"/>
                </a:solidFill>
              </a:ln>
              <a:effectLst/>
            </c:spPr>
            <c:extLst>
              <c:ext xmlns:c16="http://schemas.microsoft.com/office/drawing/2014/chart" uri="{C3380CC4-5D6E-409C-BE32-E72D297353CC}">
                <c16:uniqueId val="{00000009-D1E4-4A6E-B380-26485376ECEB}"/>
              </c:ext>
            </c:extLst>
          </c:dPt>
          <c:dPt>
            <c:idx val="5"/>
            <c:bubble3D val="0"/>
            <c:spPr>
              <a:solidFill>
                <a:srgbClr val="E2F0D8"/>
              </a:solidFill>
              <a:ln w="19050">
                <a:solidFill>
                  <a:schemeClr val="lt1"/>
                </a:solidFill>
              </a:ln>
              <a:effectLst/>
            </c:spPr>
            <c:extLst>
              <c:ext xmlns:c16="http://schemas.microsoft.com/office/drawing/2014/chart" uri="{C3380CC4-5D6E-409C-BE32-E72D297353CC}">
                <c16:uniqueId val="{0000000B-D1E4-4A6E-B380-26485376ECEB}"/>
              </c:ext>
            </c:extLst>
          </c:dPt>
          <c:cat>
            <c:strRef>
              <c:f>Calculations!$E$35:$E$40</c:f>
              <c:strCache>
                <c:ptCount val="3"/>
                <c:pt idx="0">
                  <c:v>Employment (Net)</c:v>
                </c:pt>
                <c:pt idx="1">
                  <c:v>Side Hustle (Net)</c:v>
                </c:pt>
                <c:pt idx="2">
                  <c:v>Dividents</c:v>
                </c:pt>
              </c:strCache>
            </c:strRef>
          </c:cat>
          <c:val>
            <c:numRef>
              <c:f>Calculations!$F$35:$F$40</c:f>
              <c:numCache>
                <c:formatCode>_ * #,##0_ ;_ * \-#,##0_ ;_ * "-"??_ ;_ @_ </c:formatCode>
                <c:ptCount val="6"/>
                <c:pt idx="0">
                  <c:v>3500</c:v>
                </c:pt>
                <c:pt idx="1">
                  <c:v>500</c:v>
                </c:pt>
                <c:pt idx="2">
                  <c:v>50</c:v>
                </c:pt>
                <c:pt idx="3">
                  <c:v>0</c:v>
                </c:pt>
                <c:pt idx="4">
                  <c:v>0</c:v>
                </c:pt>
                <c:pt idx="5">
                  <c:v>0</c:v>
                </c:pt>
              </c:numCache>
            </c:numRef>
          </c:val>
          <c:extLst>
            <c:ext xmlns:c16="http://schemas.microsoft.com/office/drawing/2014/chart" uri="{C3380CC4-5D6E-409C-BE32-E72D297353CC}">
              <c16:uniqueId val="{0000000C-D1E4-4A6E-B380-26485376ECE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50000"/>
              </a:schemeClr>
            </a:solidFill>
          </c:spPr>
          <c:dPt>
            <c:idx val="0"/>
            <c:bubble3D val="0"/>
            <c:spPr>
              <a:solidFill>
                <a:srgbClr val="D200D2"/>
              </a:solidFill>
              <a:ln w="19050">
                <a:solidFill>
                  <a:schemeClr val="lt1"/>
                </a:solidFill>
              </a:ln>
              <a:effectLst/>
            </c:spPr>
            <c:extLst>
              <c:ext xmlns:c16="http://schemas.microsoft.com/office/drawing/2014/chart" uri="{C3380CC4-5D6E-409C-BE32-E72D297353CC}">
                <c16:uniqueId val="{00000001-7A2C-4AE5-A348-ADFE7D671ED2}"/>
              </c:ext>
            </c:extLst>
          </c:dPt>
          <c:dPt>
            <c:idx val="1"/>
            <c:bubble3D val="0"/>
            <c:spPr>
              <a:solidFill>
                <a:srgbClr val="FF3BFF"/>
              </a:solidFill>
              <a:ln w="19050">
                <a:solidFill>
                  <a:schemeClr val="lt1"/>
                </a:solidFill>
              </a:ln>
              <a:effectLst/>
            </c:spPr>
            <c:extLst>
              <c:ext xmlns:c16="http://schemas.microsoft.com/office/drawing/2014/chart" uri="{C3380CC4-5D6E-409C-BE32-E72D297353CC}">
                <c16:uniqueId val="{00000003-7A2C-4AE5-A348-ADFE7D671ED2}"/>
              </c:ext>
            </c:extLst>
          </c:dPt>
          <c:dPt>
            <c:idx val="2"/>
            <c:bubble3D val="0"/>
            <c:spPr>
              <a:solidFill>
                <a:srgbClr val="FF8FFF"/>
              </a:solidFill>
              <a:ln w="19050">
                <a:solidFill>
                  <a:schemeClr val="lt1"/>
                </a:solidFill>
              </a:ln>
              <a:effectLst/>
            </c:spPr>
            <c:extLst>
              <c:ext xmlns:c16="http://schemas.microsoft.com/office/drawing/2014/chart" uri="{C3380CC4-5D6E-409C-BE32-E72D297353CC}">
                <c16:uniqueId val="{00000005-7A2C-4AE5-A348-ADFE7D671ED2}"/>
              </c:ext>
            </c:extLst>
          </c:dPt>
          <c:dPt>
            <c:idx val="3"/>
            <c:bubble3D val="0"/>
            <c:spPr>
              <a:solidFill>
                <a:srgbClr val="FFC5FF"/>
              </a:solidFill>
              <a:ln w="19050">
                <a:solidFill>
                  <a:schemeClr val="lt1"/>
                </a:solidFill>
              </a:ln>
              <a:effectLst/>
            </c:spPr>
            <c:extLst>
              <c:ext xmlns:c16="http://schemas.microsoft.com/office/drawing/2014/chart" uri="{C3380CC4-5D6E-409C-BE32-E72D297353CC}">
                <c16:uniqueId val="{00000007-7A2C-4AE5-A348-ADFE7D671ED2}"/>
              </c:ext>
            </c:extLst>
          </c:dPt>
          <c:dPt>
            <c:idx val="4"/>
            <c:bubble3D val="0"/>
            <c:spPr>
              <a:solidFill>
                <a:srgbClr val="FFE1FF"/>
              </a:solidFill>
              <a:ln w="19050">
                <a:solidFill>
                  <a:schemeClr val="lt1"/>
                </a:solidFill>
              </a:ln>
              <a:effectLst/>
            </c:spPr>
            <c:extLst>
              <c:ext xmlns:c16="http://schemas.microsoft.com/office/drawing/2014/chart" uri="{C3380CC4-5D6E-409C-BE32-E72D297353CC}">
                <c16:uniqueId val="{00000009-7A2C-4AE5-A348-ADFE7D671ED2}"/>
              </c:ext>
            </c:extLst>
          </c:dPt>
          <c:dPt>
            <c:idx val="5"/>
            <c:bubble3D val="0"/>
            <c:spPr>
              <a:solidFill>
                <a:srgbClr val="E9D9F7"/>
              </a:solidFill>
              <a:ln w="19050">
                <a:solidFill>
                  <a:schemeClr val="lt1"/>
                </a:solidFill>
              </a:ln>
              <a:effectLst/>
            </c:spPr>
            <c:extLst>
              <c:ext xmlns:c16="http://schemas.microsoft.com/office/drawing/2014/chart" uri="{C3380CC4-5D6E-409C-BE32-E72D297353CC}">
                <c16:uniqueId val="{0000000B-7A2C-4AE5-A348-ADFE7D671ED2}"/>
              </c:ext>
            </c:extLst>
          </c:dPt>
          <c:cat>
            <c:strRef>
              <c:f>Calculations!$I$35:$I$40</c:f>
              <c:strCache>
                <c:ptCount val="6"/>
                <c:pt idx="0">
                  <c:v>Housing</c:v>
                </c:pt>
                <c:pt idx="1">
                  <c:v>Groceries</c:v>
                </c:pt>
                <c:pt idx="2">
                  <c:v>Transportation</c:v>
                </c:pt>
                <c:pt idx="3">
                  <c:v>Utlities</c:v>
                </c:pt>
                <c:pt idx="4">
                  <c:v>Body Care &amp; Medicine</c:v>
                </c:pt>
                <c:pt idx="5">
                  <c:v>Others</c:v>
                </c:pt>
              </c:strCache>
            </c:strRef>
          </c:cat>
          <c:val>
            <c:numRef>
              <c:f>Calculations!$J$35:$J$40</c:f>
              <c:numCache>
                <c:formatCode>_ * #,##0_ ;_ * \-#,##0_ ;_ * "-"??_ ;_ @_ </c:formatCode>
                <c:ptCount val="6"/>
                <c:pt idx="0">
                  <c:v>1200</c:v>
                </c:pt>
                <c:pt idx="1">
                  <c:v>400</c:v>
                </c:pt>
                <c:pt idx="2">
                  <c:v>380</c:v>
                </c:pt>
                <c:pt idx="3">
                  <c:v>300</c:v>
                </c:pt>
                <c:pt idx="4">
                  <c:v>270</c:v>
                </c:pt>
                <c:pt idx="5">
                  <c:v>460</c:v>
                </c:pt>
              </c:numCache>
            </c:numRef>
          </c:val>
          <c:extLst>
            <c:ext xmlns:c16="http://schemas.microsoft.com/office/drawing/2014/chart" uri="{C3380CC4-5D6E-409C-BE32-E72D297353CC}">
              <c16:uniqueId val="{0000000C-7A2C-4AE5-A348-ADFE7D671ED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50000"/>
              </a:schemeClr>
            </a:solidFill>
          </c:spPr>
          <c:dPt>
            <c:idx val="0"/>
            <c:bubble3D val="0"/>
            <c:spPr>
              <a:solidFill>
                <a:srgbClr val="E6AF00"/>
              </a:solidFill>
              <a:ln w="19050">
                <a:solidFill>
                  <a:schemeClr val="lt1"/>
                </a:solidFill>
              </a:ln>
              <a:effectLst/>
            </c:spPr>
            <c:extLst>
              <c:ext xmlns:c16="http://schemas.microsoft.com/office/drawing/2014/chart" uri="{C3380CC4-5D6E-409C-BE32-E72D297353CC}">
                <c16:uniqueId val="{00000001-1138-4B27-AFC0-04C84460D270}"/>
              </c:ext>
            </c:extLst>
          </c:dPt>
          <c:dPt>
            <c:idx val="1"/>
            <c:bubble3D val="0"/>
            <c:spPr>
              <a:solidFill>
                <a:srgbClr val="FFC91D"/>
              </a:solidFill>
              <a:ln w="19050">
                <a:solidFill>
                  <a:schemeClr val="lt1"/>
                </a:solidFill>
              </a:ln>
              <a:effectLst/>
            </c:spPr>
            <c:extLst>
              <c:ext xmlns:c16="http://schemas.microsoft.com/office/drawing/2014/chart" uri="{C3380CC4-5D6E-409C-BE32-E72D297353CC}">
                <c16:uniqueId val="{00000003-1138-4B27-AFC0-04C84460D270}"/>
              </c:ext>
            </c:extLst>
          </c:dPt>
          <c:dPt>
            <c:idx val="2"/>
            <c:bubble3D val="0"/>
            <c:spPr>
              <a:solidFill>
                <a:srgbClr val="FFDD71"/>
              </a:solidFill>
              <a:ln w="19050">
                <a:solidFill>
                  <a:schemeClr val="lt1"/>
                </a:solidFill>
              </a:ln>
              <a:effectLst/>
            </c:spPr>
            <c:extLst>
              <c:ext xmlns:c16="http://schemas.microsoft.com/office/drawing/2014/chart" uri="{C3380CC4-5D6E-409C-BE32-E72D297353CC}">
                <c16:uniqueId val="{00000005-1138-4B27-AFC0-04C84460D270}"/>
              </c:ext>
            </c:extLst>
          </c:dPt>
          <c:dPt>
            <c:idx val="3"/>
            <c:bubble3D val="0"/>
            <c:spPr>
              <a:solidFill>
                <a:srgbClr val="FFEBAB"/>
              </a:solidFill>
              <a:ln w="19050">
                <a:solidFill>
                  <a:schemeClr val="lt1"/>
                </a:solidFill>
              </a:ln>
              <a:effectLst/>
            </c:spPr>
            <c:extLst>
              <c:ext xmlns:c16="http://schemas.microsoft.com/office/drawing/2014/chart" uri="{C3380CC4-5D6E-409C-BE32-E72D297353CC}">
                <c16:uniqueId val="{00000007-1138-4B27-AFC0-04C84460D270}"/>
              </c:ext>
            </c:extLst>
          </c:dPt>
          <c:dPt>
            <c:idx val="4"/>
            <c:bubble3D val="0"/>
            <c:spPr>
              <a:solidFill>
                <a:srgbClr val="FFF6D9"/>
              </a:solidFill>
              <a:ln w="19050">
                <a:solidFill>
                  <a:schemeClr val="lt1"/>
                </a:solidFill>
              </a:ln>
              <a:effectLst/>
            </c:spPr>
            <c:extLst>
              <c:ext xmlns:c16="http://schemas.microsoft.com/office/drawing/2014/chart" uri="{C3380CC4-5D6E-409C-BE32-E72D297353CC}">
                <c16:uniqueId val="{00000009-1138-4B27-AFC0-04C84460D270}"/>
              </c:ext>
            </c:extLst>
          </c:dPt>
          <c:dPt>
            <c:idx val="5"/>
            <c:bubble3D val="0"/>
            <c:spPr>
              <a:solidFill>
                <a:srgbClr val="F1FED2"/>
              </a:solidFill>
              <a:ln w="19050">
                <a:solidFill>
                  <a:schemeClr val="lt1"/>
                </a:solidFill>
              </a:ln>
              <a:effectLst/>
            </c:spPr>
            <c:extLst>
              <c:ext xmlns:c16="http://schemas.microsoft.com/office/drawing/2014/chart" uri="{C3380CC4-5D6E-409C-BE32-E72D297353CC}">
                <c16:uniqueId val="{0000000B-1138-4B27-AFC0-04C84460D270}"/>
              </c:ext>
            </c:extLst>
          </c:dPt>
          <c:cat>
            <c:strRef>
              <c:f>Calculations!$M$35:$M$40</c:f>
              <c:strCache>
                <c:ptCount val="3"/>
                <c:pt idx="0">
                  <c:v>Stock Portfolio</c:v>
                </c:pt>
                <c:pt idx="1">
                  <c:v>Retirement Account</c:v>
                </c:pt>
                <c:pt idx="2">
                  <c:v>Emergency Fund</c:v>
                </c:pt>
              </c:strCache>
            </c:strRef>
          </c:cat>
          <c:val>
            <c:numRef>
              <c:f>Calculations!$N$35:$N$40</c:f>
              <c:numCache>
                <c:formatCode>_ * #,##0_ ;_ * \-#,##0_ ;_ * "-"??_ ;_ @_ </c:formatCode>
                <c:ptCount val="6"/>
                <c:pt idx="0">
                  <c:v>500</c:v>
                </c:pt>
                <c:pt idx="1">
                  <c:v>400</c:v>
                </c:pt>
                <c:pt idx="2">
                  <c:v>140</c:v>
                </c:pt>
                <c:pt idx="3">
                  <c:v>0</c:v>
                </c:pt>
                <c:pt idx="4">
                  <c:v>0</c:v>
                </c:pt>
                <c:pt idx="5">
                  <c:v>0</c:v>
                </c:pt>
              </c:numCache>
            </c:numRef>
          </c:val>
          <c:extLst>
            <c:ext xmlns:c16="http://schemas.microsoft.com/office/drawing/2014/chart" uri="{C3380CC4-5D6E-409C-BE32-E72D297353CC}">
              <c16:uniqueId val="{0000000C-1138-4B27-AFC0-04C84460D2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00B050"/>
            </a:solidFill>
            <a:ln>
              <a:noFill/>
            </a:ln>
            <a:effectLst/>
          </c:spPr>
          <c:invertIfNegative val="0"/>
          <c:dPt>
            <c:idx val="1"/>
            <c:invertIfNegative val="0"/>
            <c:bubble3D val="0"/>
            <c:spPr>
              <a:solidFill>
                <a:srgbClr val="FF3399"/>
              </a:solidFill>
              <a:ln>
                <a:noFill/>
              </a:ln>
              <a:effectLst/>
            </c:spPr>
            <c:extLst>
              <c:ext xmlns:c16="http://schemas.microsoft.com/office/drawing/2014/chart" uri="{C3380CC4-5D6E-409C-BE32-E72D297353CC}">
                <c16:uniqueId val="{00000001-A388-467F-8CC5-DEEFA75A5BA9}"/>
              </c:ext>
            </c:extLst>
          </c:dPt>
          <c:dPt>
            <c:idx val="2"/>
            <c:invertIfNegative val="0"/>
            <c:bubble3D val="0"/>
            <c:spPr>
              <a:solidFill>
                <a:srgbClr val="FFC000"/>
              </a:solidFill>
              <a:ln>
                <a:noFill/>
              </a:ln>
              <a:effectLst/>
            </c:spPr>
            <c:extLst>
              <c:ext xmlns:c16="http://schemas.microsoft.com/office/drawing/2014/chart" uri="{C3380CC4-5D6E-409C-BE32-E72D297353CC}">
                <c16:uniqueId val="{00000003-A388-467F-8CC5-DEEFA75A5BA9}"/>
              </c:ext>
            </c:extLst>
          </c:dPt>
          <c:dPt>
            <c:idx val="5"/>
            <c:invertIfNegative val="0"/>
            <c:bubble3D val="0"/>
            <c:spPr>
              <a:solidFill>
                <a:srgbClr val="FF3399"/>
              </a:solidFill>
              <a:ln>
                <a:noFill/>
              </a:ln>
              <a:effectLst/>
            </c:spPr>
            <c:extLst>
              <c:ext xmlns:c16="http://schemas.microsoft.com/office/drawing/2014/chart" uri="{C3380CC4-5D6E-409C-BE32-E72D297353CC}">
                <c16:uniqueId val="{00000005-A388-467F-8CC5-DEEFA75A5BA9}"/>
              </c:ext>
            </c:extLst>
          </c:dPt>
          <c:dPt>
            <c:idx val="6"/>
            <c:invertIfNegative val="0"/>
            <c:bubble3D val="0"/>
            <c:spPr>
              <a:solidFill>
                <a:srgbClr val="FFC000"/>
              </a:solidFill>
              <a:ln>
                <a:noFill/>
              </a:ln>
              <a:effectLst/>
            </c:spPr>
            <c:extLst>
              <c:ext xmlns:c16="http://schemas.microsoft.com/office/drawing/2014/chart" uri="{C3380CC4-5D6E-409C-BE32-E72D297353CC}">
                <c16:uniqueId val="{00000007-A388-467F-8CC5-DEEFA75A5BA9}"/>
              </c:ext>
            </c:extLst>
          </c:dPt>
          <c:dPt>
            <c:idx val="9"/>
            <c:invertIfNegative val="0"/>
            <c:bubble3D val="0"/>
            <c:spPr>
              <a:solidFill>
                <a:srgbClr val="FF3399"/>
              </a:solidFill>
              <a:ln>
                <a:noFill/>
              </a:ln>
              <a:effectLst/>
            </c:spPr>
            <c:extLst>
              <c:ext xmlns:c16="http://schemas.microsoft.com/office/drawing/2014/chart" uri="{C3380CC4-5D6E-409C-BE32-E72D297353CC}">
                <c16:uniqueId val="{00000009-A388-467F-8CC5-DEEFA75A5BA9}"/>
              </c:ext>
            </c:extLst>
          </c:dPt>
          <c:dPt>
            <c:idx val="10"/>
            <c:invertIfNegative val="0"/>
            <c:bubble3D val="0"/>
            <c:spPr>
              <a:solidFill>
                <a:srgbClr val="FFC000"/>
              </a:solidFill>
              <a:ln>
                <a:noFill/>
              </a:ln>
              <a:effectLst/>
            </c:spPr>
            <c:extLst>
              <c:ext xmlns:c16="http://schemas.microsoft.com/office/drawing/2014/chart" uri="{C3380CC4-5D6E-409C-BE32-E72D297353CC}">
                <c16:uniqueId val="{0000000B-A388-467F-8CC5-DEEFA75A5BA9}"/>
              </c:ext>
            </c:extLst>
          </c:dPt>
          <c:dPt>
            <c:idx val="13"/>
            <c:invertIfNegative val="0"/>
            <c:bubble3D val="0"/>
            <c:spPr>
              <a:solidFill>
                <a:srgbClr val="FF3399"/>
              </a:solidFill>
              <a:ln>
                <a:noFill/>
              </a:ln>
              <a:effectLst/>
            </c:spPr>
            <c:extLst>
              <c:ext xmlns:c16="http://schemas.microsoft.com/office/drawing/2014/chart" uri="{C3380CC4-5D6E-409C-BE32-E72D297353CC}">
                <c16:uniqueId val="{0000000D-A388-467F-8CC5-DEEFA75A5BA9}"/>
              </c:ext>
            </c:extLst>
          </c:dPt>
          <c:dPt>
            <c:idx val="14"/>
            <c:invertIfNegative val="0"/>
            <c:bubble3D val="0"/>
            <c:spPr>
              <a:solidFill>
                <a:srgbClr val="FFC000"/>
              </a:solidFill>
              <a:ln>
                <a:noFill/>
              </a:ln>
              <a:effectLst/>
            </c:spPr>
            <c:extLst>
              <c:ext xmlns:c16="http://schemas.microsoft.com/office/drawing/2014/chart" uri="{C3380CC4-5D6E-409C-BE32-E72D297353CC}">
                <c16:uniqueId val="{0000000F-A388-467F-8CC5-DEEFA75A5BA9}"/>
              </c:ext>
            </c:extLst>
          </c:dPt>
          <c:dPt>
            <c:idx val="17"/>
            <c:invertIfNegative val="0"/>
            <c:bubble3D val="0"/>
            <c:spPr>
              <a:solidFill>
                <a:srgbClr val="FF3399"/>
              </a:solidFill>
              <a:ln>
                <a:noFill/>
              </a:ln>
              <a:effectLst/>
            </c:spPr>
            <c:extLst>
              <c:ext xmlns:c16="http://schemas.microsoft.com/office/drawing/2014/chart" uri="{C3380CC4-5D6E-409C-BE32-E72D297353CC}">
                <c16:uniqueId val="{00000011-A388-467F-8CC5-DEEFA75A5BA9}"/>
              </c:ext>
            </c:extLst>
          </c:dPt>
          <c:dPt>
            <c:idx val="18"/>
            <c:invertIfNegative val="0"/>
            <c:bubble3D val="0"/>
            <c:spPr>
              <a:solidFill>
                <a:srgbClr val="FFC000"/>
              </a:solidFill>
              <a:ln>
                <a:noFill/>
              </a:ln>
              <a:effectLst/>
            </c:spPr>
            <c:extLst>
              <c:ext xmlns:c16="http://schemas.microsoft.com/office/drawing/2014/chart" uri="{C3380CC4-5D6E-409C-BE32-E72D297353CC}">
                <c16:uniqueId val="{00000013-A388-467F-8CC5-DEEFA75A5BA9}"/>
              </c:ext>
            </c:extLst>
          </c:dPt>
          <c:dPt>
            <c:idx val="21"/>
            <c:invertIfNegative val="0"/>
            <c:bubble3D val="0"/>
            <c:spPr>
              <a:solidFill>
                <a:srgbClr val="FF3399"/>
              </a:solidFill>
              <a:ln>
                <a:noFill/>
              </a:ln>
              <a:effectLst/>
            </c:spPr>
            <c:extLst>
              <c:ext xmlns:c16="http://schemas.microsoft.com/office/drawing/2014/chart" uri="{C3380CC4-5D6E-409C-BE32-E72D297353CC}">
                <c16:uniqueId val="{00000015-A388-467F-8CC5-DEEFA75A5BA9}"/>
              </c:ext>
            </c:extLst>
          </c:dPt>
          <c:dPt>
            <c:idx val="22"/>
            <c:invertIfNegative val="0"/>
            <c:bubble3D val="0"/>
            <c:spPr>
              <a:solidFill>
                <a:srgbClr val="FFC000"/>
              </a:solidFill>
              <a:ln>
                <a:noFill/>
              </a:ln>
              <a:effectLst/>
            </c:spPr>
            <c:extLst>
              <c:ext xmlns:c16="http://schemas.microsoft.com/office/drawing/2014/chart" uri="{C3380CC4-5D6E-409C-BE32-E72D297353CC}">
                <c16:uniqueId val="{00000017-A388-467F-8CC5-DEEFA75A5BA9}"/>
              </c:ext>
            </c:extLst>
          </c:dPt>
          <c:dPt>
            <c:idx val="25"/>
            <c:invertIfNegative val="0"/>
            <c:bubble3D val="0"/>
            <c:spPr>
              <a:solidFill>
                <a:srgbClr val="FF3399"/>
              </a:solidFill>
              <a:ln>
                <a:noFill/>
              </a:ln>
              <a:effectLst/>
            </c:spPr>
            <c:extLst>
              <c:ext xmlns:c16="http://schemas.microsoft.com/office/drawing/2014/chart" uri="{C3380CC4-5D6E-409C-BE32-E72D297353CC}">
                <c16:uniqueId val="{00000019-A388-467F-8CC5-DEEFA75A5BA9}"/>
              </c:ext>
            </c:extLst>
          </c:dPt>
          <c:dPt>
            <c:idx val="26"/>
            <c:invertIfNegative val="0"/>
            <c:bubble3D val="0"/>
            <c:spPr>
              <a:solidFill>
                <a:srgbClr val="FFC000"/>
              </a:solidFill>
              <a:ln>
                <a:noFill/>
              </a:ln>
              <a:effectLst/>
            </c:spPr>
            <c:extLst>
              <c:ext xmlns:c16="http://schemas.microsoft.com/office/drawing/2014/chart" uri="{C3380CC4-5D6E-409C-BE32-E72D297353CC}">
                <c16:uniqueId val="{0000001B-A388-467F-8CC5-DEEFA75A5BA9}"/>
              </c:ext>
            </c:extLst>
          </c:dPt>
          <c:dPt>
            <c:idx val="29"/>
            <c:invertIfNegative val="0"/>
            <c:bubble3D val="0"/>
            <c:spPr>
              <a:solidFill>
                <a:srgbClr val="FF3399"/>
              </a:solidFill>
              <a:ln>
                <a:noFill/>
              </a:ln>
              <a:effectLst/>
            </c:spPr>
            <c:extLst>
              <c:ext xmlns:c16="http://schemas.microsoft.com/office/drawing/2014/chart" uri="{C3380CC4-5D6E-409C-BE32-E72D297353CC}">
                <c16:uniqueId val="{0000001D-A388-467F-8CC5-DEEFA75A5BA9}"/>
              </c:ext>
            </c:extLst>
          </c:dPt>
          <c:dPt>
            <c:idx val="30"/>
            <c:invertIfNegative val="0"/>
            <c:bubble3D val="0"/>
            <c:spPr>
              <a:solidFill>
                <a:srgbClr val="FFC000"/>
              </a:solidFill>
              <a:ln>
                <a:noFill/>
              </a:ln>
              <a:effectLst/>
            </c:spPr>
            <c:extLst>
              <c:ext xmlns:c16="http://schemas.microsoft.com/office/drawing/2014/chart" uri="{C3380CC4-5D6E-409C-BE32-E72D297353CC}">
                <c16:uniqueId val="{0000001F-A388-467F-8CC5-DEEFA75A5BA9}"/>
              </c:ext>
            </c:extLst>
          </c:dPt>
          <c:dPt>
            <c:idx val="33"/>
            <c:invertIfNegative val="0"/>
            <c:bubble3D val="0"/>
            <c:spPr>
              <a:solidFill>
                <a:srgbClr val="FF3399"/>
              </a:solidFill>
              <a:ln>
                <a:noFill/>
              </a:ln>
              <a:effectLst/>
            </c:spPr>
            <c:extLst>
              <c:ext xmlns:c16="http://schemas.microsoft.com/office/drawing/2014/chart" uri="{C3380CC4-5D6E-409C-BE32-E72D297353CC}">
                <c16:uniqueId val="{00000021-A388-467F-8CC5-DEEFA75A5BA9}"/>
              </c:ext>
            </c:extLst>
          </c:dPt>
          <c:dPt>
            <c:idx val="34"/>
            <c:invertIfNegative val="0"/>
            <c:bubble3D val="0"/>
            <c:spPr>
              <a:solidFill>
                <a:srgbClr val="FFC000"/>
              </a:solidFill>
              <a:ln>
                <a:noFill/>
              </a:ln>
              <a:effectLst/>
            </c:spPr>
            <c:extLst>
              <c:ext xmlns:c16="http://schemas.microsoft.com/office/drawing/2014/chart" uri="{C3380CC4-5D6E-409C-BE32-E72D297353CC}">
                <c16:uniqueId val="{00000023-A388-467F-8CC5-DEEFA75A5BA9}"/>
              </c:ext>
            </c:extLst>
          </c:dPt>
          <c:dPt>
            <c:idx val="37"/>
            <c:invertIfNegative val="0"/>
            <c:bubble3D val="0"/>
            <c:spPr>
              <a:solidFill>
                <a:srgbClr val="FF3399"/>
              </a:solidFill>
              <a:ln>
                <a:noFill/>
              </a:ln>
              <a:effectLst/>
            </c:spPr>
            <c:extLst>
              <c:ext xmlns:c16="http://schemas.microsoft.com/office/drawing/2014/chart" uri="{C3380CC4-5D6E-409C-BE32-E72D297353CC}">
                <c16:uniqueId val="{00000025-A388-467F-8CC5-DEEFA75A5BA9}"/>
              </c:ext>
            </c:extLst>
          </c:dPt>
          <c:dPt>
            <c:idx val="38"/>
            <c:invertIfNegative val="0"/>
            <c:bubble3D val="0"/>
            <c:spPr>
              <a:solidFill>
                <a:srgbClr val="FFC000"/>
              </a:solidFill>
              <a:ln>
                <a:noFill/>
              </a:ln>
              <a:effectLst/>
            </c:spPr>
            <c:extLst>
              <c:ext xmlns:c16="http://schemas.microsoft.com/office/drawing/2014/chart" uri="{C3380CC4-5D6E-409C-BE32-E72D297353CC}">
                <c16:uniqueId val="{00000027-A388-467F-8CC5-DEEFA75A5BA9}"/>
              </c:ext>
            </c:extLst>
          </c:dPt>
          <c:dPt>
            <c:idx val="41"/>
            <c:invertIfNegative val="0"/>
            <c:bubble3D val="0"/>
            <c:spPr>
              <a:solidFill>
                <a:srgbClr val="FF3399"/>
              </a:solidFill>
              <a:ln>
                <a:noFill/>
              </a:ln>
              <a:effectLst/>
            </c:spPr>
            <c:extLst>
              <c:ext xmlns:c16="http://schemas.microsoft.com/office/drawing/2014/chart" uri="{C3380CC4-5D6E-409C-BE32-E72D297353CC}">
                <c16:uniqueId val="{00000029-A388-467F-8CC5-DEEFA75A5BA9}"/>
              </c:ext>
            </c:extLst>
          </c:dPt>
          <c:dPt>
            <c:idx val="42"/>
            <c:invertIfNegative val="0"/>
            <c:bubble3D val="0"/>
            <c:spPr>
              <a:solidFill>
                <a:srgbClr val="FFC000"/>
              </a:solidFill>
              <a:ln>
                <a:noFill/>
              </a:ln>
              <a:effectLst/>
            </c:spPr>
            <c:extLst>
              <c:ext xmlns:c16="http://schemas.microsoft.com/office/drawing/2014/chart" uri="{C3380CC4-5D6E-409C-BE32-E72D297353CC}">
                <c16:uniqueId val="{0000002B-A388-467F-8CC5-DEEFA75A5BA9}"/>
              </c:ext>
            </c:extLst>
          </c:dPt>
          <c:dPt>
            <c:idx val="45"/>
            <c:invertIfNegative val="0"/>
            <c:bubble3D val="0"/>
            <c:spPr>
              <a:solidFill>
                <a:srgbClr val="FF3399"/>
              </a:solidFill>
              <a:ln>
                <a:noFill/>
              </a:ln>
              <a:effectLst/>
            </c:spPr>
            <c:extLst>
              <c:ext xmlns:c16="http://schemas.microsoft.com/office/drawing/2014/chart" uri="{C3380CC4-5D6E-409C-BE32-E72D297353CC}">
                <c16:uniqueId val="{0000002D-A388-467F-8CC5-DEEFA75A5BA9}"/>
              </c:ext>
            </c:extLst>
          </c:dPt>
          <c:dPt>
            <c:idx val="46"/>
            <c:invertIfNegative val="0"/>
            <c:bubble3D val="0"/>
            <c:spPr>
              <a:solidFill>
                <a:srgbClr val="FFC000"/>
              </a:solidFill>
              <a:ln>
                <a:noFill/>
              </a:ln>
              <a:effectLst/>
            </c:spPr>
            <c:extLst>
              <c:ext xmlns:c16="http://schemas.microsoft.com/office/drawing/2014/chart" uri="{C3380CC4-5D6E-409C-BE32-E72D297353CC}">
                <c16:uniqueId val="{0000002F-A388-467F-8CC5-DEEFA75A5BA9}"/>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Calculations!$N$54:$N$101</c:f>
              <c:numCache>
                <c:formatCode>_ * #,##0_ ;_ * \-#,##0_ ;_ * "-"??_ ;_ @_ </c:formatCode>
                <c:ptCount val="48"/>
                <c:pt idx="0">
                  <c:v>0</c:v>
                </c:pt>
                <c:pt idx="1">
                  <c:v>0</c:v>
                </c:pt>
                <c:pt idx="2">
                  <c:v>0</c:v>
                </c:pt>
                <c:pt idx="4">
                  <c:v>4050</c:v>
                </c:pt>
                <c:pt idx="5">
                  <c:v>2900</c:v>
                </c:pt>
                <c:pt idx="6">
                  <c:v>1040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A388-467F-8CC5-DEEFA75A5BA9}"/>
            </c:ext>
          </c:extLst>
        </c:ser>
        <c:ser>
          <c:idx val="1"/>
          <c:order val="1"/>
          <c:spPr>
            <a:solidFill>
              <a:srgbClr val="D1FFE6"/>
            </a:solidFill>
            <a:ln>
              <a:noFill/>
            </a:ln>
            <a:effectLst/>
          </c:spPr>
          <c:invertIfNegative val="0"/>
          <c:dPt>
            <c:idx val="1"/>
            <c:invertIfNegative val="0"/>
            <c:bubble3D val="0"/>
            <c:spPr>
              <a:solidFill>
                <a:srgbClr val="FFCDE6"/>
              </a:solidFill>
              <a:ln>
                <a:noFill/>
              </a:ln>
              <a:effectLst/>
            </c:spPr>
            <c:extLst>
              <c:ext xmlns:c16="http://schemas.microsoft.com/office/drawing/2014/chart" uri="{C3380CC4-5D6E-409C-BE32-E72D297353CC}">
                <c16:uniqueId val="{00000032-A388-467F-8CC5-DEEFA75A5BA9}"/>
              </c:ext>
            </c:extLst>
          </c:dPt>
          <c:dPt>
            <c:idx val="2"/>
            <c:invertIfNegative val="0"/>
            <c:bubble3D val="0"/>
            <c:spPr>
              <a:solidFill>
                <a:srgbClr val="FFF3CD"/>
              </a:solidFill>
              <a:ln>
                <a:noFill/>
              </a:ln>
              <a:effectLst/>
            </c:spPr>
            <c:extLst>
              <c:ext xmlns:c16="http://schemas.microsoft.com/office/drawing/2014/chart" uri="{C3380CC4-5D6E-409C-BE32-E72D297353CC}">
                <c16:uniqueId val="{00000034-A388-467F-8CC5-DEEFA75A5BA9}"/>
              </c:ext>
            </c:extLst>
          </c:dPt>
          <c:dPt>
            <c:idx val="5"/>
            <c:invertIfNegative val="0"/>
            <c:bubble3D val="0"/>
            <c:spPr>
              <a:solidFill>
                <a:srgbClr val="FFCDE6"/>
              </a:solidFill>
              <a:ln>
                <a:noFill/>
              </a:ln>
              <a:effectLst/>
            </c:spPr>
            <c:extLst>
              <c:ext xmlns:c16="http://schemas.microsoft.com/office/drawing/2014/chart" uri="{C3380CC4-5D6E-409C-BE32-E72D297353CC}">
                <c16:uniqueId val="{00000036-A388-467F-8CC5-DEEFA75A5BA9}"/>
              </c:ext>
            </c:extLst>
          </c:dPt>
          <c:dPt>
            <c:idx val="6"/>
            <c:invertIfNegative val="0"/>
            <c:bubble3D val="0"/>
            <c:spPr>
              <a:solidFill>
                <a:srgbClr val="FFF3CD"/>
              </a:solidFill>
              <a:ln>
                <a:noFill/>
              </a:ln>
              <a:effectLst/>
            </c:spPr>
            <c:extLst>
              <c:ext xmlns:c16="http://schemas.microsoft.com/office/drawing/2014/chart" uri="{C3380CC4-5D6E-409C-BE32-E72D297353CC}">
                <c16:uniqueId val="{00000038-A388-467F-8CC5-DEEFA75A5BA9}"/>
              </c:ext>
            </c:extLst>
          </c:dPt>
          <c:dPt>
            <c:idx val="9"/>
            <c:invertIfNegative val="0"/>
            <c:bubble3D val="0"/>
            <c:spPr>
              <a:solidFill>
                <a:srgbClr val="FFCDE6"/>
              </a:solidFill>
              <a:ln>
                <a:noFill/>
              </a:ln>
              <a:effectLst/>
            </c:spPr>
            <c:extLst>
              <c:ext xmlns:c16="http://schemas.microsoft.com/office/drawing/2014/chart" uri="{C3380CC4-5D6E-409C-BE32-E72D297353CC}">
                <c16:uniqueId val="{0000003A-A388-467F-8CC5-DEEFA75A5BA9}"/>
              </c:ext>
            </c:extLst>
          </c:dPt>
          <c:dPt>
            <c:idx val="10"/>
            <c:invertIfNegative val="0"/>
            <c:bubble3D val="0"/>
            <c:spPr>
              <a:solidFill>
                <a:srgbClr val="FFF3CD"/>
              </a:solidFill>
              <a:ln>
                <a:noFill/>
              </a:ln>
              <a:effectLst/>
            </c:spPr>
            <c:extLst>
              <c:ext xmlns:c16="http://schemas.microsoft.com/office/drawing/2014/chart" uri="{C3380CC4-5D6E-409C-BE32-E72D297353CC}">
                <c16:uniqueId val="{0000003C-A388-467F-8CC5-DEEFA75A5BA9}"/>
              </c:ext>
            </c:extLst>
          </c:dPt>
          <c:dPt>
            <c:idx val="13"/>
            <c:invertIfNegative val="0"/>
            <c:bubble3D val="0"/>
            <c:spPr>
              <a:solidFill>
                <a:srgbClr val="FFCDE6"/>
              </a:solidFill>
              <a:ln>
                <a:noFill/>
              </a:ln>
              <a:effectLst/>
            </c:spPr>
            <c:extLst>
              <c:ext xmlns:c16="http://schemas.microsoft.com/office/drawing/2014/chart" uri="{C3380CC4-5D6E-409C-BE32-E72D297353CC}">
                <c16:uniqueId val="{0000003E-A388-467F-8CC5-DEEFA75A5BA9}"/>
              </c:ext>
            </c:extLst>
          </c:dPt>
          <c:dPt>
            <c:idx val="14"/>
            <c:invertIfNegative val="0"/>
            <c:bubble3D val="0"/>
            <c:spPr>
              <a:solidFill>
                <a:srgbClr val="FFF3CD"/>
              </a:solidFill>
              <a:ln>
                <a:noFill/>
              </a:ln>
              <a:effectLst/>
            </c:spPr>
            <c:extLst>
              <c:ext xmlns:c16="http://schemas.microsoft.com/office/drawing/2014/chart" uri="{C3380CC4-5D6E-409C-BE32-E72D297353CC}">
                <c16:uniqueId val="{00000040-A388-467F-8CC5-DEEFA75A5BA9}"/>
              </c:ext>
            </c:extLst>
          </c:dPt>
          <c:dPt>
            <c:idx val="17"/>
            <c:invertIfNegative val="0"/>
            <c:bubble3D val="0"/>
            <c:spPr>
              <a:solidFill>
                <a:srgbClr val="FFCDE6"/>
              </a:solidFill>
              <a:ln>
                <a:noFill/>
              </a:ln>
              <a:effectLst/>
            </c:spPr>
            <c:extLst>
              <c:ext xmlns:c16="http://schemas.microsoft.com/office/drawing/2014/chart" uri="{C3380CC4-5D6E-409C-BE32-E72D297353CC}">
                <c16:uniqueId val="{00000042-A388-467F-8CC5-DEEFA75A5BA9}"/>
              </c:ext>
            </c:extLst>
          </c:dPt>
          <c:dPt>
            <c:idx val="18"/>
            <c:invertIfNegative val="0"/>
            <c:bubble3D val="0"/>
            <c:spPr>
              <a:solidFill>
                <a:srgbClr val="FFF3CD"/>
              </a:solidFill>
              <a:ln>
                <a:noFill/>
              </a:ln>
              <a:effectLst/>
            </c:spPr>
            <c:extLst>
              <c:ext xmlns:c16="http://schemas.microsoft.com/office/drawing/2014/chart" uri="{C3380CC4-5D6E-409C-BE32-E72D297353CC}">
                <c16:uniqueId val="{00000044-A388-467F-8CC5-DEEFA75A5BA9}"/>
              </c:ext>
            </c:extLst>
          </c:dPt>
          <c:dPt>
            <c:idx val="21"/>
            <c:invertIfNegative val="0"/>
            <c:bubble3D val="0"/>
            <c:spPr>
              <a:solidFill>
                <a:srgbClr val="FFCDE6"/>
              </a:solidFill>
              <a:ln>
                <a:noFill/>
              </a:ln>
              <a:effectLst/>
            </c:spPr>
            <c:extLst>
              <c:ext xmlns:c16="http://schemas.microsoft.com/office/drawing/2014/chart" uri="{C3380CC4-5D6E-409C-BE32-E72D297353CC}">
                <c16:uniqueId val="{00000046-A388-467F-8CC5-DEEFA75A5BA9}"/>
              </c:ext>
            </c:extLst>
          </c:dPt>
          <c:dPt>
            <c:idx val="22"/>
            <c:invertIfNegative val="0"/>
            <c:bubble3D val="0"/>
            <c:spPr>
              <a:solidFill>
                <a:srgbClr val="FFF3CD"/>
              </a:solidFill>
              <a:ln>
                <a:noFill/>
              </a:ln>
              <a:effectLst/>
            </c:spPr>
            <c:extLst>
              <c:ext xmlns:c16="http://schemas.microsoft.com/office/drawing/2014/chart" uri="{C3380CC4-5D6E-409C-BE32-E72D297353CC}">
                <c16:uniqueId val="{00000048-A388-467F-8CC5-DEEFA75A5BA9}"/>
              </c:ext>
            </c:extLst>
          </c:dPt>
          <c:dPt>
            <c:idx val="25"/>
            <c:invertIfNegative val="0"/>
            <c:bubble3D val="0"/>
            <c:spPr>
              <a:solidFill>
                <a:srgbClr val="FFCDE6"/>
              </a:solidFill>
              <a:ln>
                <a:noFill/>
              </a:ln>
              <a:effectLst/>
            </c:spPr>
            <c:extLst>
              <c:ext xmlns:c16="http://schemas.microsoft.com/office/drawing/2014/chart" uri="{C3380CC4-5D6E-409C-BE32-E72D297353CC}">
                <c16:uniqueId val="{0000004A-A388-467F-8CC5-DEEFA75A5BA9}"/>
              </c:ext>
            </c:extLst>
          </c:dPt>
          <c:dPt>
            <c:idx val="26"/>
            <c:invertIfNegative val="0"/>
            <c:bubble3D val="0"/>
            <c:spPr>
              <a:solidFill>
                <a:srgbClr val="FFF3CD"/>
              </a:solidFill>
              <a:ln>
                <a:noFill/>
              </a:ln>
              <a:effectLst/>
            </c:spPr>
            <c:extLst>
              <c:ext xmlns:c16="http://schemas.microsoft.com/office/drawing/2014/chart" uri="{C3380CC4-5D6E-409C-BE32-E72D297353CC}">
                <c16:uniqueId val="{0000004C-A388-467F-8CC5-DEEFA75A5BA9}"/>
              </c:ext>
            </c:extLst>
          </c:dPt>
          <c:dPt>
            <c:idx val="29"/>
            <c:invertIfNegative val="0"/>
            <c:bubble3D val="0"/>
            <c:spPr>
              <a:solidFill>
                <a:srgbClr val="FFCDE6"/>
              </a:solidFill>
              <a:ln>
                <a:noFill/>
              </a:ln>
              <a:effectLst/>
            </c:spPr>
            <c:extLst>
              <c:ext xmlns:c16="http://schemas.microsoft.com/office/drawing/2014/chart" uri="{C3380CC4-5D6E-409C-BE32-E72D297353CC}">
                <c16:uniqueId val="{0000004E-A388-467F-8CC5-DEEFA75A5BA9}"/>
              </c:ext>
            </c:extLst>
          </c:dPt>
          <c:dPt>
            <c:idx val="30"/>
            <c:invertIfNegative val="0"/>
            <c:bubble3D val="0"/>
            <c:spPr>
              <a:solidFill>
                <a:srgbClr val="FFF3CD"/>
              </a:solidFill>
              <a:ln>
                <a:noFill/>
              </a:ln>
              <a:effectLst/>
            </c:spPr>
            <c:extLst>
              <c:ext xmlns:c16="http://schemas.microsoft.com/office/drawing/2014/chart" uri="{C3380CC4-5D6E-409C-BE32-E72D297353CC}">
                <c16:uniqueId val="{00000050-A388-467F-8CC5-DEEFA75A5BA9}"/>
              </c:ext>
            </c:extLst>
          </c:dPt>
          <c:dPt>
            <c:idx val="33"/>
            <c:invertIfNegative val="0"/>
            <c:bubble3D val="0"/>
            <c:spPr>
              <a:solidFill>
                <a:srgbClr val="FFCDE6"/>
              </a:solidFill>
              <a:ln>
                <a:noFill/>
              </a:ln>
              <a:effectLst/>
            </c:spPr>
            <c:extLst>
              <c:ext xmlns:c16="http://schemas.microsoft.com/office/drawing/2014/chart" uri="{C3380CC4-5D6E-409C-BE32-E72D297353CC}">
                <c16:uniqueId val="{00000052-A388-467F-8CC5-DEEFA75A5BA9}"/>
              </c:ext>
            </c:extLst>
          </c:dPt>
          <c:dPt>
            <c:idx val="34"/>
            <c:invertIfNegative val="0"/>
            <c:bubble3D val="0"/>
            <c:spPr>
              <a:solidFill>
                <a:srgbClr val="FFF3CD"/>
              </a:solidFill>
              <a:ln>
                <a:noFill/>
              </a:ln>
              <a:effectLst/>
            </c:spPr>
            <c:extLst>
              <c:ext xmlns:c16="http://schemas.microsoft.com/office/drawing/2014/chart" uri="{C3380CC4-5D6E-409C-BE32-E72D297353CC}">
                <c16:uniqueId val="{00000054-A388-467F-8CC5-DEEFA75A5BA9}"/>
              </c:ext>
            </c:extLst>
          </c:dPt>
          <c:dPt>
            <c:idx val="37"/>
            <c:invertIfNegative val="0"/>
            <c:bubble3D val="0"/>
            <c:spPr>
              <a:solidFill>
                <a:srgbClr val="FFCDE6"/>
              </a:solidFill>
              <a:ln>
                <a:noFill/>
              </a:ln>
              <a:effectLst/>
            </c:spPr>
            <c:extLst>
              <c:ext xmlns:c16="http://schemas.microsoft.com/office/drawing/2014/chart" uri="{C3380CC4-5D6E-409C-BE32-E72D297353CC}">
                <c16:uniqueId val="{00000056-A388-467F-8CC5-DEEFA75A5BA9}"/>
              </c:ext>
            </c:extLst>
          </c:dPt>
          <c:dPt>
            <c:idx val="38"/>
            <c:invertIfNegative val="0"/>
            <c:bubble3D val="0"/>
            <c:spPr>
              <a:solidFill>
                <a:srgbClr val="FFF3CD"/>
              </a:solidFill>
              <a:ln>
                <a:noFill/>
              </a:ln>
              <a:effectLst/>
            </c:spPr>
            <c:extLst>
              <c:ext xmlns:c16="http://schemas.microsoft.com/office/drawing/2014/chart" uri="{C3380CC4-5D6E-409C-BE32-E72D297353CC}">
                <c16:uniqueId val="{00000058-A388-467F-8CC5-DEEFA75A5BA9}"/>
              </c:ext>
            </c:extLst>
          </c:dPt>
          <c:dPt>
            <c:idx val="41"/>
            <c:invertIfNegative val="0"/>
            <c:bubble3D val="0"/>
            <c:spPr>
              <a:solidFill>
                <a:srgbClr val="FFCDE6"/>
              </a:solidFill>
              <a:ln>
                <a:noFill/>
              </a:ln>
              <a:effectLst/>
            </c:spPr>
            <c:extLst>
              <c:ext xmlns:c16="http://schemas.microsoft.com/office/drawing/2014/chart" uri="{C3380CC4-5D6E-409C-BE32-E72D297353CC}">
                <c16:uniqueId val="{0000005A-A388-467F-8CC5-DEEFA75A5BA9}"/>
              </c:ext>
            </c:extLst>
          </c:dPt>
          <c:dPt>
            <c:idx val="42"/>
            <c:invertIfNegative val="0"/>
            <c:bubble3D val="0"/>
            <c:spPr>
              <a:solidFill>
                <a:srgbClr val="FFF3CD"/>
              </a:solidFill>
              <a:ln>
                <a:noFill/>
              </a:ln>
              <a:effectLst/>
            </c:spPr>
            <c:extLst>
              <c:ext xmlns:c16="http://schemas.microsoft.com/office/drawing/2014/chart" uri="{C3380CC4-5D6E-409C-BE32-E72D297353CC}">
                <c16:uniqueId val="{0000005C-A388-467F-8CC5-DEEFA75A5BA9}"/>
              </c:ext>
            </c:extLst>
          </c:dPt>
          <c:dPt>
            <c:idx val="45"/>
            <c:invertIfNegative val="0"/>
            <c:bubble3D val="0"/>
            <c:spPr>
              <a:solidFill>
                <a:srgbClr val="FFCDE6"/>
              </a:solidFill>
              <a:ln>
                <a:noFill/>
              </a:ln>
              <a:effectLst/>
            </c:spPr>
            <c:extLst>
              <c:ext xmlns:c16="http://schemas.microsoft.com/office/drawing/2014/chart" uri="{C3380CC4-5D6E-409C-BE32-E72D297353CC}">
                <c16:uniqueId val="{0000005E-A388-467F-8CC5-DEEFA75A5BA9}"/>
              </c:ext>
            </c:extLst>
          </c:dPt>
          <c:dPt>
            <c:idx val="46"/>
            <c:invertIfNegative val="0"/>
            <c:bubble3D val="0"/>
            <c:spPr>
              <a:solidFill>
                <a:srgbClr val="FFF3CD"/>
              </a:solidFill>
              <a:ln>
                <a:noFill/>
              </a:ln>
              <a:effectLst/>
            </c:spPr>
            <c:extLst>
              <c:ext xmlns:c16="http://schemas.microsoft.com/office/drawing/2014/chart" uri="{C3380CC4-5D6E-409C-BE32-E72D297353CC}">
                <c16:uniqueId val="{00000060-A388-467F-8CC5-DEEFA75A5BA9}"/>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Calculations!$O$54:$O$101</c:f>
              <c:numCache>
                <c:formatCode>_ * #,##0_ ;_ * \-#,##0_ ;_ * "-"??_ ;_ @_ </c:formatCode>
                <c:ptCount val="48"/>
                <c:pt idx="0">
                  <c:v>0</c:v>
                </c:pt>
                <c:pt idx="1">
                  <c:v>0</c:v>
                </c:pt>
                <c:pt idx="2">
                  <c:v>0</c:v>
                </c:pt>
                <c:pt idx="4">
                  <c:v>500</c:v>
                </c:pt>
                <c:pt idx="5">
                  <c:v>0</c:v>
                </c:pt>
                <c:pt idx="6">
                  <c:v>610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A388-467F-8CC5-DEEFA75A5BA9}"/>
            </c:ext>
          </c:extLst>
        </c:ser>
        <c:ser>
          <c:idx val="2"/>
          <c:order val="2"/>
          <c:spPr>
            <a:solidFill>
              <a:srgbClr val="009A46"/>
            </a:solidFill>
            <a:ln>
              <a:noFill/>
            </a:ln>
            <a:effectLst/>
          </c:spPr>
          <c:invertIfNegative val="0"/>
          <c:dPt>
            <c:idx val="1"/>
            <c:invertIfNegative val="0"/>
            <c:bubble3D val="0"/>
            <c:spPr>
              <a:solidFill>
                <a:srgbClr val="A40052"/>
              </a:solidFill>
              <a:ln>
                <a:noFill/>
              </a:ln>
              <a:effectLst/>
            </c:spPr>
            <c:extLst>
              <c:ext xmlns:c16="http://schemas.microsoft.com/office/drawing/2014/chart" uri="{C3380CC4-5D6E-409C-BE32-E72D297353CC}">
                <c16:uniqueId val="{00000063-A388-467F-8CC5-DEEFA75A5BA9}"/>
              </c:ext>
            </c:extLst>
          </c:dPt>
          <c:dPt>
            <c:idx val="2"/>
            <c:invertIfNegative val="0"/>
            <c:bubble3D val="0"/>
            <c:spPr>
              <a:solidFill>
                <a:srgbClr val="B08600"/>
              </a:solidFill>
              <a:ln>
                <a:noFill/>
              </a:ln>
              <a:effectLst/>
            </c:spPr>
            <c:extLst>
              <c:ext xmlns:c16="http://schemas.microsoft.com/office/drawing/2014/chart" uri="{C3380CC4-5D6E-409C-BE32-E72D297353CC}">
                <c16:uniqueId val="{00000065-A388-467F-8CC5-DEEFA75A5BA9}"/>
              </c:ext>
            </c:extLst>
          </c:dPt>
          <c:dPt>
            <c:idx val="5"/>
            <c:invertIfNegative val="0"/>
            <c:bubble3D val="0"/>
            <c:spPr>
              <a:solidFill>
                <a:srgbClr val="A40052"/>
              </a:solidFill>
              <a:ln>
                <a:noFill/>
              </a:ln>
              <a:effectLst/>
            </c:spPr>
            <c:extLst>
              <c:ext xmlns:c16="http://schemas.microsoft.com/office/drawing/2014/chart" uri="{C3380CC4-5D6E-409C-BE32-E72D297353CC}">
                <c16:uniqueId val="{00000067-A388-467F-8CC5-DEEFA75A5BA9}"/>
              </c:ext>
            </c:extLst>
          </c:dPt>
          <c:dPt>
            <c:idx val="6"/>
            <c:invertIfNegative val="0"/>
            <c:bubble3D val="0"/>
            <c:spPr>
              <a:solidFill>
                <a:srgbClr val="B08600"/>
              </a:solidFill>
              <a:ln>
                <a:noFill/>
              </a:ln>
              <a:effectLst/>
            </c:spPr>
            <c:extLst>
              <c:ext xmlns:c16="http://schemas.microsoft.com/office/drawing/2014/chart" uri="{C3380CC4-5D6E-409C-BE32-E72D297353CC}">
                <c16:uniqueId val="{00000069-A388-467F-8CC5-DEEFA75A5BA9}"/>
              </c:ext>
            </c:extLst>
          </c:dPt>
          <c:dPt>
            <c:idx val="9"/>
            <c:invertIfNegative val="0"/>
            <c:bubble3D val="0"/>
            <c:spPr>
              <a:solidFill>
                <a:srgbClr val="A40052"/>
              </a:solidFill>
              <a:ln>
                <a:noFill/>
              </a:ln>
              <a:effectLst/>
            </c:spPr>
            <c:extLst>
              <c:ext xmlns:c16="http://schemas.microsoft.com/office/drawing/2014/chart" uri="{C3380CC4-5D6E-409C-BE32-E72D297353CC}">
                <c16:uniqueId val="{0000006B-A388-467F-8CC5-DEEFA75A5BA9}"/>
              </c:ext>
            </c:extLst>
          </c:dPt>
          <c:dPt>
            <c:idx val="10"/>
            <c:invertIfNegative val="0"/>
            <c:bubble3D val="0"/>
            <c:spPr>
              <a:solidFill>
                <a:srgbClr val="B08600"/>
              </a:solidFill>
              <a:ln>
                <a:noFill/>
              </a:ln>
              <a:effectLst/>
            </c:spPr>
            <c:extLst>
              <c:ext xmlns:c16="http://schemas.microsoft.com/office/drawing/2014/chart" uri="{C3380CC4-5D6E-409C-BE32-E72D297353CC}">
                <c16:uniqueId val="{0000006D-A388-467F-8CC5-DEEFA75A5BA9}"/>
              </c:ext>
            </c:extLst>
          </c:dPt>
          <c:dPt>
            <c:idx val="13"/>
            <c:invertIfNegative val="0"/>
            <c:bubble3D val="0"/>
            <c:spPr>
              <a:solidFill>
                <a:srgbClr val="A40052"/>
              </a:solidFill>
              <a:ln>
                <a:noFill/>
              </a:ln>
              <a:effectLst/>
            </c:spPr>
            <c:extLst>
              <c:ext xmlns:c16="http://schemas.microsoft.com/office/drawing/2014/chart" uri="{C3380CC4-5D6E-409C-BE32-E72D297353CC}">
                <c16:uniqueId val="{0000006F-A388-467F-8CC5-DEEFA75A5BA9}"/>
              </c:ext>
            </c:extLst>
          </c:dPt>
          <c:dPt>
            <c:idx val="14"/>
            <c:invertIfNegative val="0"/>
            <c:bubble3D val="0"/>
            <c:spPr>
              <a:solidFill>
                <a:srgbClr val="B08600"/>
              </a:solidFill>
              <a:ln>
                <a:noFill/>
              </a:ln>
              <a:effectLst/>
            </c:spPr>
            <c:extLst>
              <c:ext xmlns:c16="http://schemas.microsoft.com/office/drawing/2014/chart" uri="{C3380CC4-5D6E-409C-BE32-E72D297353CC}">
                <c16:uniqueId val="{00000071-A388-467F-8CC5-DEEFA75A5BA9}"/>
              </c:ext>
            </c:extLst>
          </c:dPt>
          <c:dPt>
            <c:idx val="17"/>
            <c:invertIfNegative val="0"/>
            <c:bubble3D val="0"/>
            <c:spPr>
              <a:solidFill>
                <a:srgbClr val="A40052"/>
              </a:solidFill>
              <a:ln>
                <a:noFill/>
              </a:ln>
              <a:effectLst/>
            </c:spPr>
            <c:extLst>
              <c:ext xmlns:c16="http://schemas.microsoft.com/office/drawing/2014/chart" uri="{C3380CC4-5D6E-409C-BE32-E72D297353CC}">
                <c16:uniqueId val="{00000073-A388-467F-8CC5-DEEFA75A5BA9}"/>
              </c:ext>
            </c:extLst>
          </c:dPt>
          <c:dPt>
            <c:idx val="18"/>
            <c:invertIfNegative val="0"/>
            <c:bubble3D val="0"/>
            <c:spPr>
              <a:solidFill>
                <a:srgbClr val="B08600"/>
              </a:solidFill>
              <a:ln>
                <a:noFill/>
              </a:ln>
              <a:effectLst/>
            </c:spPr>
            <c:extLst>
              <c:ext xmlns:c16="http://schemas.microsoft.com/office/drawing/2014/chart" uri="{C3380CC4-5D6E-409C-BE32-E72D297353CC}">
                <c16:uniqueId val="{00000075-A388-467F-8CC5-DEEFA75A5BA9}"/>
              </c:ext>
            </c:extLst>
          </c:dPt>
          <c:dPt>
            <c:idx val="21"/>
            <c:invertIfNegative val="0"/>
            <c:bubble3D val="0"/>
            <c:spPr>
              <a:solidFill>
                <a:srgbClr val="A40052"/>
              </a:solidFill>
              <a:ln>
                <a:noFill/>
              </a:ln>
              <a:effectLst/>
            </c:spPr>
            <c:extLst>
              <c:ext xmlns:c16="http://schemas.microsoft.com/office/drawing/2014/chart" uri="{C3380CC4-5D6E-409C-BE32-E72D297353CC}">
                <c16:uniqueId val="{00000077-A388-467F-8CC5-DEEFA75A5BA9}"/>
              </c:ext>
            </c:extLst>
          </c:dPt>
          <c:dPt>
            <c:idx val="22"/>
            <c:invertIfNegative val="0"/>
            <c:bubble3D val="0"/>
            <c:spPr>
              <a:solidFill>
                <a:srgbClr val="B08600"/>
              </a:solidFill>
              <a:ln>
                <a:noFill/>
              </a:ln>
              <a:effectLst/>
            </c:spPr>
            <c:extLst>
              <c:ext xmlns:c16="http://schemas.microsoft.com/office/drawing/2014/chart" uri="{C3380CC4-5D6E-409C-BE32-E72D297353CC}">
                <c16:uniqueId val="{00000079-A388-467F-8CC5-DEEFA75A5BA9}"/>
              </c:ext>
            </c:extLst>
          </c:dPt>
          <c:dPt>
            <c:idx val="25"/>
            <c:invertIfNegative val="0"/>
            <c:bubble3D val="0"/>
            <c:spPr>
              <a:solidFill>
                <a:srgbClr val="A40052"/>
              </a:solidFill>
              <a:ln>
                <a:noFill/>
              </a:ln>
              <a:effectLst/>
            </c:spPr>
            <c:extLst>
              <c:ext xmlns:c16="http://schemas.microsoft.com/office/drawing/2014/chart" uri="{C3380CC4-5D6E-409C-BE32-E72D297353CC}">
                <c16:uniqueId val="{0000007B-A388-467F-8CC5-DEEFA75A5BA9}"/>
              </c:ext>
            </c:extLst>
          </c:dPt>
          <c:dPt>
            <c:idx val="26"/>
            <c:invertIfNegative val="0"/>
            <c:bubble3D val="0"/>
            <c:spPr>
              <a:solidFill>
                <a:srgbClr val="B08600"/>
              </a:solidFill>
              <a:ln>
                <a:noFill/>
              </a:ln>
              <a:effectLst/>
            </c:spPr>
            <c:extLst>
              <c:ext xmlns:c16="http://schemas.microsoft.com/office/drawing/2014/chart" uri="{C3380CC4-5D6E-409C-BE32-E72D297353CC}">
                <c16:uniqueId val="{0000007D-A388-467F-8CC5-DEEFA75A5BA9}"/>
              </c:ext>
            </c:extLst>
          </c:dPt>
          <c:dPt>
            <c:idx val="29"/>
            <c:invertIfNegative val="0"/>
            <c:bubble3D val="0"/>
            <c:spPr>
              <a:solidFill>
                <a:srgbClr val="A40052"/>
              </a:solidFill>
              <a:ln>
                <a:noFill/>
              </a:ln>
              <a:effectLst/>
            </c:spPr>
            <c:extLst>
              <c:ext xmlns:c16="http://schemas.microsoft.com/office/drawing/2014/chart" uri="{C3380CC4-5D6E-409C-BE32-E72D297353CC}">
                <c16:uniqueId val="{0000007F-A388-467F-8CC5-DEEFA75A5BA9}"/>
              </c:ext>
            </c:extLst>
          </c:dPt>
          <c:dPt>
            <c:idx val="30"/>
            <c:invertIfNegative val="0"/>
            <c:bubble3D val="0"/>
            <c:spPr>
              <a:solidFill>
                <a:srgbClr val="B08600"/>
              </a:solidFill>
              <a:ln>
                <a:noFill/>
              </a:ln>
              <a:effectLst/>
            </c:spPr>
            <c:extLst>
              <c:ext xmlns:c16="http://schemas.microsoft.com/office/drawing/2014/chart" uri="{C3380CC4-5D6E-409C-BE32-E72D297353CC}">
                <c16:uniqueId val="{00000081-A388-467F-8CC5-DEEFA75A5BA9}"/>
              </c:ext>
            </c:extLst>
          </c:dPt>
          <c:dPt>
            <c:idx val="33"/>
            <c:invertIfNegative val="0"/>
            <c:bubble3D val="0"/>
            <c:spPr>
              <a:solidFill>
                <a:srgbClr val="A40052"/>
              </a:solidFill>
              <a:ln>
                <a:noFill/>
              </a:ln>
              <a:effectLst/>
            </c:spPr>
            <c:extLst>
              <c:ext xmlns:c16="http://schemas.microsoft.com/office/drawing/2014/chart" uri="{C3380CC4-5D6E-409C-BE32-E72D297353CC}">
                <c16:uniqueId val="{00000083-A388-467F-8CC5-DEEFA75A5BA9}"/>
              </c:ext>
            </c:extLst>
          </c:dPt>
          <c:dPt>
            <c:idx val="34"/>
            <c:invertIfNegative val="0"/>
            <c:bubble3D val="0"/>
            <c:spPr>
              <a:solidFill>
                <a:srgbClr val="B08600"/>
              </a:solidFill>
              <a:ln>
                <a:noFill/>
              </a:ln>
              <a:effectLst/>
            </c:spPr>
            <c:extLst>
              <c:ext xmlns:c16="http://schemas.microsoft.com/office/drawing/2014/chart" uri="{C3380CC4-5D6E-409C-BE32-E72D297353CC}">
                <c16:uniqueId val="{00000085-A388-467F-8CC5-DEEFA75A5BA9}"/>
              </c:ext>
            </c:extLst>
          </c:dPt>
          <c:dPt>
            <c:idx val="37"/>
            <c:invertIfNegative val="0"/>
            <c:bubble3D val="0"/>
            <c:spPr>
              <a:solidFill>
                <a:srgbClr val="A40052"/>
              </a:solidFill>
              <a:ln>
                <a:noFill/>
              </a:ln>
              <a:effectLst/>
            </c:spPr>
            <c:extLst>
              <c:ext xmlns:c16="http://schemas.microsoft.com/office/drawing/2014/chart" uri="{C3380CC4-5D6E-409C-BE32-E72D297353CC}">
                <c16:uniqueId val="{00000087-A388-467F-8CC5-DEEFA75A5BA9}"/>
              </c:ext>
            </c:extLst>
          </c:dPt>
          <c:dPt>
            <c:idx val="38"/>
            <c:invertIfNegative val="0"/>
            <c:bubble3D val="0"/>
            <c:spPr>
              <a:solidFill>
                <a:srgbClr val="B08600"/>
              </a:solidFill>
              <a:ln>
                <a:noFill/>
              </a:ln>
              <a:effectLst/>
            </c:spPr>
            <c:extLst>
              <c:ext xmlns:c16="http://schemas.microsoft.com/office/drawing/2014/chart" uri="{C3380CC4-5D6E-409C-BE32-E72D297353CC}">
                <c16:uniqueId val="{00000089-A388-467F-8CC5-DEEFA75A5BA9}"/>
              </c:ext>
            </c:extLst>
          </c:dPt>
          <c:dPt>
            <c:idx val="41"/>
            <c:invertIfNegative val="0"/>
            <c:bubble3D val="0"/>
            <c:spPr>
              <a:solidFill>
                <a:srgbClr val="A40052"/>
              </a:solidFill>
              <a:ln>
                <a:noFill/>
              </a:ln>
              <a:effectLst/>
            </c:spPr>
            <c:extLst>
              <c:ext xmlns:c16="http://schemas.microsoft.com/office/drawing/2014/chart" uri="{C3380CC4-5D6E-409C-BE32-E72D297353CC}">
                <c16:uniqueId val="{0000008B-A388-467F-8CC5-DEEFA75A5BA9}"/>
              </c:ext>
            </c:extLst>
          </c:dPt>
          <c:dPt>
            <c:idx val="42"/>
            <c:invertIfNegative val="0"/>
            <c:bubble3D val="0"/>
            <c:spPr>
              <a:solidFill>
                <a:srgbClr val="B08600"/>
              </a:solidFill>
              <a:ln>
                <a:noFill/>
              </a:ln>
              <a:effectLst/>
            </c:spPr>
            <c:extLst>
              <c:ext xmlns:c16="http://schemas.microsoft.com/office/drawing/2014/chart" uri="{C3380CC4-5D6E-409C-BE32-E72D297353CC}">
                <c16:uniqueId val="{0000008D-A388-467F-8CC5-DEEFA75A5BA9}"/>
              </c:ext>
            </c:extLst>
          </c:dPt>
          <c:dPt>
            <c:idx val="45"/>
            <c:invertIfNegative val="0"/>
            <c:bubble3D val="0"/>
            <c:spPr>
              <a:solidFill>
                <a:srgbClr val="A40052"/>
              </a:solidFill>
              <a:ln>
                <a:noFill/>
              </a:ln>
              <a:effectLst/>
            </c:spPr>
            <c:extLst>
              <c:ext xmlns:c16="http://schemas.microsoft.com/office/drawing/2014/chart" uri="{C3380CC4-5D6E-409C-BE32-E72D297353CC}">
                <c16:uniqueId val="{0000008F-A388-467F-8CC5-DEEFA75A5BA9}"/>
              </c:ext>
            </c:extLst>
          </c:dPt>
          <c:dPt>
            <c:idx val="46"/>
            <c:invertIfNegative val="0"/>
            <c:bubble3D val="0"/>
            <c:spPr>
              <a:solidFill>
                <a:srgbClr val="B08600"/>
              </a:solidFill>
              <a:ln>
                <a:noFill/>
              </a:ln>
              <a:effectLst/>
            </c:spPr>
            <c:extLst>
              <c:ext xmlns:c16="http://schemas.microsoft.com/office/drawing/2014/chart" uri="{C3380CC4-5D6E-409C-BE32-E72D297353CC}">
                <c16:uniqueId val="{00000091-A388-467F-8CC5-DEEFA75A5BA9}"/>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Calculations!$P$54:$P$101</c:f>
              <c:numCache>
                <c:formatCode>_ * #,##0_ ;_ * \-#,##0_ ;_ * "-"??_ ;_ @_ </c:formatCode>
                <c:ptCount val="48"/>
                <c:pt idx="0">
                  <c:v>0</c:v>
                </c:pt>
                <c:pt idx="1">
                  <c:v>0</c:v>
                </c:pt>
                <c:pt idx="2">
                  <c:v>0</c:v>
                </c:pt>
                <c:pt idx="4">
                  <c:v>0</c:v>
                </c:pt>
                <c:pt idx="5">
                  <c:v>110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A388-467F-8CC5-DEEFA75A5BA9}"/>
            </c:ext>
          </c:extLst>
        </c:ser>
        <c:ser>
          <c:idx val="3"/>
          <c:order val="3"/>
          <c:spPr>
            <a:solidFill>
              <a:srgbClr val="B8B8B8"/>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Calculations!$Q$54:$Q$101</c:f>
              <c:numCache>
                <c:formatCode>_ * #,##0_ ;_ * \-#,##0_ ;_ * "-"??_ ;_ @_ </c:formatCode>
                <c:ptCount val="48"/>
                <c:pt idx="0">
                  <c:v>4650</c:v>
                </c:pt>
                <c:pt idx="1">
                  <c:v>2800</c:v>
                </c:pt>
                <c:pt idx="2">
                  <c:v>1750</c:v>
                </c:pt>
                <c:pt idx="4">
                  <c:v>0</c:v>
                </c:pt>
                <c:pt idx="5">
                  <c:v>0</c:v>
                </c:pt>
                <c:pt idx="6">
                  <c:v>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A388-467F-8CC5-DEEFA75A5BA9}"/>
            </c:ext>
          </c:extLst>
        </c:ser>
        <c:ser>
          <c:idx val="4"/>
          <c:order val="4"/>
          <c:spPr>
            <a:solidFill>
              <a:srgbClr val="CBCBCB"/>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Calculations!$R$54:$R$101</c:f>
              <c:numCache>
                <c:formatCode>_ * #,##0_ ;_ * \-#,##0_ ;_ * "-"??_ ;_ @_ </c:formatCode>
                <c:ptCount val="48"/>
                <c:pt idx="0">
                  <c:v>0</c:v>
                </c:pt>
                <c:pt idx="1">
                  <c:v>100</c:v>
                </c:pt>
                <c:pt idx="2">
                  <c:v>0</c:v>
                </c:pt>
                <c:pt idx="4">
                  <c:v>0</c:v>
                </c:pt>
                <c:pt idx="5">
                  <c:v>0</c:v>
                </c:pt>
                <c:pt idx="6">
                  <c:v>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94-A388-467F-8CC5-DEEFA75A5BA9}"/>
            </c:ext>
          </c:extLst>
        </c:ser>
        <c:ser>
          <c:idx val="5"/>
          <c:order val="5"/>
          <c:spPr>
            <a:solidFill>
              <a:srgbClr val="A7A7A7"/>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Calculations!$S$54:$S$101</c:f>
              <c:numCache>
                <c:formatCode>_ * #,##0_ ;_ * \-#,##0_ ;_ * "-"??_ ;_ @_ </c:formatCode>
                <c:ptCount val="48"/>
                <c:pt idx="0">
                  <c:v>200</c:v>
                </c:pt>
                <c:pt idx="1">
                  <c:v>0</c:v>
                </c:pt>
                <c:pt idx="2">
                  <c:v>300</c:v>
                </c:pt>
                <c:pt idx="4">
                  <c:v>0</c:v>
                </c:pt>
                <c:pt idx="5">
                  <c:v>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A388-467F-8CC5-DEEFA75A5BA9}"/>
            </c:ext>
          </c:extLst>
        </c:ser>
        <c:dLbls>
          <c:showLegendKey val="0"/>
          <c:showVal val="0"/>
          <c:showCatName val="0"/>
          <c:showSerName val="0"/>
          <c:showPercent val="0"/>
          <c:showBubbleSize val="0"/>
        </c:dLbls>
        <c:gapWidth val="15"/>
        <c:overlap val="100"/>
        <c:axId val="1401580511"/>
        <c:axId val="1401580031"/>
      </c:barChart>
      <c:catAx>
        <c:axId val="1401580511"/>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lumMod val="65000"/>
                  </a:schemeClr>
                </a:solidFill>
                <a:latin typeface="+mn-lt"/>
                <a:ea typeface="+mn-ea"/>
                <a:cs typeface="+mn-cs"/>
              </a:defRPr>
            </a:pPr>
            <a:endParaRPr lang="en-US"/>
          </a:p>
        </c:txPr>
        <c:crossAx val="1401580031"/>
        <c:crosses val="autoZero"/>
        <c:auto val="0"/>
        <c:lblAlgn val="ctr"/>
        <c:lblOffset val="100"/>
        <c:noMultiLvlLbl val="0"/>
      </c:catAx>
      <c:valAx>
        <c:axId val="1401580031"/>
        <c:scaling>
          <c:orientation val="minMax"/>
        </c:scaling>
        <c:delete val="0"/>
        <c:axPos val="l"/>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crossAx val="1401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50000"/>
              </a:schemeClr>
            </a:solidFill>
            <a:ln>
              <a:noFill/>
            </a:ln>
            <a:effectLst/>
          </c:spPr>
          <c:invertIfNegative val="0"/>
          <c:dPt>
            <c:idx val="0"/>
            <c:invertIfNegative val="0"/>
            <c:bubble3D val="0"/>
            <c:spPr>
              <a:solidFill>
                <a:schemeClr val="bg1">
                  <a:lumMod val="50000"/>
                </a:schemeClr>
              </a:solidFill>
              <a:ln>
                <a:noFill/>
              </a:ln>
              <a:effectLst/>
            </c:spPr>
            <c:extLst>
              <c:ext xmlns:c16="http://schemas.microsoft.com/office/drawing/2014/chart" uri="{C3380CC4-5D6E-409C-BE32-E72D297353CC}">
                <c16:uniqueId val="{00000001-C4E1-4D0B-A255-021E12921692}"/>
              </c:ext>
            </c:extLst>
          </c:dPt>
          <c:val>
            <c:numRef>
              <c:f>Calculations!$E$24</c:f>
              <c:numCache>
                <c:formatCode>0%</c:formatCode>
                <c:ptCount val="1"/>
                <c:pt idx="0">
                  <c:v>1</c:v>
                </c:pt>
              </c:numCache>
            </c:numRef>
          </c:val>
          <c:extLst>
            <c:ext xmlns:c16="http://schemas.microsoft.com/office/drawing/2014/chart" uri="{C3380CC4-5D6E-409C-BE32-E72D297353CC}">
              <c16:uniqueId val="{00000002-C4E1-4D0B-A255-021E12921692}"/>
            </c:ext>
          </c:extLst>
        </c:ser>
        <c:dLbls>
          <c:showLegendKey val="0"/>
          <c:showVal val="0"/>
          <c:showCatName val="0"/>
          <c:showSerName val="0"/>
          <c:showPercent val="0"/>
          <c:showBubbleSize val="0"/>
        </c:dLbls>
        <c:gapWidth val="0"/>
        <c:axId val="1403409615"/>
        <c:axId val="1216297487"/>
      </c:barChart>
      <c:catAx>
        <c:axId val="1403409615"/>
        <c:scaling>
          <c:orientation val="minMax"/>
        </c:scaling>
        <c:delete val="1"/>
        <c:axPos val="l"/>
        <c:majorTickMark val="out"/>
        <c:minorTickMark val="none"/>
        <c:tickLblPos val="nextTo"/>
        <c:crossAx val="1216297487"/>
        <c:crosses val="autoZero"/>
        <c:auto val="1"/>
        <c:lblAlgn val="ctr"/>
        <c:lblOffset val="100"/>
        <c:noMultiLvlLbl val="0"/>
      </c:catAx>
      <c:valAx>
        <c:axId val="1216297487"/>
        <c:scaling>
          <c:orientation val="minMax"/>
          <c:max val="1"/>
        </c:scaling>
        <c:delete val="1"/>
        <c:axPos val="b"/>
        <c:numFmt formatCode="0%" sourceLinked="1"/>
        <c:majorTickMark val="out"/>
        <c:minorTickMark val="none"/>
        <c:tickLblPos val="nextTo"/>
        <c:crossAx val="1403409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51" lockText="1" noThreeD="1"/>
</file>

<file path=xl/ctrlProps/ctrlProp2.xml><?xml version="1.0" encoding="utf-8"?>
<formControlPr xmlns="http://schemas.microsoft.com/office/spreadsheetml/2009/9/main" objectType="CheckBox" checked="Checked" fmlaLink="Calculations!$E$48" lockText="1" noThreeD="1"/>
</file>

<file path=xl/ctrlProps/ctrlProp3.xml><?xml version="1.0" encoding="utf-8"?>
<formControlPr xmlns="http://schemas.microsoft.com/office/spreadsheetml/2009/9/main" objectType="CheckBox" checked="Checked" fmlaLink="Calculations!$E$49" lockText="1" noThreeD="1"/>
</file>

<file path=xl/ctrlProps/ctrlProp4.xml><?xml version="1.0" encoding="utf-8"?>
<formControlPr xmlns="http://schemas.microsoft.com/office/spreadsheetml/2009/9/main" objectType="CheckBox" checked="Checked" fmlaLink="Calculations!$E$50"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284788</xdr:colOff>
      <xdr:row>4</xdr:row>
      <xdr:rowOff>85411</xdr:rowOff>
    </xdr:from>
    <xdr:to>
      <xdr:col>3</xdr:col>
      <xdr:colOff>531091</xdr:colOff>
      <xdr:row>8</xdr:row>
      <xdr:rowOff>93107</xdr:rowOff>
    </xdr:to>
    <xdr:grpSp>
      <xdr:nvGrpSpPr>
        <xdr:cNvPr id="17" name="Group 16">
          <a:extLst>
            <a:ext uri="{FF2B5EF4-FFF2-40B4-BE49-F238E27FC236}">
              <a16:creationId xmlns:a16="http://schemas.microsoft.com/office/drawing/2014/main" id="{78152B40-E0CC-5C1B-ADE9-E6AE8D866043}"/>
            </a:ext>
          </a:extLst>
        </xdr:cNvPr>
        <xdr:cNvGrpSpPr/>
      </xdr:nvGrpSpPr>
      <xdr:grpSpPr>
        <a:xfrm>
          <a:off x="598055" y="830478"/>
          <a:ext cx="1448569" cy="752762"/>
          <a:chOff x="594612" y="836939"/>
          <a:chExt cx="1443732" cy="744575"/>
        </a:xfrm>
      </xdr:grpSpPr>
      <xdr:sp macro="" textlink="">
        <xdr:nvSpPr>
          <xdr:cNvPr id="2" name="Rectangle: Rounded Corners 1">
            <a:extLst>
              <a:ext uri="{FF2B5EF4-FFF2-40B4-BE49-F238E27FC236}">
                <a16:creationId xmlns:a16="http://schemas.microsoft.com/office/drawing/2014/main" id="{41340475-EE50-7373-046A-DE24069407C5}"/>
              </a:ext>
            </a:extLst>
          </xdr:cNvPr>
          <xdr:cNvSpPr/>
        </xdr:nvSpPr>
        <xdr:spPr>
          <a:xfrm>
            <a:off x="594612" y="836939"/>
            <a:ext cx="1443732" cy="744575"/>
          </a:xfrm>
          <a:prstGeom prst="roundRect">
            <a:avLst/>
          </a:prstGeom>
          <a:solidFill>
            <a:schemeClr val="bg1"/>
          </a:solidFill>
          <a:ln w="3175">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TextBox 2">
            <a:extLst>
              <a:ext uri="{FF2B5EF4-FFF2-40B4-BE49-F238E27FC236}">
                <a16:creationId xmlns:a16="http://schemas.microsoft.com/office/drawing/2014/main" id="{98CF383D-5D83-AA91-4B28-B4501D1C2C0E}"/>
              </a:ext>
            </a:extLst>
          </xdr:cNvPr>
          <xdr:cNvSpPr txBox="1"/>
        </xdr:nvSpPr>
        <xdr:spPr>
          <a:xfrm>
            <a:off x="664477" y="883122"/>
            <a:ext cx="1065988" cy="24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Today</a:t>
            </a:r>
          </a:p>
        </xdr:txBody>
      </xdr:sp>
      <xdr:sp macro="" textlink="Calculations!E8">
        <xdr:nvSpPr>
          <xdr:cNvPr id="4" name="TextBox 3">
            <a:extLst>
              <a:ext uri="{FF2B5EF4-FFF2-40B4-BE49-F238E27FC236}">
                <a16:creationId xmlns:a16="http://schemas.microsoft.com/office/drawing/2014/main" id="{408D4024-52CC-42B2-AEDD-E6862ED2D8A0}"/>
              </a:ext>
            </a:extLst>
          </xdr:cNvPr>
          <xdr:cNvSpPr txBox="1"/>
        </xdr:nvSpPr>
        <xdr:spPr>
          <a:xfrm>
            <a:off x="664477" y="1149962"/>
            <a:ext cx="1065988" cy="245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C9A088E-362C-4F4A-BA10-31432641EA4B}" type="TxLink">
              <a:rPr lang="en-US" sz="1400" b="1" i="0" u="none" strike="noStrike">
                <a:solidFill>
                  <a:srgbClr val="000000"/>
                </a:solidFill>
                <a:latin typeface="Calibri"/>
                <a:ea typeface="Calibri"/>
                <a:cs typeface="Calibri"/>
              </a:rPr>
              <a:t>16-Sep-24</a:t>
            </a:fld>
            <a:endParaRPr lang="en-IN" sz="1400" b="1"/>
          </a:p>
        </xdr:txBody>
      </xdr:sp>
    </xdr:grpSp>
    <xdr:clientData/>
  </xdr:twoCellAnchor>
  <xdr:twoCellAnchor editAs="absolute">
    <xdr:from>
      <xdr:col>3</xdr:col>
      <xdr:colOff>753441</xdr:colOff>
      <xdr:row>4</xdr:row>
      <xdr:rowOff>85411</xdr:rowOff>
    </xdr:from>
    <xdr:to>
      <xdr:col>4</xdr:col>
      <xdr:colOff>1963405</xdr:colOff>
      <xdr:row>8</xdr:row>
      <xdr:rowOff>93107</xdr:rowOff>
    </xdr:to>
    <xdr:grpSp>
      <xdr:nvGrpSpPr>
        <xdr:cNvPr id="20" name="Group 19">
          <a:extLst>
            <a:ext uri="{FF2B5EF4-FFF2-40B4-BE49-F238E27FC236}">
              <a16:creationId xmlns:a16="http://schemas.microsoft.com/office/drawing/2014/main" id="{7BC6A091-C96D-E670-39F7-3937ADFF43D1}"/>
            </a:ext>
          </a:extLst>
        </xdr:cNvPr>
        <xdr:cNvGrpSpPr/>
      </xdr:nvGrpSpPr>
      <xdr:grpSpPr>
        <a:xfrm>
          <a:off x="2268974" y="830478"/>
          <a:ext cx="2115898" cy="752762"/>
          <a:chOff x="2252320" y="812309"/>
          <a:chExt cx="2114315" cy="744575"/>
        </a:xfrm>
      </xdr:grpSpPr>
      <xdr:sp macro="" textlink="">
        <xdr:nvSpPr>
          <xdr:cNvPr id="5" name="Rectangle: Rounded Corners 4">
            <a:extLst>
              <a:ext uri="{FF2B5EF4-FFF2-40B4-BE49-F238E27FC236}">
                <a16:creationId xmlns:a16="http://schemas.microsoft.com/office/drawing/2014/main" id="{9C7BEDE4-23F5-43C2-AFCA-D0BB1C841D80}"/>
              </a:ext>
            </a:extLst>
          </xdr:cNvPr>
          <xdr:cNvSpPr/>
        </xdr:nvSpPr>
        <xdr:spPr>
          <a:xfrm>
            <a:off x="2252320" y="812309"/>
            <a:ext cx="2114315" cy="744575"/>
          </a:xfrm>
          <a:prstGeom prst="roundRect">
            <a:avLst/>
          </a:prstGeom>
          <a:solidFill>
            <a:schemeClr val="bg1"/>
          </a:solidFill>
          <a:ln w="3175">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TextBox 5">
            <a:extLst>
              <a:ext uri="{FF2B5EF4-FFF2-40B4-BE49-F238E27FC236}">
                <a16:creationId xmlns:a16="http://schemas.microsoft.com/office/drawing/2014/main" id="{D46AECFB-6C50-461F-BE04-78B76903C96D}"/>
              </a:ext>
            </a:extLst>
          </xdr:cNvPr>
          <xdr:cNvSpPr txBox="1"/>
        </xdr:nvSpPr>
        <xdr:spPr>
          <a:xfrm>
            <a:off x="2329290" y="858492"/>
            <a:ext cx="1452375" cy="254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Last</a:t>
            </a:r>
            <a:r>
              <a:rPr lang="en-IN" sz="1100" b="1" baseline="0"/>
              <a:t> Record</a:t>
            </a:r>
            <a:endParaRPr lang="en-IN" sz="1100" b="1"/>
          </a:p>
        </xdr:txBody>
      </xdr:sp>
      <xdr:sp macro="" textlink="Calculations!E9">
        <xdr:nvSpPr>
          <xdr:cNvPr id="7" name="TextBox 6">
            <a:extLst>
              <a:ext uri="{FF2B5EF4-FFF2-40B4-BE49-F238E27FC236}">
                <a16:creationId xmlns:a16="http://schemas.microsoft.com/office/drawing/2014/main" id="{B19720B1-8421-40EA-A572-E37EBCB2304E}"/>
              </a:ext>
            </a:extLst>
          </xdr:cNvPr>
          <xdr:cNvSpPr txBox="1"/>
        </xdr:nvSpPr>
        <xdr:spPr>
          <a:xfrm>
            <a:off x="2329290" y="1128748"/>
            <a:ext cx="869435" cy="294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651CCA3-96A3-41BC-97C7-3AA3571EEE28}" type="TxLink">
              <a:rPr lang="en-US" sz="1400" b="1" i="0" u="none" strike="noStrike">
                <a:solidFill>
                  <a:srgbClr val="000000"/>
                </a:solidFill>
                <a:latin typeface="Calibri"/>
                <a:ea typeface="Calibri"/>
                <a:cs typeface="Calibri"/>
              </a:rPr>
              <a:t>15-Mar-24</a:t>
            </a:fld>
            <a:endParaRPr lang="en-IN" sz="1400" b="1"/>
          </a:p>
        </xdr:txBody>
      </xdr:sp>
      <xdr:sp macro="" textlink="Calculations!E10">
        <xdr:nvSpPr>
          <xdr:cNvPr id="8" name="TextBox 7">
            <a:extLst>
              <a:ext uri="{FF2B5EF4-FFF2-40B4-BE49-F238E27FC236}">
                <a16:creationId xmlns:a16="http://schemas.microsoft.com/office/drawing/2014/main" id="{84B883F5-72CC-4C54-AD3D-9D09E4EE26CD}"/>
              </a:ext>
            </a:extLst>
          </xdr:cNvPr>
          <xdr:cNvSpPr txBox="1"/>
        </xdr:nvSpPr>
        <xdr:spPr>
          <a:xfrm>
            <a:off x="3032487" y="1161395"/>
            <a:ext cx="1065987" cy="245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201C5AB-3B48-464E-BA0C-5041835FC0B1}" type="TxLink">
              <a:rPr lang="en-US" sz="1000" b="0" i="0" u="none" strike="noStrike">
                <a:solidFill>
                  <a:srgbClr val="000000"/>
                </a:solidFill>
                <a:latin typeface="Calibri"/>
                <a:ea typeface="Calibri"/>
                <a:cs typeface="Calibri"/>
              </a:rPr>
              <a:t>(185 days ago)</a:t>
            </a:fld>
            <a:endParaRPr lang="en-IN" sz="1000" b="1"/>
          </a:p>
        </xdr:txBody>
      </xdr:sp>
    </xdr:grpSp>
    <xdr:clientData/>
  </xdr:twoCellAnchor>
  <xdr:twoCellAnchor editAs="absolute">
    <xdr:from>
      <xdr:col>5</xdr:col>
      <xdr:colOff>41683</xdr:colOff>
      <xdr:row>4</xdr:row>
      <xdr:rowOff>85411</xdr:rowOff>
    </xdr:from>
    <xdr:to>
      <xdr:col>6</xdr:col>
      <xdr:colOff>636396</xdr:colOff>
      <xdr:row>8</xdr:row>
      <xdr:rowOff>93107</xdr:rowOff>
    </xdr:to>
    <xdr:grpSp>
      <xdr:nvGrpSpPr>
        <xdr:cNvPr id="19" name="Group 18">
          <a:extLst>
            <a:ext uri="{FF2B5EF4-FFF2-40B4-BE49-F238E27FC236}">
              <a16:creationId xmlns:a16="http://schemas.microsoft.com/office/drawing/2014/main" id="{E9BD1072-43AE-652B-B1D6-8B33D4F8F79F}"/>
            </a:ext>
          </a:extLst>
        </xdr:cNvPr>
        <xdr:cNvGrpSpPr/>
      </xdr:nvGrpSpPr>
      <xdr:grpSpPr>
        <a:xfrm>
          <a:off x="4639083" y="830478"/>
          <a:ext cx="1729246" cy="752762"/>
          <a:chOff x="4622057" y="814339"/>
          <a:chExt cx="1733526" cy="744575"/>
        </a:xfrm>
      </xdr:grpSpPr>
      <xdr:sp macro="" textlink="">
        <xdr:nvSpPr>
          <xdr:cNvPr id="9" name="Rectangle: Rounded Corners 8">
            <a:extLst>
              <a:ext uri="{FF2B5EF4-FFF2-40B4-BE49-F238E27FC236}">
                <a16:creationId xmlns:a16="http://schemas.microsoft.com/office/drawing/2014/main" id="{6F8429C7-0373-4919-90AD-2450102CB9BA}"/>
              </a:ext>
            </a:extLst>
          </xdr:cNvPr>
          <xdr:cNvSpPr/>
        </xdr:nvSpPr>
        <xdr:spPr>
          <a:xfrm>
            <a:off x="4622057" y="814339"/>
            <a:ext cx="1733526" cy="744575"/>
          </a:xfrm>
          <a:prstGeom prst="roundRect">
            <a:avLst/>
          </a:prstGeom>
          <a:solidFill>
            <a:schemeClr val="bg1"/>
          </a:solidFill>
          <a:ln w="3175">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TextBox 9">
            <a:extLst>
              <a:ext uri="{FF2B5EF4-FFF2-40B4-BE49-F238E27FC236}">
                <a16:creationId xmlns:a16="http://schemas.microsoft.com/office/drawing/2014/main" id="{D46B7C5E-334A-4A28-BC16-48E1AC57E62A}"/>
              </a:ext>
            </a:extLst>
          </xdr:cNvPr>
          <xdr:cNvSpPr txBox="1"/>
        </xdr:nvSpPr>
        <xdr:spPr>
          <a:xfrm>
            <a:off x="4699026" y="860522"/>
            <a:ext cx="1539326" cy="236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No. of Tracked Records</a:t>
            </a:r>
          </a:p>
        </xdr:txBody>
      </xdr:sp>
      <xdr:sp macro="" textlink="Calculations!E11">
        <xdr:nvSpPr>
          <xdr:cNvPr id="11" name="TextBox 10">
            <a:extLst>
              <a:ext uri="{FF2B5EF4-FFF2-40B4-BE49-F238E27FC236}">
                <a16:creationId xmlns:a16="http://schemas.microsoft.com/office/drawing/2014/main" id="{5498E90D-E4B9-4D69-B829-91773EC7CDFB}"/>
              </a:ext>
            </a:extLst>
          </xdr:cNvPr>
          <xdr:cNvSpPr txBox="1"/>
        </xdr:nvSpPr>
        <xdr:spPr>
          <a:xfrm>
            <a:off x="4690653" y="1114031"/>
            <a:ext cx="241414" cy="294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4C4D138-F115-4887-9353-916E34752ED6}" type="TxLink">
              <a:rPr lang="en-US" sz="1400" b="1" i="0" u="none" strike="noStrike">
                <a:solidFill>
                  <a:srgbClr val="000000"/>
                </a:solidFill>
                <a:latin typeface="Calibri"/>
                <a:ea typeface="Calibri"/>
                <a:cs typeface="Calibri"/>
              </a:rPr>
              <a:t>59</a:t>
            </a:fld>
            <a:endParaRPr lang="en-IN" sz="1400" b="1"/>
          </a:p>
        </xdr:txBody>
      </xdr:sp>
      <xdr:sp macro="" textlink="Calculations!E12">
        <xdr:nvSpPr>
          <xdr:cNvPr id="12" name="TextBox 11">
            <a:extLst>
              <a:ext uri="{FF2B5EF4-FFF2-40B4-BE49-F238E27FC236}">
                <a16:creationId xmlns:a16="http://schemas.microsoft.com/office/drawing/2014/main" id="{3942CAB8-14E1-4FD9-AF49-99D838A7AC3C}"/>
              </a:ext>
            </a:extLst>
          </xdr:cNvPr>
          <xdr:cNvSpPr txBox="1"/>
        </xdr:nvSpPr>
        <xdr:spPr>
          <a:xfrm>
            <a:off x="4874684" y="1155050"/>
            <a:ext cx="1065987" cy="245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B306F6D-541A-4298-84E5-068ED0811226}" type="TxLink">
              <a:rPr lang="en-US" sz="1000" b="0" i="0" u="none" strike="noStrike">
                <a:solidFill>
                  <a:srgbClr val="000000"/>
                </a:solidFill>
                <a:latin typeface="Calibri"/>
                <a:ea typeface="Calibri"/>
                <a:cs typeface="Calibri"/>
              </a:rPr>
              <a:t>(58 this year)</a:t>
            </a:fld>
            <a:endParaRPr lang="en-IN" sz="1000" b="1"/>
          </a:p>
        </xdr:txBody>
      </xdr:sp>
    </xdr:grpSp>
    <xdr:clientData/>
  </xdr:twoCellAnchor>
  <xdr:twoCellAnchor editAs="absolute">
    <xdr:from>
      <xdr:col>6</xdr:col>
      <xdr:colOff>897467</xdr:colOff>
      <xdr:row>4</xdr:row>
      <xdr:rowOff>85411</xdr:rowOff>
    </xdr:from>
    <xdr:to>
      <xdr:col>8</xdr:col>
      <xdr:colOff>1261663</xdr:colOff>
      <xdr:row>8</xdr:row>
      <xdr:rowOff>93107</xdr:rowOff>
    </xdr:to>
    <xdr:grpSp>
      <xdr:nvGrpSpPr>
        <xdr:cNvPr id="21" name="Group 20">
          <a:extLst>
            <a:ext uri="{FF2B5EF4-FFF2-40B4-BE49-F238E27FC236}">
              <a16:creationId xmlns:a16="http://schemas.microsoft.com/office/drawing/2014/main" id="{D9980B99-4E34-8298-25E3-7EC2BBD0FD00}"/>
            </a:ext>
          </a:extLst>
        </xdr:cNvPr>
        <xdr:cNvGrpSpPr/>
      </xdr:nvGrpSpPr>
      <xdr:grpSpPr>
        <a:xfrm>
          <a:off x="6629400" y="830478"/>
          <a:ext cx="3022730" cy="752762"/>
          <a:chOff x="6608280" y="807640"/>
          <a:chExt cx="3021389" cy="744575"/>
        </a:xfrm>
      </xdr:grpSpPr>
      <xdr:sp macro="" textlink="">
        <xdr:nvSpPr>
          <xdr:cNvPr id="13" name="Rectangle: Rounded Corners 12">
            <a:extLst>
              <a:ext uri="{FF2B5EF4-FFF2-40B4-BE49-F238E27FC236}">
                <a16:creationId xmlns:a16="http://schemas.microsoft.com/office/drawing/2014/main" id="{8CD78359-1F30-4356-B998-54DAB767FE9C}"/>
              </a:ext>
            </a:extLst>
          </xdr:cNvPr>
          <xdr:cNvSpPr/>
        </xdr:nvSpPr>
        <xdr:spPr>
          <a:xfrm>
            <a:off x="6608280" y="807640"/>
            <a:ext cx="3021389" cy="744575"/>
          </a:xfrm>
          <a:prstGeom prst="roundRect">
            <a:avLst/>
          </a:prstGeom>
          <a:solidFill>
            <a:schemeClr val="bg1"/>
          </a:solidFill>
          <a:ln w="3175">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TextBox 13">
            <a:extLst>
              <a:ext uri="{FF2B5EF4-FFF2-40B4-BE49-F238E27FC236}">
                <a16:creationId xmlns:a16="http://schemas.microsoft.com/office/drawing/2014/main" id="{A6B0E616-68BF-4BEF-BAC7-BBD5F8D2735D}"/>
              </a:ext>
            </a:extLst>
          </xdr:cNvPr>
          <xdr:cNvSpPr txBox="1"/>
        </xdr:nvSpPr>
        <xdr:spPr>
          <a:xfrm>
            <a:off x="6685250" y="853823"/>
            <a:ext cx="1539326" cy="236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Total Tracking Balance</a:t>
            </a:r>
          </a:p>
        </xdr:txBody>
      </xdr:sp>
      <xdr:sp macro="" textlink="Calculations!E13">
        <xdr:nvSpPr>
          <xdr:cNvPr id="15" name="TextBox 14">
            <a:extLst>
              <a:ext uri="{FF2B5EF4-FFF2-40B4-BE49-F238E27FC236}">
                <a16:creationId xmlns:a16="http://schemas.microsoft.com/office/drawing/2014/main" id="{A7E77689-BC7B-49A7-B6C6-9A4C46B11D8F}"/>
              </a:ext>
            </a:extLst>
          </xdr:cNvPr>
          <xdr:cNvSpPr txBox="1"/>
        </xdr:nvSpPr>
        <xdr:spPr>
          <a:xfrm>
            <a:off x="6676876" y="1107332"/>
            <a:ext cx="792399" cy="294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E14926C-0712-4F42-9E28-CD74CFBC3DCE}" type="TxLink">
              <a:rPr lang="en-US" sz="1400" b="1" i="0" u="none" strike="noStrike">
                <a:solidFill>
                  <a:srgbClr val="000000"/>
                </a:solidFill>
                <a:latin typeface="Calibri"/>
                <a:ea typeface="Calibri"/>
                <a:cs typeface="Calibri"/>
              </a:rPr>
              <a:t> 2,620 </a:t>
            </a:fld>
            <a:endParaRPr lang="en-IN" sz="1400" b="1"/>
          </a:p>
        </xdr:txBody>
      </xdr:sp>
      <xdr:sp macro="" textlink="Calculations!E14">
        <xdr:nvSpPr>
          <xdr:cNvPr id="16" name="TextBox 15">
            <a:extLst>
              <a:ext uri="{FF2B5EF4-FFF2-40B4-BE49-F238E27FC236}">
                <a16:creationId xmlns:a16="http://schemas.microsoft.com/office/drawing/2014/main" id="{2EB266FC-4A27-4AB4-A678-AE89D06206E6}"/>
              </a:ext>
            </a:extLst>
          </xdr:cNvPr>
          <xdr:cNvSpPr txBox="1"/>
        </xdr:nvSpPr>
        <xdr:spPr>
          <a:xfrm>
            <a:off x="7296340" y="1139977"/>
            <a:ext cx="2308213" cy="241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6FA88D6-8726-47DD-B637-5AF87EABB864}" type="TxLink">
              <a:rPr lang="en-US" sz="1000" b="0" i="0" u="none" strike="noStrike">
                <a:solidFill>
                  <a:srgbClr val="000000"/>
                </a:solidFill>
                <a:latin typeface="Calibri"/>
                <a:ea typeface="Calibri"/>
                <a:cs typeface="Calibri"/>
              </a:rPr>
              <a:t>of tracked income left to be allocated</a:t>
            </a:fld>
            <a:endParaRPr lang="en-IN" sz="10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66720</xdr:colOff>
      <xdr:row>12</xdr:row>
      <xdr:rowOff>70244</xdr:rowOff>
    </xdr:from>
    <xdr:to>
      <xdr:col>33</xdr:col>
      <xdr:colOff>99411</xdr:colOff>
      <xdr:row>13</xdr:row>
      <xdr:rowOff>151061</xdr:rowOff>
    </xdr:to>
    <xdr:sp macro="" textlink="">
      <xdr:nvSpPr>
        <xdr:cNvPr id="2" name="TextBox 1">
          <a:extLst>
            <a:ext uri="{FF2B5EF4-FFF2-40B4-BE49-F238E27FC236}">
              <a16:creationId xmlns:a16="http://schemas.microsoft.com/office/drawing/2014/main" id="{767965C6-F481-F5A3-F3DA-42BC088566C6}"/>
            </a:ext>
          </a:extLst>
        </xdr:cNvPr>
        <xdr:cNvSpPr txBox="1"/>
      </xdr:nvSpPr>
      <xdr:spPr>
        <a:xfrm>
          <a:off x="5763135" y="2300488"/>
          <a:ext cx="1909813" cy="266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B050"/>
              </a:solidFill>
            </a:rPr>
            <a:t>Income</a:t>
          </a:r>
          <a:r>
            <a:rPr lang="en-IN" sz="1100" b="1" baseline="0"/>
            <a:t> Categories (Tracked)</a:t>
          </a:r>
          <a:endParaRPr lang="en-IN" sz="1100" b="1"/>
        </a:p>
      </xdr:txBody>
    </xdr:sp>
    <xdr:clientData/>
  </xdr:twoCellAnchor>
  <xdr:twoCellAnchor editAs="oneCell">
    <xdr:from>
      <xdr:col>30</xdr:col>
      <xdr:colOff>152400</xdr:colOff>
      <xdr:row>14</xdr:row>
      <xdr:rowOff>8021</xdr:rowOff>
    </xdr:from>
    <xdr:to>
      <xdr:col>32</xdr:col>
      <xdr:colOff>826169</xdr:colOff>
      <xdr:row>22</xdr:row>
      <xdr:rowOff>152398</xdr:rowOff>
    </xdr:to>
    <xdr:graphicFrame macro="">
      <xdr:nvGraphicFramePr>
        <xdr:cNvPr id="3" name="Chart 2">
          <a:extLst>
            <a:ext uri="{FF2B5EF4-FFF2-40B4-BE49-F238E27FC236}">
              <a16:creationId xmlns:a16="http://schemas.microsoft.com/office/drawing/2014/main" id="{3C6C3185-FCC5-4668-A1F4-A88247EDE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66720</xdr:colOff>
      <xdr:row>25</xdr:row>
      <xdr:rowOff>70244</xdr:rowOff>
    </xdr:from>
    <xdr:ext cx="2002712" cy="265301"/>
    <xdr:sp macro="" textlink="">
      <xdr:nvSpPr>
        <xdr:cNvPr id="6" name="TextBox 5">
          <a:extLst>
            <a:ext uri="{FF2B5EF4-FFF2-40B4-BE49-F238E27FC236}">
              <a16:creationId xmlns:a16="http://schemas.microsoft.com/office/drawing/2014/main" id="{5D76EA94-16F6-4964-8BFF-4427166A01A1}"/>
            </a:ext>
          </a:extLst>
        </xdr:cNvPr>
        <xdr:cNvSpPr txBox="1"/>
      </xdr:nvSpPr>
      <xdr:spPr>
        <a:xfrm>
          <a:off x="5745625" y="4682349"/>
          <a:ext cx="2002712" cy="26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66FF"/>
              </a:solidFill>
            </a:rPr>
            <a:t>Expenses</a:t>
          </a:r>
          <a:r>
            <a:rPr lang="en-IN" sz="1100" b="1" baseline="0">
              <a:solidFill>
                <a:srgbClr val="FF66FF"/>
              </a:solidFill>
            </a:rPr>
            <a:t> </a:t>
          </a:r>
          <a:r>
            <a:rPr lang="en-IN" sz="1100" b="1" baseline="0"/>
            <a:t>Categories (Tracked)</a:t>
          </a:r>
          <a:endParaRPr lang="en-IN" sz="1100" b="1"/>
        </a:p>
      </xdr:txBody>
    </xdr:sp>
    <xdr:clientData/>
  </xdr:oneCellAnchor>
  <xdr:oneCellAnchor>
    <xdr:from>
      <xdr:col>30</xdr:col>
      <xdr:colOff>152400</xdr:colOff>
      <xdr:row>27</xdr:row>
      <xdr:rowOff>8021</xdr:rowOff>
    </xdr:from>
    <xdr:ext cx="1796716" cy="1620251"/>
    <xdr:graphicFrame macro="">
      <xdr:nvGraphicFramePr>
        <xdr:cNvPr id="7" name="Chart 6">
          <a:extLst>
            <a:ext uri="{FF2B5EF4-FFF2-40B4-BE49-F238E27FC236}">
              <a16:creationId xmlns:a16="http://schemas.microsoft.com/office/drawing/2014/main" id="{06FB8857-9722-4CDA-AC0A-70109C018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66720</xdr:colOff>
      <xdr:row>25</xdr:row>
      <xdr:rowOff>70244</xdr:rowOff>
    </xdr:from>
    <xdr:ext cx="2002712" cy="265301"/>
    <xdr:sp macro="" textlink="">
      <xdr:nvSpPr>
        <xdr:cNvPr id="10" name="TextBox 9">
          <a:extLst>
            <a:ext uri="{FF2B5EF4-FFF2-40B4-BE49-F238E27FC236}">
              <a16:creationId xmlns:a16="http://schemas.microsoft.com/office/drawing/2014/main" id="{EEA2AE70-25EC-4EC5-8029-52F9A7050E12}"/>
            </a:ext>
          </a:extLst>
        </xdr:cNvPr>
        <xdr:cNvSpPr txBox="1"/>
      </xdr:nvSpPr>
      <xdr:spPr>
        <a:xfrm>
          <a:off x="9879793" y="4716585"/>
          <a:ext cx="2002712" cy="26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FFC000"/>
              </a:solidFill>
            </a:rPr>
            <a:t>Savings </a:t>
          </a:r>
          <a:r>
            <a:rPr lang="en-IN" sz="1100" b="1" baseline="0"/>
            <a:t>Categories (Tracked)</a:t>
          </a:r>
          <a:endParaRPr lang="en-IN" sz="1100" b="1"/>
        </a:p>
      </xdr:txBody>
    </xdr:sp>
    <xdr:clientData/>
  </xdr:oneCellAnchor>
  <xdr:oneCellAnchor>
    <xdr:from>
      <xdr:col>37</xdr:col>
      <xdr:colOff>152400</xdr:colOff>
      <xdr:row>27</xdr:row>
      <xdr:rowOff>8021</xdr:rowOff>
    </xdr:from>
    <xdr:ext cx="1796716" cy="1620251"/>
    <xdr:graphicFrame macro="">
      <xdr:nvGraphicFramePr>
        <xdr:cNvPr id="11" name="Chart 10">
          <a:extLst>
            <a:ext uri="{FF2B5EF4-FFF2-40B4-BE49-F238E27FC236}">
              <a16:creationId xmlns:a16="http://schemas.microsoft.com/office/drawing/2014/main" id="{2DCB089E-3A4C-4550-B3C2-DCD143B334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66720</xdr:colOff>
      <xdr:row>12</xdr:row>
      <xdr:rowOff>70244</xdr:rowOff>
    </xdr:from>
    <xdr:to>
      <xdr:col>41</xdr:col>
      <xdr:colOff>15777</xdr:colOff>
      <xdr:row>13</xdr:row>
      <xdr:rowOff>151061</xdr:rowOff>
    </xdr:to>
    <xdr:sp macro="" textlink="">
      <xdr:nvSpPr>
        <xdr:cNvPr id="12" name="TextBox 11">
          <a:extLst>
            <a:ext uri="{FF2B5EF4-FFF2-40B4-BE49-F238E27FC236}">
              <a16:creationId xmlns:a16="http://schemas.microsoft.com/office/drawing/2014/main" id="{1FCDC2E4-531D-4609-9575-750E5548D5AC}"/>
            </a:ext>
          </a:extLst>
        </xdr:cNvPr>
        <xdr:cNvSpPr txBox="1"/>
      </xdr:nvSpPr>
      <xdr:spPr>
        <a:xfrm>
          <a:off x="9879793" y="2300488"/>
          <a:ext cx="1909813" cy="266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tx1"/>
              </a:solidFill>
            </a:rPr>
            <a:t>Tracked (vs. Budget)</a:t>
          </a:r>
        </a:p>
      </xdr:txBody>
    </xdr:sp>
    <xdr:clientData/>
  </xdr:twoCellAnchor>
  <xdr:twoCellAnchor>
    <xdr:from>
      <xdr:col>38</xdr:col>
      <xdr:colOff>83634</xdr:colOff>
      <xdr:row>14</xdr:row>
      <xdr:rowOff>74342</xdr:rowOff>
    </xdr:from>
    <xdr:to>
      <xdr:col>43</xdr:col>
      <xdr:colOff>139391</xdr:colOff>
      <xdr:row>23</xdr:row>
      <xdr:rowOff>120805</xdr:rowOff>
    </xdr:to>
    <xdr:graphicFrame macro="">
      <xdr:nvGraphicFramePr>
        <xdr:cNvPr id="14" name="Chart 13">
          <a:extLst>
            <a:ext uri="{FF2B5EF4-FFF2-40B4-BE49-F238E27FC236}">
              <a16:creationId xmlns:a16="http://schemas.microsoft.com/office/drawing/2014/main" id="{8BBAE4FA-CA15-4132-A1F2-44240AB58A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41</xdr:col>
      <xdr:colOff>370050</xdr:colOff>
      <xdr:row>12</xdr:row>
      <xdr:rowOff>59327</xdr:rowOff>
    </xdr:from>
    <xdr:to>
      <xdr:col>42</xdr:col>
      <xdr:colOff>518749</xdr:colOff>
      <xdr:row>14</xdr:row>
      <xdr:rowOff>183695</xdr:rowOff>
    </xdr:to>
    <xdr:grpSp>
      <xdr:nvGrpSpPr>
        <xdr:cNvPr id="16" name="Group 15">
          <a:extLst>
            <a:ext uri="{FF2B5EF4-FFF2-40B4-BE49-F238E27FC236}">
              <a16:creationId xmlns:a16="http://schemas.microsoft.com/office/drawing/2014/main" id="{181027FB-F0DE-5A84-EF34-772217A4527F}"/>
            </a:ext>
          </a:extLst>
        </xdr:cNvPr>
        <xdr:cNvGrpSpPr/>
      </xdr:nvGrpSpPr>
      <xdr:grpSpPr>
        <a:xfrm>
          <a:off x="12094459" y="2241418"/>
          <a:ext cx="1334995" cy="488050"/>
          <a:chOff x="11881694" y="2284095"/>
          <a:chExt cx="1339324" cy="491761"/>
        </a:xfrm>
      </xdr:grpSpPr>
      <xdr:sp macro="" textlink="">
        <xdr:nvSpPr>
          <xdr:cNvPr id="15" name="Rectangle 14">
            <a:extLst>
              <a:ext uri="{FF2B5EF4-FFF2-40B4-BE49-F238E27FC236}">
                <a16:creationId xmlns:a16="http://schemas.microsoft.com/office/drawing/2014/main" id="{E4FD8752-F2D9-DC2D-B219-3E89202A1CBF}"/>
              </a:ext>
            </a:extLst>
          </xdr:cNvPr>
          <xdr:cNvSpPr/>
        </xdr:nvSpPr>
        <xdr:spPr>
          <a:xfrm>
            <a:off x="11881694" y="2287991"/>
            <a:ext cx="1337646" cy="487865"/>
          </a:xfrm>
          <a:prstGeom prst="rect">
            <a:avLst/>
          </a:prstGeom>
          <a:solidFill>
            <a:schemeClr val="bg1"/>
          </a:solidFill>
          <a:ln w="6350">
            <a:solidFill>
              <a:schemeClr val="bg1">
                <a:lumMod val="75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mc:Choice xmlns:a14="http://schemas.microsoft.com/office/drawing/2010/main" Requires="a14">
          <xdr:sp macro="" textlink="">
            <xdr:nvSpPr>
              <xdr:cNvPr id="5140" name="Check Box 20" hidden="1">
                <a:extLst>
                  <a:ext uri="{63B3BB69-23CF-44E3-9099-C40C66FF867C}">
                    <a14:compatExt spid="_x0000_s5140"/>
                  </a:ext>
                  <a:ext uri="{FF2B5EF4-FFF2-40B4-BE49-F238E27FC236}">
                    <a16:creationId xmlns:a16="http://schemas.microsoft.com/office/drawing/2014/main" id="{C0B43D51-ACEE-2DE8-D2A5-C3C6275DE578}"/>
                  </a:ext>
                </a:extLst>
              </xdr:cNvPr>
              <xdr:cNvSpPr/>
            </xdr:nvSpPr>
            <xdr:spPr bwMode="auto">
              <a:xfrm>
                <a:off x="11887199" y="2294163"/>
                <a:ext cx="720000" cy="1800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IN" sz="800" b="0" i="0" u="none" strike="noStrike" baseline="0">
                    <a:solidFill>
                      <a:srgbClr val="000000"/>
                    </a:solidFill>
                    <a:latin typeface="Segoe UI"/>
                    <a:cs typeface="Segoe UI"/>
                  </a:rPr>
                  <a:t>Budget</a:t>
                </a:r>
              </a:p>
            </xdr:txBody>
          </xdr:sp>
        </mc:Choice>
        <mc:Fallback/>
      </mc:AlternateContent>
      <mc:AlternateContent xmlns:mc="http://schemas.openxmlformats.org/markup-compatibility/2006">
        <mc:Choice xmlns:a14="http://schemas.microsoft.com/office/drawing/2010/main" Requires="a14">
          <xdr:sp macro="" textlink="">
            <xdr:nvSpPr>
              <xdr:cNvPr id="5137" name="Check Box 17" hidden="1">
                <a:extLst>
                  <a:ext uri="{63B3BB69-23CF-44E3-9099-C40C66FF867C}">
                    <a14:compatExt spid="_x0000_s5137"/>
                  </a:ext>
                  <a:ext uri="{FF2B5EF4-FFF2-40B4-BE49-F238E27FC236}">
                    <a16:creationId xmlns:a16="http://schemas.microsoft.com/office/drawing/2014/main" id="{531161C6-07DD-8D68-F60F-F8892C60B86D}"/>
                  </a:ext>
                </a:extLst>
              </xdr:cNvPr>
              <xdr:cNvSpPr/>
            </xdr:nvSpPr>
            <xdr:spPr bwMode="auto">
              <a:xfrm>
                <a:off x="12501018" y="2284095"/>
                <a:ext cx="720000" cy="1800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IN" sz="800" b="0" i="0" u="none" strike="noStrike" baseline="0">
                    <a:solidFill>
                      <a:srgbClr val="000000"/>
                    </a:solidFill>
                    <a:latin typeface="Segoe UI"/>
                    <a:cs typeface="Segoe UI"/>
                  </a:rPr>
                  <a:t>Income</a:t>
                </a:r>
              </a:p>
            </xdr:txBody>
          </xdr:sp>
        </mc:Choice>
        <mc:Fallback/>
      </mc:AlternateContent>
      <mc:AlternateContent xmlns:mc="http://schemas.openxmlformats.org/markup-compatibility/2006">
        <mc:Choice xmlns:a14="http://schemas.microsoft.com/office/drawing/2010/main" Requires="a14">
          <xdr:sp macro="" textlink="">
            <xdr:nvSpPr>
              <xdr:cNvPr id="5138" name="Check Box 18" hidden="1">
                <a:extLst>
                  <a:ext uri="{63B3BB69-23CF-44E3-9099-C40C66FF867C}">
                    <a14:compatExt spid="_x0000_s5138"/>
                  </a:ext>
                  <a:ext uri="{FF2B5EF4-FFF2-40B4-BE49-F238E27FC236}">
                    <a16:creationId xmlns:a16="http://schemas.microsoft.com/office/drawing/2014/main" id="{A5F7F67C-89BB-E502-708F-74D0B8792227}"/>
                  </a:ext>
                </a:extLst>
              </xdr:cNvPr>
              <xdr:cNvSpPr/>
            </xdr:nvSpPr>
            <xdr:spPr bwMode="auto">
              <a:xfrm>
                <a:off x="12501018" y="2429420"/>
                <a:ext cx="720000" cy="1800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IN" sz="800" b="0" i="0" u="none" strike="noStrike" baseline="0">
                    <a:solidFill>
                      <a:srgbClr val="000000"/>
                    </a:solidFill>
                    <a:latin typeface="Segoe UI"/>
                    <a:cs typeface="Segoe UI"/>
                  </a:rPr>
                  <a:t>Expenses</a:t>
                </a:r>
              </a:p>
            </xdr:txBody>
          </xdr:sp>
        </mc:Choice>
        <mc:Fallback/>
      </mc:AlternateContent>
      <mc:AlternateContent xmlns:mc="http://schemas.openxmlformats.org/markup-compatibility/2006">
        <mc:Choice xmlns:a14="http://schemas.microsoft.com/office/drawing/2010/main" Requires="a14">
          <xdr:sp macro="" textlink="">
            <xdr:nvSpPr>
              <xdr:cNvPr id="5139" name="Check Box 19" hidden="1">
                <a:extLst>
                  <a:ext uri="{63B3BB69-23CF-44E3-9099-C40C66FF867C}">
                    <a14:compatExt spid="_x0000_s5139"/>
                  </a:ext>
                  <a:ext uri="{FF2B5EF4-FFF2-40B4-BE49-F238E27FC236}">
                    <a16:creationId xmlns:a16="http://schemas.microsoft.com/office/drawing/2014/main" id="{44B998EC-8124-3629-F5DA-2C35F82BA47E}"/>
                  </a:ext>
                </a:extLst>
              </xdr:cNvPr>
              <xdr:cNvSpPr/>
            </xdr:nvSpPr>
            <xdr:spPr bwMode="auto">
              <a:xfrm>
                <a:off x="12501018" y="2575560"/>
                <a:ext cx="720000" cy="1800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IN" sz="800" b="0" i="0" u="none" strike="noStrike" baseline="0">
                    <a:solidFill>
                      <a:srgbClr val="000000"/>
                    </a:solidFill>
                    <a:latin typeface="Segoe UI"/>
                    <a:cs typeface="Segoe UI"/>
                  </a:rPr>
                  <a:t>Savings</a:t>
                </a:r>
              </a:p>
            </xdr:txBody>
          </xdr:sp>
        </mc:Choice>
        <mc:Fallback/>
      </mc:AlternateContent>
    </xdr:grpSp>
    <xdr:clientData/>
  </xdr:twoCellAnchor>
  <xdr:twoCellAnchor editAs="absolute">
    <xdr:from>
      <xdr:col>2</xdr:col>
      <xdr:colOff>0</xdr:colOff>
      <xdr:row>4</xdr:row>
      <xdr:rowOff>30079</xdr:rowOff>
    </xdr:from>
    <xdr:to>
      <xdr:col>26</xdr:col>
      <xdr:colOff>49866</xdr:colOff>
      <xdr:row>8</xdr:row>
      <xdr:rowOff>52760</xdr:rowOff>
    </xdr:to>
    <xdr:sp macro="" textlink="">
      <xdr:nvSpPr>
        <xdr:cNvPr id="19" name="Rectangle: Rounded Corners 18">
          <a:extLst>
            <a:ext uri="{FF2B5EF4-FFF2-40B4-BE49-F238E27FC236}">
              <a16:creationId xmlns:a16="http://schemas.microsoft.com/office/drawing/2014/main" id="{19772749-248C-D764-808A-31DFE3A909C7}"/>
            </a:ext>
          </a:extLst>
        </xdr:cNvPr>
        <xdr:cNvSpPr/>
      </xdr:nvSpPr>
      <xdr:spPr>
        <a:xfrm>
          <a:off x="443023" y="774358"/>
          <a:ext cx="2557378" cy="766960"/>
        </a:xfrm>
        <a:prstGeom prst="roundRect">
          <a:avLst/>
        </a:prstGeom>
        <a:solidFill>
          <a:schemeClr val="bg1"/>
        </a:solidFill>
        <a:ln w="3175">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24</xdr:col>
      <xdr:colOff>112198</xdr:colOff>
      <xdr:row>4</xdr:row>
      <xdr:rowOff>77698</xdr:rowOff>
    </xdr:from>
    <xdr:to>
      <xdr:col>25</xdr:col>
      <xdr:colOff>372533</xdr:colOff>
      <xdr:row>6</xdr:row>
      <xdr:rowOff>8466</xdr:rowOff>
    </xdr:to>
    <xdr:sp macro="" textlink="">
      <xdr:nvSpPr>
        <xdr:cNvPr id="20" name="TextBox 19">
          <a:extLst>
            <a:ext uri="{FF2B5EF4-FFF2-40B4-BE49-F238E27FC236}">
              <a16:creationId xmlns:a16="http://schemas.microsoft.com/office/drawing/2014/main" id="{C127C923-4D4A-99F2-CE31-04C337BCAE85}"/>
            </a:ext>
          </a:extLst>
        </xdr:cNvPr>
        <xdr:cNvSpPr txBox="1"/>
      </xdr:nvSpPr>
      <xdr:spPr>
        <a:xfrm>
          <a:off x="555221" y="821977"/>
          <a:ext cx="2156475" cy="302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Selected Year &amp; Period</a:t>
          </a:r>
        </a:p>
      </xdr:txBody>
    </xdr:sp>
    <xdr:clientData/>
  </xdr:twoCellAnchor>
  <xdr:twoCellAnchor>
    <xdr:from>
      <xdr:col>24</xdr:col>
      <xdr:colOff>186266</xdr:colOff>
      <xdr:row>6</xdr:row>
      <xdr:rowOff>25400</xdr:rowOff>
    </xdr:from>
    <xdr:to>
      <xdr:col>24</xdr:col>
      <xdr:colOff>872067</xdr:colOff>
      <xdr:row>7</xdr:row>
      <xdr:rowOff>110067</xdr:rowOff>
    </xdr:to>
    <xdr:sp macro="" textlink="selected_year">
      <xdr:nvSpPr>
        <xdr:cNvPr id="23" name="Rectangle: Rounded Corners 22">
          <a:extLst>
            <a:ext uri="{FF2B5EF4-FFF2-40B4-BE49-F238E27FC236}">
              <a16:creationId xmlns:a16="http://schemas.microsoft.com/office/drawing/2014/main" id="{EC39A67D-811D-42F7-6BDC-89D0BAE9CEF8}"/>
            </a:ext>
          </a:extLst>
        </xdr:cNvPr>
        <xdr:cNvSpPr/>
      </xdr:nvSpPr>
      <xdr:spPr>
        <a:xfrm>
          <a:off x="634999" y="1143000"/>
          <a:ext cx="685801" cy="270934"/>
        </a:xfrm>
        <a:prstGeom prst="roundRect">
          <a:avLst>
            <a:gd name="adj" fmla="val 50000"/>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A418888-CE95-43FD-9F5F-85B8C26E6E83}" type="TxLink">
            <a:rPr lang="en-US" sz="1050" b="1" i="0" u="none" strike="noStrike">
              <a:solidFill>
                <a:srgbClr val="000000"/>
              </a:solidFill>
              <a:latin typeface="Calibri"/>
              <a:ea typeface="Calibri"/>
              <a:cs typeface="Calibri"/>
            </a:rPr>
            <a:pPr algn="ctr"/>
            <a:t>2024</a:t>
          </a:fld>
          <a:endParaRPr lang="en-IN" sz="1050" b="1"/>
        </a:p>
      </xdr:txBody>
    </xdr:sp>
    <xdr:clientData/>
  </xdr:twoCellAnchor>
  <xdr:twoCellAnchor>
    <xdr:from>
      <xdr:col>24</xdr:col>
      <xdr:colOff>914399</xdr:colOff>
      <xdr:row>6</xdr:row>
      <xdr:rowOff>25400</xdr:rowOff>
    </xdr:from>
    <xdr:to>
      <xdr:col>24</xdr:col>
      <xdr:colOff>1744134</xdr:colOff>
      <xdr:row>7</xdr:row>
      <xdr:rowOff>110067</xdr:rowOff>
    </xdr:to>
    <xdr:sp macro="" textlink="selected_period_display">
      <xdr:nvSpPr>
        <xdr:cNvPr id="25" name="Rectangle: Rounded Corners 24">
          <a:extLst>
            <a:ext uri="{FF2B5EF4-FFF2-40B4-BE49-F238E27FC236}">
              <a16:creationId xmlns:a16="http://schemas.microsoft.com/office/drawing/2014/main" id="{33F89840-DC70-4AED-85E3-E1851C49172A}"/>
            </a:ext>
          </a:extLst>
        </xdr:cNvPr>
        <xdr:cNvSpPr/>
      </xdr:nvSpPr>
      <xdr:spPr>
        <a:xfrm>
          <a:off x="1357422" y="1141819"/>
          <a:ext cx="829735" cy="270736"/>
        </a:xfrm>
        <a:prstGeom prst="roundRect">
          <a:avLst>
            <a:gd name="adj" fmla="val 50000"/>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444CA17-3F83-49B4-AB45-78A3D723E41C}" type="TxLink">
            <a:rPr lang="en-US" sz="1050" b="1" i="0" u="none" strike="noStrike">
              <a:solidFill>
                <a:srgbClr val="000000"/>
              </a:solidFill>
              <a:latin typeface="Calibri"/>
              <a:ea typeface="Calibri"/>
              <a:cs typeface="Calibri"/>
            </a:rPr>
            <a:t>February</a:t>
          </a:fld>
          <a:endParaRPr lang="en-IN" sz="1050" b="1"/>
        </a:p>
      </xdr:txBody>
    </xdr:sp>
    <xdr:clientData/>
  </xdr:twoCellAnchor>
  <xdr:twoCellAnchor>
    <xdr:from>
      <xdr:col>26</xdr:col>
      <xdr:colOff>321734</xdr:colOff>
      <xdr:row>4</xdr:row>
      <xdr:rowOff>30079</xdr:rowOff>
    </xdr:from>
    <xdr:to>
      <xdr:col>28</xdr:col>
      <xdr:colOff>296333</xdr:colOff>
      <xdr:row>8</xdr:row>
      <xdr:rowOff>37797</xdr:rowOff>
    </xdr:to>
    <xdr:sp macro="" textlink="">
      <xdr:nvSpPr>
        <xdr:cNvPr id="27" name="Rectangle: Rounded Corners 26">
          <a:extLst>
            <a:ext uri="{FF2B5EF4-FFF2-40B4-BE49-F238E27FC236}">
              <a16:creationId xmlns:a16="http://schemas.microsoft.com/office/drawing/2014/main" id="{9E6017C6-C7D6-D7AC-E43E-9C3E1D87220E}"/>
            </a:ext>
          </a:extLst>
        </xdr:cNvPr>
        <xdr:cNvSpPr/>
      </xdr:nvSpPr>
      <xdr:spPr>
        <a:xfrm>
          <a:off x="3272269" y="774358"/>
          <a:ext cx="1197343" cy="751997"/>
        </a:xfrm>
        <a:prstGeom prst="roundRect">
          <a:avLst/>
        </a:prstGeom>
        <a:solidFill>
          <a:schemeClr val="bg1"/>
        </a:solidFill>
        <a:ln w="3175">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441805</xdr:colOff>
      <xdr:row>4</xdr:row>
      <xdr:rowOff>77698</xdr:rowOff>
    </xdr:from>
    <xdr:to>
      <xdr:col>28</xdr:col>
      <xdr:colOff>291795</xdr:colOff>
      <xdr:row>5</xdr:row>
      <xdr:rowOff>139361</xdr:rowOff>
    </xdr:to>
    <xdr:sp macro="" textlink="">
      <xdr:nvSpPr>
        <xdr:cNvPr id="28" name="TextBox 27">
          <a:extLst>
            <a:ext uri="{FF2B5EF4-FFF2-40B4-BE49-F238E27FC236}">
              <a16:creationId xmlns:a16="http://schemas.microsoft.com/office/drawing/2014/main" id="{DE34A2C0-03D8-07A7-B372-ACDE6BCAC1BF}"/>
            </a:ext>
          </a:extLst>
        </xdr:cNvPr>
        <xdr:cNvSpPr txBox="1"/>
      </xdr:nvSpPr>
      <xdr:spPr>
        <a:xfrm>
          <a:off x="3392340" y="821977"/>
          <a:ext cx="1072734" cy="2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a:t>
          </a:r>
          <a:r>
            <a:rPr lang="en-IN" sz="1100" b="1" baseline="0"/>
            <a:t> Compl.</a:t>
          </a:r>
          <a:endParaRPr lang="en-IN" sz="1100" b="1"/>
        </a:p>
      </xdr:txBody>
    </xdr:sp>
    <xdr:clientData/>
  </xdr:twoCellAnchor>
  <xdr:twoCellAnchor>
    <xdr:from>
      <xdr:col>26</xdr:col>
      <xdr:colOff>482142</xdr:colOff>
      <xdr:row>5</xdr:row>
      <xdr:rowOff>26581</xdr:rowOff>
    </xdr:from>
    <xdr:to>
      <xdr:col>28</xdr:col>
      <xdr:colOff>186678</xdr:colOff>
      <xdr:row>7</xdr:row>
      <xdr:rowOff>139015</xdr:rowOff>
    </xdr:to>
    <xdr:grpSp>
      <xdr:nvGrpSpPr>
        <xdr:cNvPr id="44" name="Group 43">
          <a:extLst>
            <a:ext uri="{FF2B5EF4-FFF2-40B4-BE49-F238E27FC236}">
              <a16:creationId xmlns:a16="http://schemas.microsoft.com/office/drawing/2014/main" id="{A4AA6731-1F08-2363-8BB1-2801C7259576}"/>
            </a:ext>
          </a:extLst>
        </xdr:cNvPr>
        <xdr:cNvGrpSpPr/>
      </xdr:nvGrpSpPr>
      <xdr:grpSpPr>
        <a:xfrm>
          <a:off x="3426233" y="935786"/>
          <a:ext cx="916809" cy="476115"/>
          <a:chOff x="3414954" y="1065715"/>
          <a:chExt cx="927280" cy="482110"/>
        </a:xfrm>
      </xdr:grpSpPr>
      <xdr:graphicFrame macro="">
        <xdr:nvGraphicFramePr>
          <xdr:cNvPr id="30" name="Chart 29">
            <a:extLst>
              <a:ext uri="{FF2B5EF4-FFF2-40B4-BE49-F238E27FC236}">
                <a16:creationId xmlns:a16="http://schemas.microsoft.com/office/drawing/2014/main" id="{BE41622E-8015-49A2-8A4E-4F0019F0482A}"/>
              </a:ext>
            </a:extLst>
          </xdr:cNvPr>
          <xdr:cNvGraphicFramePr>
            <a:graphicFrameLocks/>
          </xdr:cNvGraphicFramePr>
        </xdr:nvGraphicFramePr>
        <xdr:xfrm>
          <a:off x="3414954" y="1065715"/>
          <a:ext cx="927280" cy="482110"/>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9" name="TextBox 28">
            <a:extLst>
              <a:ext uri="{FF2B5EF4-FFF2-40B4-BE49-F238E27FC236}">
                <a16:creationId xmlns:a16="http://schemas.microsoft.com/office/drawing/2014/main" id="{18C457C7-D25D-2797-34B5-9CA87C3A8F83}"/>
              </a:ext>
            </a:extLst>
          </xdr:cNvPr>
          <xdr:cNvSpPr txBox="1"/>
        </xdr:nvSpPr>
        <xdr:spPr>
          <a:xfrm>
            <a:off x="3614313" y="1183540"/>
            <a:ext cx="575069" cy="228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5177D08-F591-4D27-ABDB-9D01C7D6FA74}" type="TxLink">
              <a:rPr lang="en-US" sz="1100" b="0" i="0" u="none" strike="noStrike">
                <a:solidFill>
                  <a:srgbClr val="000000"/>
                </a:solidFill>
                <a:latin typeface="Calibri"/>
                <a:ea typeface="Calibri"/>
                <a:cs typeface="Calibri"/>
              </a:rPr>
              <a:t>100%</a:t>
            </a:fld>
            <a:endParaRPr lang="en-IN" sz="1400" b="1"/>
          </a:p>
        </xdr:txBody>
      </xdr:sp>
    </xdr:grpSp>
    <xdr:clientData/>
  </xdr:twoCellAnchor>
  <xdr:twoCellAnchor editAs="absolute">
    <xdr:from>
      <xdr:col>28</xdr:col>
      <xdr:colOff>637951</xdr:colOff>
      <xdr:row>4</xdr:row>
      <xdr:rowOff>30079</xdr:rowOff>
    </xdr:from>
    <xdr:to>
      <xdr:col>34</xdr:col>
      <xdr:colOff>150626</xdr:colOff>
      <xdr:row>8</xdr:row>
      <xdr:rowOff>38562</xdr:rowOff>
    </xdr:to>
    <xdr:grpSp>
      <xdr:nvGrpSpPr>
        <xdr:cNvPr id="33" name="Group 32">
          <a:extLst>
            <a:ext uri="{FF2B5EF4-FFF2-40B4-BE49-F238E27FC236}">
              <a16:creationId xmlns:a16="http://schemas.microsoft.com/office/drawing/2014/main" id="{C0D68C2E-AB21-44E2-8B1F-4030A76B8E39}"/>
            </a:ext>
          </a:extLst>
        </xdr:cNvPr>
        <xdr:cNvGrpSpPr/>
      </xdr:nvGrpSpPr>
      <xdr:grpSpPr>
        <a:xfrm>
          <a:off x="4794315" y="757443"/>
          <a:ext cx="3010947" cy="735846"/>
          <a:chOff x="6608280" y="807640"/>
          <a:chExt cx="3028936" cy="744575"/>
        </a:xfrm>
      </xdr:grpSpPr>
      <xdr:sp macro="" textlink="">
        <xdr:nvSpPr>
          <xdr:cNvPr id="34" name="Rectangle: Rounded Corners 33">
            <a:extLst>
              <a:ext uri="{FF2B5EF4-FFF2-40B4-BE49-F238E27FC236}">
                <a16:creationId xmlns:a16="http://schemas.microsoft.com/office/drawing/2014/main" id="{9670A760-52DB-2E41-B6CA-D65E9D5DEDD6}"/>
              </a:ext>
            </a:extLst>
          </xdr:cNvPr>
          <xdr:cNvSpPr/>
        </xdr:nvSpPr>
        <xdr:spPr>
          <a:xfrm>
            <a:off x="6608280" y="807640"/>
            <a:ext cx="3021389" cy="744575"/>
          </a:xfrm>
          <a:prstGeom prst="roundRect">
            <a:avLst/>
          </a:prstGeom>
          <a:solidFill>
            <a:schemeClr val="bg1"/>
          </a:solidFill>
          <a:ln w="3175">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5" name="TextBox 34">
            <a:extLst>
              <a:ext uri="{FF2B5EF4-FFF2-40B4-BE49-F238E27FC236}">
                <a16:creationId xmlns:a16="http://schemas.microsoft.com/office/drawing/2014/main" id="{07BC5631-A666-EB6B-ACE1-C0BF7F783AE2}"/>
              </a:ext>
            </a:extLst>
          </xdr:cNvPr>
          <xdr:cNvSpPr txBox="1"/>
        </xdr:nvSpPr>
        <xdr:spPr>
          <a:xfrm>
            <a:off x="6685250" y="853824"/>
            <a:ext cx="1844899" cy="222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 Tracking Balance</a:t>
            </a:r>
          </a:p>
        </xdr:txBody>
      </xdr:sp>
      <xdr:sp macro="" textlink="Calculations!E25">
        <xdr:nvSpPr>
          <xdr:cNvPr id="36" name="TextBox 35">
            <a:extLst>
              <a:ext uri="{FF2B5EF4-FFF2-40B4-BE49-F238E27FC236}">
                <a16:creationId xmlns:a16="http://schemas.microsoft.com/office/drawing/2014/main" id="{87674FE3-FD96-8838-C7B4-65FF781A85F6}"/>
              </a:ext>
            </a:extLst>
          </xdr:cNvPr>
          <xdr:cNvSpPr txBox="1"/>
        </xdr:nvSpPr>
        <xdr:spPr>
          <a:xfrm>
            <a:off x="6676876" y="1107332"/>
            <a:ext cx="792399" cy="294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0D4105-A6CD-455E-9EA3-8D3247C901A0}" type="TxLink">
              <a:rPr lang="en-US" sz="1200" b="1" i="0" u="none" strike="noStrike">
                <a:solidFill>
                  <a:srgbClr val="000000"/>
                </a:solidFill>
                <a:latin typeface="Calibri"/>
                <a:ea typeface="Calibri"/>
                <a:cs typeface="Calibri"/>
              </a:rPr>
              <a:t> -   </a:t>
            </a:fld>
            <a:endParaRPr lang="en-IN" sz="1200" b="1"/>
          </a:p>
        </xdr:txBody>
      </xdr:sp>
      <xdr:sp macro="" textlink="Calculations!E26">
        <xdr:nvSpPr>
          <xdr:cNvPr id="37" name="TextBox 36">
            <a:extLst>
              <a:ext uri="{FF2B5EF4-FFF2-40B4-BE49-F238E27FC236}">
                <a16:creationId xmlns:a16="http://schemas.microsoft.com/office/drawing/2014/main" id="{5B32C198-81B1-E89F-7FCC-214DC0E93F51}"/>
              </a:ext>
            </a:extLst>
          </xdr:cNvPr>
          <xdr:cNvSpPr txBox="1"/>
        </xdr:nvSpPr>
        <xdr:spPr>
          <a:xfrm>
            <a:off x="7136922" y="1113685"/>
            <a:ext cx="2500294" cy="242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2226E16-6B6D-4B78-AD01-1D9CC46FE75B}" type="TxLink">
              <a:rPr lang="en-US" sz="1100" b="0" i="0" u="none" strike="noStrike">
                <a:solidFill>
                  <a:srgbClr val="000000"/>
                </a:solidFill>
                <a:latin typeface="Calibri"/>
                <a:ea typeface="Calibri"/>
                <a:cs typeface="Calibri"/>
              </a:rPr>
              <a:t>of tracked income left to be allocated</a:t>
            </a:fld>
            <a:endParaRPr lang="en-IN" sz="1000" b="1"/>
          </a:p>
        </xdr:txBody>
      </xdr:sp>
    </xdr:grpSp>
    <xdr:clientData/>
  </xdr:twoCellAnchor>
  <xdr:twoCellAnchor editAs="absolute">
    <xdr:from>
      <xdr:col>34</xdr:col>
      <xdr:colOff>427072</xdr:colOff>
      <xdr:row>3</xdr:row>
      <xdr:rowOff>180708</xdr:rowOff>
    </xdr:from>
    <xdr:to>
      <xdr:col>39</xdr:col>
      <xdr:colOff>26582</xdr:colOff>
      <xdr:row>8</xdr:row>
      <xdr:rowOff>3121</xdr:rowOff>
    </xdr:to>
    <xdr:sp macro="" textlink="">
      <xdr:nvSpPr>
        <xdr:cNvPr id="39" name="Rectangle: Rounded Corners 38">
          <a:extLst>
            <a:ext uri="{FF2B5EF4-FFF2-40B4-BE49-F238E27FC236}">
              <a16:creationId xmlns:a16="http://schemas.microsoft.com/office/drawing/2014/main" id="{DF9A3A97-16E1-94C3-43B2-4A35932B9FA0}"/>
            </a:ext>
          </a:extLst>
        </xdr:cNvPr>
        <xdr:cNvSpPr/>
      </xdr:nvSpPr>
      <xdr:spPr>
        <a:xfrm>
          <a:off x="8117956" y="738917"/>
          <a:ext cx="2620928" cy="752762"/>
        </a:xfrm>
        <a:prstGeom prst="roundRect">
          <a:avLst/>
        </a:prstGeom>
        <a:solidFill>
          <a:schemeClr val="bg1"/>
        </a:solidFill>
        <a:ln w="3175">
          <a:solidFill>
            <a:schemeClr val="bg1">
              <a:lumMod val="50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34</xdr:col>
      <xdr:colOff>504076</xdr:colOff>
      <xdr:row>4</xdr:row>
      <xdr:rowOff>67911</xdr:rowOff>
    </xdr:from>
    <xdr:to>
      <xdr:col>38</xdr:col>
      <xdr:colOff>232143</xdr:colOff>
      <xdr:row>5</xdr:row>
      <xdr:rowOff>106328</xdr:rowOff>
    </xdr:to>
    <xdr:sp macro="" textlink="">
      <xdr:nvSpPr>
        <xdr:cNvPr id="40" name="TextBox 39">
          <a:extLst>
            <a:ext uri="{FF2B5EF4-FFF2-40B4-BE49-F238E27FC236}">
              <a16:creationId xmlns:a16="http://schemas.microsoft.com/office/drawing/2014/main" id="{E7443555-1DAC-4C1C-8181-EDB0653B4CE9}"/>
            </a:ext>
          </a:extLst>
        </xdr:cNvPr>
        <xdr:cNvSpPr txBox="1"/>
      </xdr:nvSpPr>
      <xdr:spPr>
        <a:xfrm>
          <a:off x="8194960" y="812190"/>
          <a:ext cx="1845718" cy="224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 Savings Rate</a:t>
          </a:r>
        </a:p>
      </xdr:txBody>
    </xdr:sp>
    <xdr:clientData/>
  </xdr:twoCellAnchor>
  <xdr:twoCellAnchor editAs="absolute">
    <xdr:from>
      <xdr:col>35</xdr:col>
      <xdr:colOff>132419</xdr:colOff>
      <xdr:row>5</xdr:row>
      <xdr:rowOff>129275</xdr:rowOff>
    </xdr:from>
    <xdr:to>
      <xdr:col>36</xdr:col>
      <xdr:colOff>88604</xdr:colOff>
      <xdr:row>7</xdr:row>
      <xdr:rowOff>55145</xdr:rowOff>
    </xdr:to>
    <xdr:sp macro="" textlink="Calculations!E27">
      <xdr:nvSpPr>
        <xdr:cNvPr id="41" name="TextBox 40">
          <a:extLst>
            <a:ext uri="{FF2B5EF4-FFF2-40B4-BE49-F238E27FC236}">
              <a16:creationId xmlns:a16="http://schemas.microsoft.com/office/drawing/2014/main" id="{46C44066-385E-91E7-A79A-9296E1260273}"/>
            </a:ext>
          </a:extLst>
        </xdr:cNvPr>
        <xdr:cNvSpPr txBox="1"/>
      </xdr:nvSpPr>
      <xdr:spPr>
        <a:xfrm>
          <a:off x="9010605" y="1059624"/>
          <a:ext cx="523255" cy="298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6D377A3-AA79-4231-98B7-D7EC09527688}" type="TxLink">
            <a:rPr lang="en-US" sz="1400" b="1" i="0" u="none" strike="noStrike">
              <a:solidFill>
                <a:srgbClr val="FFC000"/>
              </a:solidFill>
              <a:latin typeface="Calibri"/>
              <a:ea typeface="Calibri"/>
              <a:cs typeface="Calibri"/>
            </a:rPr>
            <a:pPr algn="ctr"/>
            <a:t>26%</a:t>
          </a:fld>
          <a:endParaRPr lang="en-IN" sz="1400" b="1">
            <a:solidFill>
              <a:srgbClr val="FFC000"/>
            </a:solidFill>
          </a:endParaRPr>
        </a:p>
      </xdr:txBody>
    </xdr:sp>
    <xdr:clientData/>
  </xdr:twoCellAnchor>
  <xdr:twoCellAnchor editAs="absolute">
    <xdr:from>
      <xdr:col>34</xdr:col>
      <xdr:colOff>512926</xdr:colOff>
      <xdr:row>5</xdr:row>
      <xdr:rowOff>141768</xdr:rowOff>
    </xdr:from>
    <xdr:to>
      <xdr:col>35</xdr:col>
      <xdr:colOff>318977</xdr:colOff>
      <xdr:row>6</xdr:row>
      <xdr:rowOff>177210</xdr:rowOff>
    </xdr:to>
    <xdr:sp macro="" textlink="">
      <xdr:nvSpPr>
        <xdr:cNvPr id="42" name="TextBox 41">
          <a:extLst>
            <a:ext uri="{FF2B5EF4-FFF2-40B4-BE49-F238E27FC236}">
              <a16:creationId xmlns:a16="http://schemas.microsoft.com/office/drawing/2014/main" id="{7D6D7E5D-ED9D-F09C-4FD8-D486A004BAA7}"/>
            </a:ext>
          </a:extLst>
        </xdr:cNvPr>
        <xdr:cNvSpPr txBox="1"/>
      </xdr:nvSpPr>
      <xdr:spPr>
        <a:xfrm>
          <a:off x="8203810" y="1072117"/>
          <a:ext cx="993353" cy="221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rgbClr val="000000"/>
              </a:solidFill>
              <a:latin typeface="Calibri"/>
              <a:ea typeface="Calibri"/>
              <a:cs typeface="Calibri"/>
            </a:rPr>
            <a:t>You</a:t>
          </a:r>
          <a:r>
            <a:rPr lang="en-US" sz="1000" b="0" i="0" u="none" strike="noStrike" baseline="0">
              <a:solidFill>
                <a:srgbClr val="000000"/>
              </a:solidFill>
              <a:latin typeface="Calibri"/>
              <a:ea typeface="Calibri"/>
              <a:cs typeface="Calibri"/>
            </a:rPr>
            <a:t> are saving</a:t>
          </a:r>
          <a:endParaRPr lang="en-US" sz="1000" b="0" i="0" u="none" strike="noStrike">
            <a:solidFill>
              <a:srgbClr val="000000"/>
            </a:solidFill>
            <a:latin typeface="Calibri"/>
            <a:ea typeface="Calibri"/>
            <a:cs typeface="Calibri"/>
          </a:endParaRPr>
        </a:p>
      </xdr:txBody>
    </xdr:sp>
    <xdr:clientData/>
  </xdr:twoCellAnchor>
  <xdr:twoCellAnchor editAs="absolute">
    <xdr:from>
      <xdr:col>35</xdr:col>
      <xdr:colOff>541279</xdr:colOff>
      <xdr:row>5</xdr:row>
      <xdr:rowOff>141768</xdr:rowOff>
    </xdr:from>
    <xdr:to>
      <xdr:col>38</xdr:col>
      <xdr:colOff>735418</xdr:colOff>
      <xdr:row>7</xdr:row>
      <xdr:rowOff>15950</xdr:rowOff>
    </xdr:to>
    <xdr:sp macro="" textlink="">
      <xdr:nvSpPr>
        <xdr:cNvPr id="43" name="TextBox 42">
          <a:extLst>
            <a:ext uri="{FF2B5EF4-FFF2-40B4-BE49-F238E27FC236}">
              <a16:creationId xmlns:a16="http://schemas.microsoft.com/office/drawing/2014/main" id="{01198C9A-3B69-44F1-BC77-94977FA11193}"/>
            </a:ext>
          </a:extLst>
        </xdr:cNvPr>
        <xdr:cNvSpPr txBox="1"/>
      </xdr:nvSpPr>
      <xdr:spPr>
        <a:xfrm>
          <a:off x="9419465" y="1072117"/>
          <a:ext cx="1124488" cy="246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rgbClr val="000000"/>
              </a:solidFill>
              <a:latin typeface="Calibri"/>
              <a:ea typeface="Calibri"/>
              <a:cs typeface="Calibri"/>
            </a:rPr>
            <a:t>of your income.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B8DF6C-FDE6-4A19-8B9A-7D640E6C53F4}" name="Income" displayName="Income" ref="C10:C13" totalsRowShown="0" headerRowDxfId="59" dataDxfId="58">
  <autoFilter ref="C10:C13" xr:uid="{16B8DF6C-FDE6-4A19-8B9A-7D640E6C53F4}">
    <filterColumn colId="0" hiddenButton="1"/>
  </autoFilter>
  <tableColumns count="1">
    <tableColumn id="1" xr3:uid="{1647DC45-74B7-470A-8348-A8FDC782D4BC}" name="Income" dataDxfId="57"/>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25073F-A436-4B21-8F92-D46BA1FAEBD7}" name="Expenses" displayName="Expenses" ref="C24:C33" totalsRowShown="0" headerRowDxfId="54" dataDxfId="53">
  <autoFilter ref="C24:C33" xr:uid="{FE25073F-A436-4B21-8F92-D46BA1FAEBD7}">
    <filterColumn colId="0" hiddenButton="1"/>
  </autoFilter>
  <tableColumns count="1">
    <tableColumn id="1" xr3:uid="{AA473371-DCD9-4ECD-993D-191D1C5B8E9E}" name="Expenses" dataDxfId="52"/>
  </tableColumns>
  <tableStyleInfo name="Expenses 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E8BAFE-E727-45B9-8E42-E6CE65156B0F}" name="Savings" displayName="Savings" ref="C43:C48" totalsRowShown="0" headerRowDxfId="49" dataDxfId="48">
  <autoFilter ref="C43:C48" xr:uid="{9FE8BAFE-E727-45B9-8E42-E6CE65156B0F}">
    <filterColumn colId="0" hiddenButton="1"/>
  </autoFilter>
  <tableColumns count="1">
    <tableColumn id="1" xr3:uid="{3ADC9B1E-7997-4577-8B04-86209C2A3672}" name="Savings" dataDxfId="47"/>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BFFDB1-507C-4ECC-855A-7F55230F5552}" name="Tracking" displayName="Tracking" ref="C11:I70" totalsRowShown="0" headerRowDxfId="43" dataDxfId="42">
  <autoFilter ref="C11:I70" xr:uid="{8ABFFDB1-507C-4ECC-855A-7F55230F5552}"/>
  <sortState xmlns:xlrd2="http://schemas.microsoft.com/office/spreadsheetml/2017/richdata2" ref="C16:I42">
    <sortCondition ref="C11:C42"/>
  </sortState>
  <tableColumns count="7">
    <tableColumn id="1" xr3:uid="{DB727A59-D1F6-420D-9DDD-131017A7912F}" name="Date" dataDxfId="41"/>
    <tableColumn id="2" xr3:uid="{FAB1D464-B1EF-4766-AFD6-099F4DC71EBF}" name="Type" dataDxfId="40"/>
    <tableColumn id="3" xr3:uid="{069FB077-E65A-4924-8D68-332410FC1D98}" name="Category" dataDxfId="39"/>
    <tableColumn id="4" xr3:uid="{C0B0F696-08CC-4171-9C62-4F4177866A35}" name="Amount" dataDxfId="38" dataCellStyle="Comma"/>
    <tableColumn id="5" xr3:uid="{E1EB66FF-392E-4A15-9ECA-1554F14201E7}" name="Details" dataDxfId="37"/>
    <tableColumn id="6" xr3:uid="{5CD13A99-C3B2-4BA8-87E6-E7E61CAE52CD}" name="Balance" dataDxfId="36" dataCellStyle="Comma">
      <calculatedColumnFormula array="1">SUMPRODUCT(Tracking[Amount], --(Tracking[Date]&lt;=Tracking[[#This Row],[Date]]), (Tracking[Type] &lt;&gt; "Income") * (-1) + (Tracking[Type] = "Income"))</calculatedColumnFormula>
    </tableColumn>
    <tableColumn id="7" xr3:uid="{BFF1A124-DED2-4D8C-BF04-C63BE25C3312}" name="Effective Date" dataDxfId="35">
      <calculatedColumnFormula>IF(AND(Tracking[[#This Row],[Type]]="Income", shift_late_income_status="Active", DAY(Tracking[[#This Row],[Date]])&gt;=shift_late_income_starting_day), DATE(YEAR(Tracking[[#This Row],[Date]]), MONTH(Tracking[[#This Row],[Date]])+1, 1), 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9C9AE-EC66-4574-8AB7-1080499444D5}">
  <dimension ref="A1:U24"/>
  <sheetViews>
    <sheetView showGridLines="0" zoomScale="119" workbookViewId="0">
      <selection activeCell="L41" sqref="L41"/>
    </sheetView>
  </sheetViews>
  <sheetFormatPr defaultRowHeight="14.4" x14ac:dyDescent="0.3"/>
  <cols>
    <col min="2" max="2" width="2.77734375" customWidth="1"/>
    <col min="3" max="3" width="26.109375" customWidth="1"/>
    <col min="4" max="4" width="25.44140625" customWidth="1"/>
    <col min="5" max="5" width="1.44140625" customWidth="1"/>
    <col min="6" max="6" width="75.33203125" customWidth="1"/>
    <col min="7" max="7" width="2.6640625" customWidth="1"/>
  </cols>
  <sheetData>
    <row r="1" spans="1:21" x14ac:dyDescent="0.3">
      <c r="A1" s="1"/>
      <c r="B1" s="2" t="s">
        <v>0</v>
      </c>
      <c r="C1" s="3"/>
      <c r="D1" s="3"/>
      <c r="E1" s="3"/>
      <c r="F1" s="1"/>
      <c r="G1" s="1"/>
      <c r="H1" s="1"/>
      <c r="I1" s="1"/>
      <c r="J1" s="1"/>
      <c r="K1" s="1"/>
      <c r="L1" s="1"/>
      <c r="M1" s="1"/>
      <c r="N1" s="1"/>
      <c r="O1" s="1"/>
      <c r="P1" s="1"/>
      <c r="Q1" s="1"/>
      <c r="R1" s="1"/>
      <c r="S1" s="1"/>
      <c r="T1" s="1"/>
      <c r="U1" s="1"/>
    </row>
    <row r="2" spans="1:21" x14ac:dyDescent="0.3">
      <c r="A2" s="1"/>
      <c r="B2" s="3"/>
      <c r="C2" s="3"/>
      <c r="D2" s="3"/>
      <c r="E2" s="3"/>
      <c r="F2" s="1"/>
      <c r="G2" s="1"/>
      <c r="H2" s="1"/>
      <c r="I2" s="1"/>
      <c r="J2" s="1"/>
      <c r="K2" s="1"/>
      <c r="L2" s="1"/>
      <c r="M2" s="1"/>
      <c r="N2" s="1"/>
      <c r="O2" s="1"/>
      <c r="P2" s="1"/>
      <c r="Q2" s="1"/>
      <c r="R2" s="1"/>
      <c r="S2" s="1"/>
      <c r="T2" s="1"/>
      <c r="U2" s="1"/>
    </row>
    <row r="3" spans="1:21" x14ac:dyDescent="0.3">
      <c r="A3" s="1"/>
      <c r="B3" s="3"/>
      <c r="C3" s="3"/>
      <c r="D3" s="3"/>
      <c r="E3" s="3"/>
      <c r="F3" s="1"/>
      <c r="G3" s="1"/>
      <c r="H3" s="1"/>
      <c r="I3" s="1"/>
      <c r="J3" s="1"/>
      <c r="K3" s="1"/>
      <c r="L3" s="1"/>
      <c r="M3" s="1"/>
      <c r="N3" s="1"/>
      <c r="O3" s="1"/>
      <c r="P3" s="1"/>
      <c r="Q3" s="1"/>
      <c r="R3" s="1"/>
      <c r="S3" s="1"/>
      <c r="T3" s="1"/>
      <c r="U3" s="1"/>
    </row>
    <row r="5" spans="1:21" x14ac:dyDescent="0.3">
      <c r="B5" s="6" t="s">
        <v>1</v>
      </c>
      <c r="C5" s="6"/>
      <c r="D5" s="6"/>
      <c r="E5" s="6"/>
      <c r="F5" s="6"/>
      <c r="G5" s="6"/>
    </row>
    <row r="6" spans="1:21" x14ac:dyDescent="0.3">
      <c r="B6" s="7"/>
      <c r="C6" s="8"/>
      <c r="D6" s="8"/>
      <c r="E6" s="8"/>
      <c r="F6" s="8"/>
      <c r="G6" s="9"/>
    </row>
    <row r="7" spans="1:21" x14ac:dyDescent="0.3">
      <c r="B7" s="7"/>
      <c r="C7" s="13" t="s">
        <v>2</v>
      </c>
      <c r="D7" s="14">
        <v>2024</v>
      </c>
      <c r="E7" s="8"/>
      <c r="F7" s="15" t="s">
        <v>3</v>
      </c>
      <c r="G7" s="9"/>
    </row>
    <row r="8" spans="1:21" x14ac:dyDescent="0.3">
      <c r="B8" s="10"/>
      <c r="C8" s="11"/>
      <c r="D8" s="11"/>
      <c r="E8" s="11"/>
      <c r="F8" s="11"/>
      <c r="G8" s="12"/>
    </row>
    <row r="10" spans="1:21" x14ac:dyDescent="0.3">
      <c r="B10" s="6" t="s">
        <v>116</v>
      </c>
      <c r="C10" s="6"/>
      <c r="D10" s="6"/>
      <c r="E10" s="6"/>
      <c r="F10" s="6"/>
      <c r="G10" s="6"/>
    </row>
    <row r="11" spans="1:21" x14ac:dyDescent="0.3">
      <c r="B11" s="7"/>
      <c r="C11" s="8"/>
      <c r="D11" s="8"/>
      <c r="E11" s="8"/>
      <c r="F11" s="8"/>
      <c r="G11" s="9"/>
    </row>
    <row r="12" spans="1:21" x14ac:dyDescent="0.3">
      <c r="B12" s="7"/>
      <c r="C12" s="13" t="s">
        <v>39</v>
      </c>
      <c r="D12" s="8"/>
      <c r="E12" s="8"/>
      <c r="F12" s="8"/>
      <c r="G12" s="9"/>
    </row>
    <row r="13" spans="1:21" x14ac:dyDescent="0.3">
      <c r="B13" s="7"/>
      <c r="C13" s="8"/>
      <c r="D13" s="8"/>
      <c r="E13" s="8"/>
      <c r="F13" s="8"/>
      <c r="G13" s="9"/>
    </row>
    <row r="14" spans="1:21" x14ac:dyDescent="0.3">
      <c r="B14" s="7"/>
      <c r="C14" s="13" t="s">
        <v>40</v>
      </c>
      <c r="D14" s="14" t="s">
        <v>41</v>
      </c>
      <c r="E14" s="8"/>
      <c r="F14" s="45" t="s">
        <v>43</v>
      </c>
      <c r="G14" s="9"/>
    </row>
    <row r="15" spans="1:21" ht="4.2" customHeight="1" x14ac:dyDescent="0.3">
      <c r="B15" s="7"/>
      <c r="C15" s="8"/>
      <c r="D15" s="8"/>
      <c r="E15" s="8"/>
      <c r="F15" s="45"/>
      <c r="G15" s="9"/>
    </row>
    <row r="16" spans="1:21" x14ac:dyDescent="0.3">
      <c r="B16" s="7"/>
      <c r="C16" s="13" t="s">
        <v>42</v>
      </c>
      <c r="D16" s="14">
        <v>20</v>
      </c>
      <c r="E16" s="8"/>
      <c r="F16" s="45"/>
      <c r="G16" s="9"/>
    </row>
    <row r="17" spans="2:7" x14ac:dyDescent="0.3">
      <c r="B17" s="7"/>
      <c r="C17" s="8"/>
      <c r="D17" s="8"/>
      <c r="E17" s="8"/>
      <c r="F17" s="8"/>
      <c r="G17" s="9"/>
    </row>
    <row r="18" spans="2:7" x14ac:dyDescent="0.3">
      <c r="B18" s="7"/>
      <c r="C18" s="13" t="s">
        <v>113</v>
      </c>
      <c r="D18" s="8"/>
      <c r="E18" s="8"/>
      <c r="F18" s="8"/>
      <c r="G18" s="9"/>
    </row>
    <row r="19" spans="2:7" x14ac:dyDescent="0.3">
      <c r="B19" s="7"/>
      <c r="C19" s="8"/>
      <c r="D19" s="8"/>
      <c r="E19" s="8"/>
      <c r="F19" s="8"/>
      <c r="G19" s="9"/>
    </row>
    <row r="20" spans="2:7" x14ac:dyDescent="0.3">
      <c r="B20" s="7"/>
      <c r="C20" s="13" t="s">
        <v>114</v>
      </c>
      <c r="D20" s="14" t="s">
        <v>115</v>
      </c>
      <c r="E20" s="8"/>
      <c r="F20" s="45" t="s">
        <v>117</v>
      </c>
      <c r="G20" s="9"/>
    </row>
    <row r="21" spans="2:7" x14ac:dyDescent="0.3">
      <c r="B21" s="7"/>
      <c r="C21" s="8"/>
      <c r="D21" s="8"/>
      <c r="E21" s="8"/>
      <c r="F21" s="45"/>
      <c r="G21" s="9"/>
    </row>
    <row r="22" spans="2:7" x14ac:dyDescent="0.3">
      <c r="B22" s="7"/>
      <c r="C22" s="8"/>
      <c r="D22" s="8"/>
      <c r="E22" s="8"/>
      <c r="F22" s="45"/>
      <c r="G22" s="9"/>
    </row>
    <row r="23" spans="2:7" x14ac:dyDescent="0.3">
      <c r="B23" s="7"/>
      <c r="C23" s="8"/>
      <c r="D23" s="8"/>
      <c r="E23" s="8"/>
      <c r="F23" s="8"/>
      <c r="G23" s="9"/>
    </row>
    <row r="24" spans="2:7" x14ac:dyDescent="0.3">
      <c r="B24" s="10"/>
      <c r="C24" s="11"/>
      <c r="D24" s="11"/>
      <c r="E24" s="11"/>
      <c r="F24" s="11"/>
      <c r="G24" s="12"/>
    </row>
  </sheetData>
  <mergeCells count="5">
    <mergeCell ref="B1:E3"/>
    <mergeCell ref="B5:G5"/>
    <mergeCell ref="B10:G10"/>
    <mergeCell ref="F14:F16"/>
    <mergeCell ref="F20:F22"/>
  </mergeCells>
  <conditionalFormatting sqref="D16">
    <cfRule type="expression" dxfId="34" priority="1">
      <formula>shift_late_income_status="Inactive"</formula>
    </cfRule>
  </conditionalFormatting>
  <dataValidations count="2">
    <dataValidation type="list" allowBlank="1" showInputMessage="1" showErrorMessage="1" sqref="D14" xr:uid="{E2E040A7-7C2E-4C1B-BDBA-F1D457B83F30}">
      <formula1>"Active, Inactive"</formula1>
    </dataValidation>
    <dataValidation type="list" allowBlank="1" showInputMessage="1" showErrorMessage="1" sqref="D20" xr:uid="{C406AC33-1CE4-4DE9-9877-0E177DD1D6C5}">
      <formula1>"% allocated to Savings, % not allocated to Expenses"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BCEEF-16E5-47B1-AED2-D9F8D11FC3FD}">
  <dimension ref="A1:CJ59"/>
  <sheetViews>
    <sheetView showGridLines="0" zoomScale="87" zoomScaleNormal="90" workbookViewId="0">
      <pane xSplit="4" ySplit="3" topLeftCell="E4" activePane="bottomRight" state="frozen"/>
      <selection pane="topRight" activeCell="E1" sqref="E1"/>
      <selection pane="bottomLeft" activeCell="A4" sqref="A4"/>
      <selection pane="bottomRight" activeCell="BU68" sqref="BU68"/>
    </sheetView>
  </sheetViews>
  <sheetFormatPr defaultRowHeight="14.4" outlineLevelCol="1" x14ac:dyDescent="0.3"/>
  <cols>
    <col min="1" max="1" width="5" customWidth="1"/>
    <col min="2" max="2" width="3.21875" customWidth="1"/>
    <col min="3" max="3" width="26.6640625" customWidth="1"/>
    <col min="4" max="4" width="1.21875" customWidth="1"/>
    <col min="5" max="15" width="10.109375" customWidth="1" outlineLevel="1"/>
    <col min="16" max="16" width="11" customWidth="1" outlineLevel="1"/>
    <col min="18" max="18" width="1.109375" customWidth="1"/>
    <col min="19" max="29" width="10.109375" hidden="1" customWidth="1" outlineLevel="1"/>
    <col min="30" max="30" width="11" hidden="1" customWidth="1" outlineLevel="1"/>
    <col min="31" max="31" width="8.88671875" collapsed="1"/>
    <col min="32" max="32" width="1.109375" customWidth="1"/>
    <col min="33" max="43" width="10.109375" hidden="1" customWidth="1" outlineLevel="1"/>
    <col min="44" max="44" width="11" hidden="1" customWidth="1" outlineLevel="1"/>
    <col min="45" max="45" width="8.88671875" collapsed="1"/>
    <col min="46" max="46" width="1.109375" customWidth="1"/>
    <col min="47" max="57" width="10.109375" hidden="1" customWidth="1" outlineLevel="1"/>
    <col min="58" max="58" width="11" hidden="1" customWidth="1" outlineLevel="1"/>
    <col min="59" max="59" width="8.88671875" collapsed="1"/>
    <col min="60" max="60" width="1.109375" customWidth="1"/>
    <col min="61" max="71" width="10.109375" hidden="1" customWidth="1" outlineLevel="1"/>
    <col min="72" max="72" width="11" hidden="1" customWidth="1" outlineLevel="1"/>
    <col min="73" max="73" width="8.88671875" collapsed="1"/>
    <col min="74" max="74" width="1.109375" customWidth="1"/>
    <col min="75" max="85" width="10.109375" hidden="1" customWidth="1" outlineLevel="1"/>
    <col min="86" max="86" width="11" hidden="1" customWidth="1" outlineLevel="1"/>
    <col min="87" max="87" width="8.88671875" collapsed="1"/>
    <col min="88" max="88" width="1.109375" customWidth="1"/>
  </cols>
  <sheetData>
    <row r="1" spans="1:88" ht="14.4" customHeight="1" x14ac:dyDescent="0.3">
      <c r="A1" s="1"/>
      <c r="B1" s="23"/>
      <c r="C1" s="2" t="s">
        <v>4</v>
      </c>
      <c r="D1" s="16"/>
      <c r="E1" s="16"/>
      <c r="F1" s="24"/>
      <c r="G1" s="24"/>
      <c r="H1" s="1"/>
      <c r="I1" s="1"/>
      <c r="J1" s="1"/>
      <c r="K1" s="1"/>
      <c r="L1" s="1"/>
      <c r="M1" s="1"/>
      <c r="N1" s="1"/>
      <c r="O1" s="1"/>
      <c r="P1" s="1"/>
      <c r="Q1" s="1"/>
      <c r="R1" s="1"/>
      <c r="S1" s="1"/>
      <c r="T1" s="24"/>
      <c r="U1" s="24"/>
      <c r="V1" s="1"/>
      <c r="W1" s="1"/>
      <c r="X1" s="1"/>
      <c r="Y1" s="1"/>
      <c r="Z1" s="1"/>
      <c r="AA1" s="1"/>
      <c r="AB1" s="1"/>
      <c r="AC1" s="1"/>
      <c r="AD1" s="1"/>
      <c r="AE1" s="1"/>
      <c r="AF1" s="1"/>
      <c r="AG1" s="1"/>
      <c r="AH1" s="24"/>
      <c r="AI1" s="24"/>
      <c r="AJ1" s="1"/>
      <c r="AK1" s="1"/>
      <c r="AL1" s="1"/>
      <c r="AM1" s="1"/>
      <c r="AN1" s="1"/>
      <c r="AO1" s="1"/>
      <c r="AP1" s="1"/>
      <c r="AQ1" s="1"/>
      <c r="AR1" s="1"/>
      <c r="AS1" s="1"/>
      <c r="AT1" s="1"/>
      <c r="AU1" s="1"/>
      <c r="AV1" s="24"/>
      <c r="AW1" s="24"/>
      <c r="AX1" s="1"/>
      <c r="AY1" s="1"/>
      <c r="AZ1" s="1"/>
      <c r="BA1" s="1"/>
      <c r="BB1" s="1"/>
      <c r="BC1" s="1"/>
      <c r="BD1" s="1"/>
      <c r="BE1" s="1"/>
      <c r="BF1" s="1"/>
      <c r="BG1" s="1"/>
      <c r="BH1" s="1"/>
      <c r="BI1" s="1"/>
      <c r="BJ1" s="24"/>
      <c r="BK1" s="24"/>
      <c r="BL1" s="1"/>
      <c r="BM1" s="1"/>
      <c r="BN1" s="1"/>
      <c r="BO1" s="1"/>
      <c r="BP1" s="1"/>
      <c r="BQ1" s="1"/>
      <c r="BR1" s="1"/>
      <c r="BS1" s="1"/>
      <c r="BT1" s="1"/>
      <c r="BU1" s="1"/>
      <c r="BV1" s="1"/>
      <c r="BW1" s="1"/>
      <c r="BX1" s="24"/>
      <c r="BY1" s="24"/>
      <c r="BZ1" s="1"/>
      <c r="CA1" s="1"/>
      <c r="CB1" s="1"/>
      <c r="CC1" s="1"/>
      <c r="CD1" s="1"/>
      <c r="CE1" s="1"/>
      <c r="CF1" s="1"/>
      <c r="CG1" s="1"/>
      <c r="CH1" s="1"/>
      <c r="CI1" s="1"/>
      <c r="CJ1" s="1"/>
    </row>
    <row r="2" spans="1:88" x14ac:dyDescent="0.3">
      <c r="A2" s="1"/>
      <c r="B2" s="24"/>
      <c r="C2" s="16"/>
      <c r="D2" s="16"/>
      <c r="E2" s="16"/>
      <c r="F2" s="24"/>
      <c r="G2" s="24"/>
      <c r="H2" s="1"/>
      <c r="I2" s="1"/>
      <c r="J2" s="1"/>
      <c r="K2" s="1"/>
      <c r="L2" s="1"/>
      <c r="M2" s="1"/>
      <c r="N2" s="1"/>
      <c r="O2" s="1"/>
      <c r="P2" s="1"/>
      <c r="Q2" s="1"/>
      <c r="R2" s="1"/>
      <c r="S2" s="1"/>
      <c r="T2" s="24"/>
      <c r="U2" s="24"/>
      <c r="V2" s="1"/>
      <c r="W2" s="1"/>
      <c r="X2" s="1"/>
      <c r="Y2" s="1"/>
      <c r="Z2" s="1"/>
      <c r="AA2" s="1"/>
      <c r="AB2" s="1"/>
      <c r="AC2" s="1"/>
      <c r="AD2" s="1"/>
      <c r="AE2" s="1"/>
      <c r="AF2" s="1"/>
      <c r="AG2" s="1"/>
      <c r="AH2" s="24"/>
      <c r="AI2" s="24"/>
      <c r="AJ2" s="1"/>
      <c r="AK2" s="1"/>
      <c r="AL2" s="1"/>
      <c r="AM2" s="1"/>
      <c r="AN2" s="1"/>
      <c r="AO2" s="1"/>
      <c r="AP2" s="1"/>
      <c r="AQ2" s="1"/>
      <c r="AR2" s="1"/>
      <c r="AS2" s="1"/>
      <c r="AT2" s="1"/>
      <c r="AU2" s="1"/>
      <c r="AV2" s="24"/>
      <c r="AW2" s="24"/>
      <c r="AX2" s="1"/>
      <c r="AY2" s="1"/>
      <c r="AZ2" s="1"/>
      <c r="BA2" s="1"/>
      <c r="BB2" s="1"/>
      <c r="BC2" s="1"/>
      <c r="BD2" s="1"/>
      <c r="BE2" s="1"/>
      <c r="BF2" s="1"/>
      <c r="BG2" s="1"/>
      <c r="BH2" s="1"/>
      <c r="BI2" s="1"/>
      <c r="BJ2" s="24"/>
      <c r="BK2" s="24"/>
      <c r="BL2" s="1"/>
      <c r="BM2" s="1"/>
      <c r="BN2" s="1"/>
      <c r="BO2" s="1"/>
      <c r="BP2" s="1"/>
      <c r="BQ2" s="1"/>
      <c r="BR2" s="1"/>
      <c r="BS2" s="1"/>
      <c r="BT2" s="1"/>
      <c r="BU2" s="1"/>
      <c r="BV2" s="1"/>
      <c r="BW2" s="1"/>
      <c r="BX2" s="24"/>
      <c r="BY2" s="24"/>
      <c r="BZ2" s="1"/>
      <c r="CA2" s="1"/>
      <c r="CB2" s="1"/>
      <c r="CC2" s="1"/>
      <c r="CD2" s="1"/>
      <c r="CE2" s="1"/>
      <c r="CF2" s="1"/>
      <c r="CG2" s="1"/>
      <c r="CH2" s="1"/>
      <c r="CI2" s="1"/>
      <c r="CJ2" s="1"/>
    </row>
    <row r="3" spans="1:88" x14ac:dyDescent="0.3">
      <c r="A3" s="1"/>
      <c r="B3" s="24"/>
      <c r="C3" s="16"/>
      <c r="D3" s="16"/>
      <c r="E3" s="16"/>
      <c r="F3" s="24"/>
      <c r="G3" s="24"/>
      <c r="H3" s="1"/>
      <c r="I3" s="1"/>
      <c r="J3" s="1"/>
      <c r="K3" s="1"/>
      <c r="L3" s="1"/>
      <c r="M3" s="1"/>
      <c r="N3" s="1"/>
      <c r="O3" s="1"/>
      <c r="P3" s="1"/>
      <c r="Q3" s="1"/>
      <c r="R3" s="1"/>
      <c r="S3" s="1"/>
      <c r="T3" s="24"/>
      <c r="U3" s="24"/>
      <c r="V3" s="1"/>
      <c r="W3" s="1"/>
      <c r="X3" s="1"/>
      <c r="Y3" s="1"/>
      <c r="Z3" s="1"/>
      <c r="AA3" s="1"/>
      <c r="AB3" s="1"/>
      <c r="AC3" s="1"/>
      <c r="AD3" s="1"/>
      <c r="AE3" s="1"/>
      <c r="AF3" s="1"/>
      <c r="AG3" s="1"/>
      <c r="AH3" s="24"/>
      <c r="AI3" s="24"/>
      <c r="AJ3" s="1"/>
      <c r="AK3" s="1"/>
      <c r="AL3" s="1"/>
      <c r="AM3" s="1"/>
      <c r="AN3" s="1"/>
      <c r="AO3" s="1"/>
      <c r="AP3" s="1"/>
      <c r="AQ3" s="1"/>
      <c r="AR3" s="1"/>
      <c r="AS3" s="1"/>
      <c r="AT3" s="1"/>
      <c r="AU3" s="1"/>
      <c r="AV3" s="24"/>
      <c r="AW3" s="24"/>
      <c r="AX3" s="1"/>
      <c r="AY3" s="1"/>
      <c r="AZ3" s="1"/>
      <c r="BA3" s="1"/>
      <c r="BB3" s="1"/>
      <c r="BC3" s="1"/>
      <c r="BD3" s="1"/>
      <c r="BE3" s="1"/>
      <c r="BF3" s="1"/>
      <c r="BG3" s="1"/>
      <c r="BH3" s="1"/>
      <c r="BI3" s="1"/>
      <c r="BJ3" s="24"/>
      <c r="BK3" s="24"/>
      <c r="BL3" s="1"/>
      <c r="BM3" s="1"/>
      <c r="BN3" s="1"/>
      <c r="BO3" s="1"/>
      <c r="BP3" s="1"/>
      <c r="BQ3" s="1"/>
      <c r="BR3" s="1"/>
      <c r="BS3" s="1"/>
      <c r="BT3" s="1"/>
      <c r="BU3" s="1"/>
      <c r="BV3" s="1"/>
      <c r="BW3" s="1"/>
      <c r="BX3" s="24"/>
      <c r="BY3" s="24"/>
      <c r="BZ3" s="1"/>
      <c r="CA3" s="1"/>
      <c r="CB3" s="1"/>
      <c r="CC3" s="1"/>
      <c r="CD3" s="1"/>
      <c r="CE3" s="1"/>
      <c r="CF3" s="1"/>
      <c r="CG3" s="1"/>
      <c r="CH3" s="1"/>
      <c r="CI3" s="1"/>
      <c r="CJ3" s="1"/>
    </row>
    <row r="5" spans="1:88" ht="16.8" customHeight="1" x14ac:dyDescent="0.3">
      <c r="C5" s="29" t="s">
        <v>5</v>
      </c>
      <c r="E5" s="17">
        <f>Starting_year</f>
        <v>2024</v>
      </c>
      <c r="F5" s="17"/>
      <c r="G5" s="17"/>
      <c r="H5" s="17"/>
      <c r="I5" s="17"/>
      <c r="J5" s="17"/>
      <c r="K5" s="17"/>
      <c r="L5" s="17"/>
      <c r="M5" s="17"/>
      <c r="N5" s="17"/>
      <c r="O5" s="17"/>
      <c r="P5" s="17"/>
      <c r="Q5" s="17"/>
      <c r="S5" s="17">
        <f>E5+1</f>
        <v>2025</v>
      </c>
      <c r="T5" s="17"/>
      <c r="U5" s="17"/>
      <c r="V5" s="17"/>
      <c r="W5" s="17"/>
      <c r="X5" s="17"/>
      <c r="Y5" s="17"/>
      <c r="Z5" s="17"/>
      <c r="AA5" s="17"/>
      <c r="AB5" s="17"/>
      <c r="AC5" s="17"/>
      <c r="AD5" s="17"/>
      <c r="AE5" s="17"/>
      <c r="AG5" s="17">
        <f t="shared" ref="AG5" si="0">S5+1</f>
        <v>2026</v>
      </c>
      <c r="AH5" s="17"/>
      <c r="AI5" s="17"/>
      <c r="AJ5" s="17"/>
      <c r="AK5" s="17"/>
      <c r="AL5" s="17"/>
      <c r="AM5" s="17"/>
      <c r="AN5" s="17"/>
      <c r="AO5" s="17"/>
      <c r="AP5" s="17"/>
      <c r="AQ5" s="17"/>
      <c r="AR5" s="17"/>
      <c r="AS5" s="17"/>
      <c r="AU5" s="17">
        <f t="shared" ref="AU5" si="1">AG5+1</f>
        <v>2027</v>
      </c>
      <c r="AV5" s="17"/>
      <c r="AW5" s="17"/>
      <c r="AX5" s="17"/>
      <c r="AY5" s="17"/>
      <c r="AZ5" s="17"/>
      <c r="BA5" s="17"/>
      <c r="BB5" s="17"/>
      <c r="BC5" s="17"/>
      <c r="BD5" s="17"/>
      <c r="BE5" s="17"/>
      <c r="BF5" s="17"/>
      <c r="BG5" s="17"/>
      <c r="BI5" s="17">
        <f t="shared" ref="BI5" si="2">AU5+1</f>
        <v>2028</v>
      </c>
      <c r="BJ5" s="17"/>
      <c r="BK5" s="17"/>
      <c r="BL5" s="17"/>
      <c r="BM5" s="17"/>
      <c r="BN5" s="17"/>
      <c r="BO5" s="17"/>
      <c r="BP5" s="17"/>
      <c r="BQ5" s="17"/>
      <c r="BR5" s="17"/>
      <c r="BS5" s="17"/>
      <c r="BT5" s="17"/>
      <c r="BU5" s="17"/>
      <c r="BW5" s="17">
        <f t="shared" ref="BW5" si="3">BI5+1</f>
        <v>2029</v>
      </c>
      <c r="BX5" s="17"/>
      <c r="BY5" s="17"/>
      <c r="BZ5" s="17"/>
      <c r="CA5" s="17"/>
      <c r="CB5" s="17"/>
      <c r="CC5" s="17"/>
      <c r="CD5" s="17"/>
      <c r="CE5" s="17"/>
      <c r="CF5" s="17"/>
      <c r="CG5" s="17"/>
      <c r="CH5" s="17"/>
      <c r="CI5" s="17"/>
    </row>
    <row r="6" spans="1:88" x14ac:dyDescent="0.3">
      <c r="E6" s="37" t="str">
        <f ca="1">IF(E7=0,"Jan*", "Jan")</f>
        <v>Jan*</v>
      </c>
      <c r="F6" s="37" t="str">
        <f ca="1">IF(F7=0,"Feb*", "Jan")</f>
        <v>Feb*</v>
      </c>
      <c r="G6" s="37" t="str">
        <f ca="1">IF(G7=0,"Mar*", "Jan")</f>
        <v>Mar*</v>
      </c>
      <c r="H6" s="37" t="str">
        <f ca="1">IF(H7=0,"Apr*", "Jan")</f>
        <v>Apr*</v>
      </c>
      <c r="I6" s="37" t="str">
        <f ca="1">IF(I7=0,"May*", "Jan")</f>
        <v>May*</v>
      </c>
      <c r="J6" s="37" t="str">
        <f ca="1">IF(J7=0,"Jun*", "Jan")</f>
        <v>Jun*</v>
      </c>
      <c r="K6" s="37" t="str">
        <f ca="1">IF(K7=0,"Jul*", "Jan")</f>
        <v>Jul*</v>
      </c>
      <c r="L6" s="37" t="str">
        <f ca="1">IF(L7=0,"Aug*", "Jan")</f>
        <v>Aug*</v>
      </c>
      <c r="M6" s="37" t="str">
        <f ca="1">IF(M7=0,"Sep*", "Jan")</f>
        <v>Sep*</v>
      </c>
      <c r="N6" s="37" t="str">
        <f ca="1">IF(N7=0,"Oct*", "Jan")</f>
        <v>Oct*</v>
      </c>
      <c r="O6" s="37" t="str">
        <f ca="1">IF(O7=0,"Nov*", "Jan")</f>
        <v>Nov*</v>
      </c>
      <c r="P6" s="37" t="str">
        <f ca="1">IF(P7=0,"Dec*", "Jan")</f>
        <v>Dec*</v>
      </c>
      <c r="Q6" s="37" t="str">
        <f ca="1">IF(Q7=0,"Total*", "Total")</f>
        <v>Total*</v>
      </c>
      <c r="S6" s="37" t="str">
        <f ca="1">IF(S7=0,"Jan*", "Jan")</f>
        <v>Jan*</v>
      </c>
      <c r="T6" s="37" t="str">
        <f ca="1">IF(T7=0,"Feb*", "Jan")</f>
        <v>Feb*</v>
      </c>
      <c r="U6" s="37" t="str">
        <f ca="1">IF(U7=0,"Mar*", "Jan")</f>
        <v>Mar*</v>
      </c>
      <c r="V6" s="37" t="str">
        <f ca="1">IF(V7=0,"Apr*", "Jan")</f>
        <v>Apr*</v>
      </c>
      <c r="W6" s="37" t="str">
        <f ca="1">IF(W7=0,"May*", "Jan")</f>
        <v>May*</v>
      </c>
      <c r="X6" s="37" t="str">
        <f ca="1">IF(X7=0,"Jun*", "Jan")</f>
        <v>Jun*</v>
      </c>
      <c r="Y6" s="37" t="str">
        <f ca="1">IF(Y7=0,"Jul*", "Jan")</f>
        <v>Jul*</v>
      </c>
      <c r="Z6" s="37" t="str">
        <f ca="1">IF(Z7=0,"Aug*", "Jan")</f>
        <v>Aug*</v>
      </c>
      <c r="AA6" s="37" t="str">
        <f ca="1">IF(AA7=0,"Sep*", "Jan")</f>
        <v>Sep*</v>
      </c>
      <c r="AB6" s="37" t="str">
        <f ca="1">IF(AB7=0,"Oct*", "Jan")</f>
        <v>Oct*</v>
      </c>
      <c r="AC6" s="37" t="str">
        <f ca="1">IF(AC7=0,"Nov*", "Jan")</f>
        <v>Nov*</v>
      </c>
      <c r="AD6" s="37" t="str">
        <f ca="1">IF(AD7=0,"Dec*", "Jan")</f>
        <v>Dec*</v>
      </c>
      <c r="AE6" s="37" t="str">
        <f ca="1">IF(AE7=0,"Total*", "Total")</f>
        <v>Total*</v>
      </c>
      <c r="AG6" s="37" t="str">
        <f t="shared" ref="AG6" ca="1" si="4">IF(AG7=0,"Jan*", "Jan")</f>
        <v>Jan*</v>
      </c>
      <c r="AH6" s="37" t="str">
        <f t="shared" ref="AH6" ca="1" si="5">IF(AH7=0,"Feb*", "Jan")</f>
        <v>Feb*</v>
      </c>
      <c r="AI6" s="37" t="str">
        <f t="shared" ref="AI6" ca="1" si="6">IF(AI7=0,"Mar*", "Jan")</f>
        <v>Mar*</v>
      </c>
      <c r="AJ6" s="37" t="str">
        <f t="shared" ref="AJ6" ca="1" si="7">IF(AJ7=0,"Apr*", "Jan")</f>
        <v>Apr*</v>
      </c>
      <c r="AK6" s="37" t="str">
        <f t="shared" ref="AK6" ca="1" si="8">IF(AK7=0,"May*", "Jan")</f>
        <v>May*</v>
      </c>
      <c r="AL6" s="37" t="str">
        <f t="shared" ref="AL6" ca="1" si="9">IF(AL7=0,"Jun*", "Jan")</f>
        <v>Jun*</v>
      </c>
      <c r="AM6" s="37" t="str">
        <f t="shared" ref="AM6" ca="1" si="10">IF(AM7=0,"Jul*", "Jan")</f>
        <v>Jul*</v>
      </c>
      <c r="AN6" s="37" t="str">
        <f t="shared" ref="AN6" ca="1" si="11">IF(AN7=0,"Aug*", "Jan")</f>
        <v>Aug*</v>
      </c>
      <c r="AO6" s="37" t="str">
        <f t="shared" ref="AO6" ca="1" si="12">IF(AO7=0,"Sep*", "Jan")</f>
        <v>Sep*</v>
      </c>
      <c r="AP6" s="37" t="str">
        <f t="shared" ref="AP6" ca="1" si="13">IF(AP7=0,"Oct*", "Jan")</f>
        <v>Oct*</v>
      </c>
      <c r="AQ6" s="37" t="str">
        <f t="shared" ref="AQ6" ca="1" si="14">IF(AQ7=0,"Nov*", "Jan")</f>
        <v>Nov*</v>
      </c>
      <c r="AR6" s="37" t="str">
        <f t="shared" ref="AR6" ca="1" si="15">IF(AR7=0,"Dec*", "Jan")</f>
        <v>Dec*</v>
      </c>
      <c r="AS6" s="37" t="str">
        <f t="shared" ref="AS6" ca="1" si="16">IF(AS7=0,"Total*", "Total")</f>
        <v>Total*</v>
      </c>
      <c r="AU6" s="37" t="str">
        <f t="shared" ref="AU6" ca="1" si="17">IF(AU7=0,"Jan*", "Jan")</f>
        <v>Jan*</v>
      </c>
      <c r="AV6" s="37" t="str">
        <f t="shared" ref="AV6" ca="1" si="18">IF(AV7=0,"Feb*", "Jan")</f>
        <v>Feb*</v>
      </c>
      <c r="AW6" s="37" t="str">
        <f t="shared" ref="AW6" ca="1" si="19">IF(AW7=0,"Mar*", "Jan")</f>
        <v>Mar*</v>
      </c>
      <c r="AX6" s="37" t="str">
        <f t="shared" ref="AX6" ca="1" si="20">IF(AX7=0,"Apr*", "Jan")</f>
        <v>Apr*</v>
      </c>
      <c r="AY6" s="37" t="str">
        <f t="shared" ref="AY6" ca="1" si="21">IF(AY7=0,"May*", "Jan")</f>
        <v>May*</v>
      </c>
      <c r="AZ6" s="37" t="str">
        <f t="shared" ref="AZ6" ca="1" si="22">IF(AZ7=0,"Jun*", "Jan")</f>
        <v>Jun*</v>
      </c>
      <c r="BA6" s="37" t="str">
        <f t="shared" ref="BA6" ca="1" si="23">IF(BA7=0,"Jul*", "Jan")</f>
        <v>Jul*</v>
      </c>
      <c r="BB6" s="37" t="str">
        <f t="shared" ref="BB6" ca="1" si="24">IF(BB7=0,"Aug*", "Jan")</f>
        <v>Aug*</v>
      </c>
      <c r="BC6" s="37" t="str">
        <f t="shared" ref="BC6" ca="1" si="25">IF(BC7=0,"Sep*", "Jan")</f>
        <v>Sep*</v>
      </c>
      <c r="BD6" s="37" t="str">
        <f t="shared" ref="BD6" ca="1" si="26">IF(BD7=0,"Oct*", "Jan")</f>
        <v>Oct*</v>
      </c>
      <c r="BE6" s="37" t="str">
        <f t="shared" ref="BE6" ca="1" si="27">IF(BE7=0,"Nov*", "Jan")</f>
        <v>Nov*</v>
      </c>
      <c r="BF6" s="37" t="str">
        <f t="shared" ref="BF6" ca="1" si="28">IF(BF7=0,"Dec*", "Jan")</f>
        <v>Dec*</v>
      </c>
      <c r="BG6" s="37" t="str">
        <f t="shared" ref="BG6" ca="1" si="29">IF(BG7=0,"Total*", "Total")</f>
        <v>Total*</v>
      </c>
      <c r="BI6" s="37" t="str">
        <f t="shared" ref="BI6" ca="1" si="30">IF(BI7=0,"Jan*", "Jan")</f>
        <v>Jan*</v>
      </c>
      <c r="BJ6" s="37" t="str">
        <f t="shared" ref="BJ6" ca="1" si="31">IF(BJ7=0,"Feb*", "Jan")</f>
        <v>Feb*</v>
      </c>
      <c r="BK6" s="37" t="str">
        <f t="shared" ref="BK6" ca="1" si="32">IF(BK7=0,"Mar*", "Jan")</f>
        <v>Mar*</v>
      </c>
      <c r="BL6" s="37" t="str">
        <f t="shared" ref="BL6" ca="1" si="33">IF(BL7=0,"Apr*", "Jan")</f>
        <v>Apr*</v>
      </c>
      <c r="BM6" s="37" t="str">
        <f t="shared" ref="BM6" ca="1" si="34">IF(BM7=0,"May*", "Jan")</f>
        <v>May*</v>
      </c>
      <c r="BN6" s="37" t="str">
        <f t="shared" ref="BN6" ca="1" si="35">IF(BN7=0,"Jun*", "Jan")</f>
        <v>Jun*</v>
      </c>
      <c r="BO6" s="37" t="str">
        <f t="shared" ref="BO6" ca="1" si="36">IF(BO7=0,"Jul*", "Jan")</f>
        <v>Jul*</v>
      </c>
      <c r="BP6" s="37" t="str">
        <f t="shared" ref="BP6" ca="1" si="37">IF(BP7=0,"Aug*", "Jan")</f>
        <v>Aug*</v>
      </c>
      <c r="BQ6" s="37" t="str">
        <f t="shared" ref="BQ6" ca="1" si="38">IF(BQ7=0,"Sep*", "Jan")</f>
        <v>Sep*</v>
      </c>
      <c r="BR6" s="37" t="str">
        <f t="shared" ref="BR6" ca="1" si="39">IF(BR7=0,"Oct*", "Jan")</f>
        <v>Oct*</v>
      </c>
      <c r="BS6" s="37" t="str">
        <f t="shared" ref="BS6" ca="1" si="40">IF(BS7=0,"Nov*", "Jan")</f>
        <v>Nov*</v>
      </c>
      <c r="BT6" s="37" t="str">
        <f t="shared" ref="BT6" ca="1" si="41">IF(BT7=0,"Dec*", "Jan")</f>
        <v>Dec*</v>
      </c>
      <c r="BU6" s="37" t="str">
        <f t="shared" ref="BU6" ca="1" si="42">IF(BU7=0,"Total*", "Total")</f>
        <v>Total*</v>
      </c>
      <c r="BW6" s="37" t="str">
        <f t="shared" ref="BW6" ca="1" si="43">IF(BW7=0,"Jan*", "Jan")</f>
        <v>Jan*</v>
      </c>
      <c r="BX6" s="37" t="str">
        <f t="shared" ref="BX6" ca="1" si="44">IF(BX7=0,"Feb*", "Jan")</f>
        <v>Feb*</v>
      </c>
      <c r="BY6" s="37" t="str">
        <f t="shared" ref="BY6" ca="1" si="45">IF(BY7=0,"Mar*", "Jan")</f>
        <v>Mar*</v>
      </c>
      <c r="BZ6" s="37" t="str">
        <f t="shared" ref="BZ6" ca="1" si="46">IF(BZ7=0,"Apr*", "Jan")</f>
        <v>Apr*</v>
      </c>
      <c r="CA6" s="37" t="str">
        <f t="shared" ref="CA6" ca="1" si="47">IF(CA7=0,"May*", "Jan")</f>
        <v>May*</v>
      </c>
      <c r="CB6" s="37" t="str">
        <f t="shared" ref="CB6" ca="1" si="48">IF(CB7=0,"Jun*", "Jan")</f>
        <v>Jun*</v>
      </c>
      <c r="CC6" s="37" t="str">
        <f t="shared" ref="CC6" ca="1" si="49">IF(CC7=0,"Jul*", "Jan")</f>
        <v>Jul*</v>
      </c>
      <c r="CD6" s="37" t="str">
        <f t="shared" ref="CD6" ca="1" si="50">IF(CD7=0,"Aug*", "Jan")</f>
        <v>Aug*</v>
      </c>
      <c r="CE6" s="37" t="str">
        <f t="shared" ref="CE6" ca="1" si="51">IF(CE7=0,"Sep*", "Jan")</f>
        <v>Sep*</v>
      </c>
      <c r="CF6" s="37" t="str">
        <f t="shared" ref="CF6" ca="1" si="52">IF(CF7=0,"Oct*", "Jan")</f>
        <v>Oct*</v>
      </c>
      <c r="CG6" s="37" t="str">
        <f t="shared" ref="CG6" ca="1" si="53">IF(CG7=0,"Nov*", "Jan")</f>
        <v>Nov*</v>
      </c>
      <c r="CH6" s="37" t="str">
        <f t="shared" ref="CH6" ca="1" si="54">IF(CH7=0,"Dec*", "Jan")</f>
        <v>Dec*</v>
      </c>
      <c r="CI6" s="37" t="str">
        <f t="shared" ref="CI6" ca="1" si="55">IF(CI7=0,"Total*", "Total")</f>
        <v>Total*</v>
      </c>
    </row>
    <row r="7" spans="1:88" x14ac:dyDescent="0.3">
      <c r="C7" s="34" t="s">
        <v>22</v>
      </c>
      <c r="E7" s="35">
        <f ca="1">E22-(E41+E59)</f>
        <v>0</v>
      </c>
      <c r="F7" s="35">
        <f ca="1">F22-(F41+F59)</f>
        <v>0</v>
      </c>
      <c r="G7" s="35">
        <f ca="1">G22-(G41+G59)</f>
        <v>0</v>
      </c>
      <c r="H7" s="35">
        <f ca="1">H22-(H41+H59)</f>
        <v>0</v>
      </c>
      <c r="I7" s="35">
        <f ca="1">I22-(I41+I59)</f>
        <v>0</v>
      </c>
      <c r="J7" s="35">
        <f ca="1">J22-(J41+J59)</f>
        <v>0</v>
      </c>
      <c r="K7" s="35">
        <f ca="1">K22-(K41+K59)</f>
        <v>0</v>
      </c>
      <c r="L7" s="35">
        <f ca="1">L22-(L41+L59)</f>
        <v>0</v>
      </c>
      <c r="M7" s="35">
        <f ca="1">M22-(M41+M59)</f>
        <v>0</v>
      </c>
      <c r="N7" s="35">
        <f ca="1">N22-(N41+N59)</f>
        <v>0</v>
      </c>
      <c r="O7" s="35">
        <f ca="1">O22-(O41+O59)</f>
        <v>0</v>
      </c>
      <c r="P7" s="35">
        <f ca="1">P22-(P41+P59)</f>
        <v>0</v>
      </c>
      <c r="Q7" s="36">
        <f ca="1">Q22-(Q41+Q59)</f>
        <v>0</v>
      </c>
      <c r="S7" s="35">
        <f ca="1">S22-(S41+S59)</f>
        <v>0</v>
      </c>
      <c r="T7" s="35">
        <f ca="1">T22-(T41+T59)</f>
        <v>0</v>
      </c>
      <c r="U7" s="35">
        <f ca="1">U22-(U41+U59)</f>
        <v>0</v>
      </c>
      <c r="V7" s="35">
        <f ca="1">V22-(V41+V59)</f>
        <v>0</v>
      </c>
      <c r="W7" s="35">
        <f ca="1">W22-(W41+W59)</f>
        <v>0</v>
      </c>
      <c r="X7" s="35">
        <f ca="1">X22-(X41+X59)</f>
        <v>0</v>
      </c>
      <c r="Y7" s="35">
        <f ca="1">Y22-(Y41+Y59)</f>
        <v>0</v>
      </c>
      <c r="Z7" s="35">
        <f ca="1">Z22-(Z41+Z59)</f>
        <v>0</v>
      </c>
      <c r="AA7" s="35">
        <f ca="1">AA22-(AA41+AA59)</f>
        <v>0</v>
      </c>
      <c r="AB7" s="35">
        <f ca="1">AB22-(AB41+AB59)</f>
        <v>0</v>
      </c>
      <c r="AC7" s="35">
        <f ca="1">AC22-(AC41+AC59)</f>
        <v>0</v>
      </c>
      <c r="AD7" s="35">
        <f ca="1">AD22-(AD41+AD59)</f>
        <v>0</v>
      </c>
      <c r="AE7" s="36">
        <f ca="1">AE22-(AE41+AE59)</f>
        <v>0</v>
      </c>
      <c r="AG7" s="35">
        <f ca="1">AG22-(AG41+AG59)</f>
        <v>0</v>
      </c>
      <c r="AH7" s="35">
        <f ca="1">AH22-(AH41+AH59)</f>
        <v>0</v>
      </c>
      <c r="AI7" s="35">
        <f ca="1">AI22-(AI41+AI59)</f>
        <v>0</v>
      </c>
      <c r="AJ7" s="35">
        <f ca="1">AJ22-(AJ41+AJ59)</f>
        <v>0</v>
      </c>
      <c r="AK7" s="35">
        <f ca="1">AK22-(AK41+AK59)</f>
        <v>0</v>
      </c>
      <c r="AL7" s="35">
        <f ca="1">AL22-(AL41+AL59)</f>
        <v>0</v>
      </c>
      <c r="AM7" s="35">
        <f ca="1">AM22-(AM41+AM59)</f>
        <v>0</v>
      </c>
      <c r="AN7" s="35">
        <f ca="1">AN22-(AN41+AN59)</f>
        <v>0</v>
      </c>
      <c r="AO7" s="35">
        <f ca="1">AO22-(AO41+AO59)</f>
        <v>0</v>
      </c>
      <c r="AP7" s="35">
        <f ca="1">AP22-(AP41+AP59)</f>
        <v>0</v>
      </c>
      <c r="AQ7" s="35">
        <f ca="1">AQ22-(AQ41+AQ59)</f>
        <v>0</v>
      </c>
      <c r="AR7" s="35">
        <f ca="1">AR22-(AR41+AR59)</f>
        <v>0</v>
      </c>
      <c r="AS7" s="36">
        <f ca="1">AS22-(AS41+AS59)</f>
        <v>0</v>
      </c>
      <c r="AU7" s="35">
        <f ca="1">AU22-(AU41+AU59)</f>
        <v>0</v>
      </c>
      <c r="AV7" s="35">
        <f ca="1">AV22-(AV41+AV59)</f>
        <v>0</v>
      </c>
      <c r="AW7" s="35">
        <f ca="1">AW22-(AW41+AW59)</f>
        <v>0</v>
      </c>
      <c r="AX7" s="35">
        <f ca="1">AX22-(AX41+AX59)</f>
        <v>0</v>
      </c>
      <c r="AY7" s="35">
        <f ca="1">AY22-(AY41+AY59)</f>
        <v>0</v>
      </c>
      <c r="AZ7" s="35">
        <f ca="1">AZ22-(AZ41+AZ59)</f>
        <v>0</v>
      </c>
      <c r="BA7" s="35">
        <f ca="1">BA22-(BA41+BA59)</f>
        <v>0</v>
      </c>
      <c r="BB7" s="35">
        <f ca="1">BB22-(BB41+BB59)</f>
        <v>0</v>
      </c>
      <c r="BC7" s="35">
        <f ca="1">BC22-(BC41+BC59)</f>
        <v>0</v>
      </c>
      <c r="BD7" s="35">
        <f ca="1">BD22-(BD41+BD59)</f>
        <v>0</v>
      </c>
      <c r="BE7" s="35">
        <f ca="1">BE22-(BE41+BE59)</f>
        <v>0</v>
      </c>
      <c r="BF7" s="35">
        <f ca="1">BF22-(BF41+BF59)</f>
        <v>0</v>
      </c>
      <c r="BG7" s="36">
        <f ca="1">BG22-(BG41+BG59)</f>
        <v>0</v>
      </c>
      <c r="BI7" s="35">
        <f ca="1">BI22-(BI41+BI59)</f>
        <v>0</v>
      </c>
      <c r="BJ7" s="35">
        <f ca="1">BJ22-(BJ41+BJ59)</f>
        <v>0</v>
      </c>
      <c r="BK7" s="35">
        <f ca="1">BK22-(BK41+BK59)</f>
        <v>0</v>
      </c>
      <c r="BL7" s="35">
        <f ca="1">BL22-(BL41+BL59)</f>
        <v>0</v>
      </c>
      <c r="BM7" s="35">
        <f ca="1">BM22-(BM41+BM59)</f>
        <v>0</v>
      </c>
      <c r="BN7" s="35">
        <f ca="1">BN22-(BN41+BN59)</f>
        <v>0</v>
      </c>
      <c r="BO7" s="35">
        <f ca="1">BO22-(BO41+BO59)</f>
        <v>0</v>
      </c>
      <c r="BP7" s="35">
        <f ca="1">BP22-(BP41+BP59)</f>
        <v>0</v>
      </c>
      <c r="BQ7" s="35">
        <f ca="1">BQ22-(BQ41+BQ59)</f>
        <v>0</v>
      </c>
      <c r="BR7" s="35">
        <f ca="1">BR22-(BR41+BR59)</f>
        <v>0</v>
      </c>
      <c r="BS7" s="35">
        <f ca="1">BS22-(BS41+BS59)</f>
        <v>0</v>
      </c>
      <c r="BT7" s="35">
        <f ca="1">BT22-(BT41+BT59)</f>
        <v>0</v>
      </c>
      <c r="BU7" s="36">
        <f ca="1">BU22-(BU41+BU59)</f>
        <v>0</v>
      </c>
      <c r="BW7" s="35">
        <f ca="1">BW22-(BW41+BW59)</f>
        <v>0</v>
      </c>
      <c r="BX7" s="35">
        <f ca="1">BX22-(BX41+BX59)</f>
        <v>0</v>
      </c>
      <c r="BY7" s="35">
        <f ca="1">BY22-(BY41+BY59)</f>
        <v>0</v>
      </c>
      <c r="BZ7" s="35">
        <f ca="1">BZ22-(BZ41+BZ59)</f>
        <v>0</v>
      </c>
      <c r="CA7" s="35">
        <f ca="1">CA22-(CA41+CA59)</f>
        <v>0</v>
      </c>
      <c r="CB7" s="35">
        <f ca="1">CB22-(CB41+CB59)</f>
        <v>0</v>
      </c>
      <c r="CC7" s="35">
        <f ca="1">CC22-(CC41+CC59)</f>
        <v>0</v>
      </c>
      <c r="CD7" s="35">
        <f ca="1">CD22-(CD41+CD59)</f>
        <v>0</v>
      </c>
      <c r="CE7" s="35">
        <f ca="1">CE22-(CE41+CE59)</f>
        <v>0</v>
      </c>
      <c r="CF7" s="35">
        <f ca="1">CF22-(CF41+CF59)</f>
        <v>0</v>
      </c>
      <c r="CG7" s="35">
        <f ca="1">CG22-(CG41+CG59)</f>
        <v>0</v>
      </c>
      <c r="CH7" s="35">
        <f ca="1">CH22-(CH41+CH59)</f>
        <v>0</v>
      </c>
      <c r="CI7" s="36">
        <f ca="1">CI22-(CI41+CI59)</f>
        <v>0</v>
      </c>
    </row>
    <row r="10" spans="1:88" x14ac:dyDescent="0.3">
      <c r="C10" s="18" t="s">
        <v>6</v>
      </c>
      <c r="E10" s="22">
        <f>DATE(E$5,1,1)</f>
        <v>45292</v>
      </c>
      <c r="F10" s="22">
        <f>DATE(E$5,2,1)</f>
        <v>45323</v>
      </c>
      <c r="G10" s="22">
        <f>DATE(E$5,3,1)</f>
        <v>45352</v>
      </c>
      <c r="H10" s="22">
        <f>DATE(E$5,4,1)</f>
        <v>45383</v>
      </c>
      <c r="I10" s="22">
        <f>DATE(E$5,5,1)</f>
        <v>45413</v>
      </c>
      <c r="J10" s="22">
        <f>DATE(E$5,6,1)</f>
        <v>45444</v>
      </c>
      <c r="K10" s="22">
        <f>DATE(E$5,7,1)</f>
        <v>45474</v>
      </c>
      <c r="L10" s="22">
        <f>DATE(E$5,8,1)</f>
        <v>45505</v>
      </c>
      <c r="M10" s="22">
        <f>DATE(E$5,9,1)</f>
        <v>45536</v>
      </c>
      <c r="N10" s="22">
        <f>DATE(E$5,10,1)</f>
        <v>45566</v>
      </c>
      <c r="O10" s="22">
        <f>DATE(E$5,11,1)</f>
        <v>45597</v>
      </c>
      <c r="P10" s="22">
        <f>DATE(E$5,12,1)</f>
        <v>45627</v>
      </c>
      <c r="Q10" s="21">
        <f>E$5</f>
        <v>2024</v>
      </c>
      <c r="S10" s="22">
        <f>DATE(S$5,1,1)</f>
        <v>45658</v>
      </c>
      <c r="T10" s="22">
        <f>DATE(S$5,2,1)</f>
        <v>45689</v>
      </c>
      <c r="U10" s="22">
        <f>DATE(S$5,3,1)</f>
        <v>45717</v>
      </c>
      <c r="V10" s="22">
        <f>DATE(S$5,4,1)</f>
        <v>45748</v>
      </c>
      <c r="W10" s="22">
        <f>DATE(S$5,5,1)</f>
        <v>45778</v>
      </c>
      <c r="X10" s="22">
        <f>DATE(S$5,6,1)</f>
        <v>45809</v>
      </c>
      <c r="Y10" s="22">
        <f>DATE(S$5,7,1)</f>
        <v>45839</v>
      </c>
      <c r="Z10" s="22">
        <f>DATE(S$5,8,1)</f>
        <v>45870</v>
      </c>
      <c r="AA10" s="22">
        <f>DATE(S$5,9,1)</f>
        <v>45901</v>
      </c>
      <c r="AB10" s="22">
        <f>DATE(S$5,10,1)</f>
        <v>45931</v>
      </c>
      <c r="AC10" s="22">
        <f>DATE(S$5,11,1)</f>
        <v>45962</v>
      </c>
      <c r="AD10" s="22">
        <f>DATE(S$5,12,1)</f>
        <v>45992</v>
      </c>
      <c r="AE10" s="21">
        <f>S$5</f>
        <v>2025</v>
      </c>
      <c r="AG10" s="22">
        <f t="shared" ref="AG10:BL10" si="56">DATE(AG$5,1,1)</f>
        <v>46023</v>
      </c>
      <c r="AH10" s="22">
        <f t="shared" ref="AH10:BM10" si="57">DATE(AG$5,2,1)</f>
        <v>46054</v>
      </c>
      <c r="AI10" s="22">
        <f t="shared" ref="AI10" si="58">DATE(AG$5,3,1)</f>
        <v>46082</v>
      </c>
      <c r="AJ10" s="22">
        <f t="shared" ref="AJ10" si="59">DATE(AG$5,4,1)</f>
        <v>46113</v>
      </c>
      <c r="AK10" s="22">
        <f t="shared" ref="AK10" si="60">DATE(AG$5,5,1)</f>
        <v>46143</v>
      </c>
      <c r="AL10" s="22">
        <f t="shared" ref="AL10" si="61">DATE(AG$5,6,1)</f>
        <v>46174</v>
      </c>
      <c r="AM10" s="22">
        <f t="shared" ref="AM10" si="62">DATE(AG$5,7,1)</f>
        <v>46204</v>
      </c>
      <c r="AN10" s="22">
        <f t="shared" ref="AN10" si="63">DATE(AG$5,8,1)</f>
        <v>46235</v>
      </c>
      <c r="AO10" s="22">
        <f t="shared" ref="AO10" si="64">DATE(AG$5,9,1)</f>
        <v>46266</v>
      </c>
      <c r="AP10" s="22">
        <f t="shared" ref="AP10" si="65">DATE(AG$5,10,1)</f>
        <v>46296</v>
      </c>
      <c r="AQ10" s="22">
        <f t="shared" ref="AQ10" si="66">DATE(AG$5,11,1)</f>
        <v>46327</v>
      </c>
      <c r="AR10" s="22">
        <f t="shared" ref="AR10" si="67">DATE(AG$5,12,1)</f>
        <v>46357</v>
      </c>
      <c r="AS10" s="21">
        <f t="shared" ref="AS10" si="68">AG$5</f>
        <v>2026</v>
      </c>
      <c r="AU10" s="22">
        <f t="shared" ref="AU10:CJ10" si="69">DATE(AU$5,1,1)</f>
        <v>46388</v>
      </c>
      <c r="AV10" s="22">
        <f t="shared" ref="AV10:CJ10" si="70">DATE(AU$5,2,1)</f>
        <v>46419</v>
      </c>
      <c r="AW10" s="22">
        <f t="shared" ref="AW10" si="71">DATE(AU$5,3,1)</f>
        <v>46447</v>
      </c>
      <c r="AX10" s="22">
        <f t="shared" ref="AX10" si="72">DATE(AU$5,4,1)</f>
        <v>46478</v>
      </c>
      <c r="AY10" s="22">
        <f t="shared" ref="AY10" si="73">DATE(AU$5,5,1)</f>
        <v>46508</v>
      </c>
      <c r="AZ10" s="22">
        <f t="shared" ref="AZ10" si="74">DATE(AU$5,6,1)</f>
        <v>46539</v>
      </c>
      <c r="BA10" s="22">
        <f t="shared" ref="BA10" si="75">DATE(AU$5,7,1)</f>
        <v>46569</v>
      </c>
      <c r="BB10" s="22">
        <f t="shared" ref="BB10" si="76">DATE(AU$5,8,1)</f>
        <v>46600</v>
      </c>
      <c r="BC10" s="22">
        <f t="shared" ref="BC10" si="77">DATE(AU$5,9,1)</f>
        <v>46631</v>
      </c>
      <c r="BD10" s="22">
        <f t="shared" ref="BD10" si="78">DATE(AU$5,10,1)</f>
        <v>46661</v>
      </c>
      <c r="BE10" s="22">
        <f t="shared" ref="BE10" si="79">DATE(AU$5,11,1)</f>
        <v>46692</v>
      </c>
      <c r="BF10" s="22">
        <f t="shared" ref="BF10" si="80">DATE(AU$5,12,1)</f>
        <v>46722</v>
      </c>
      <c r="BG10" s="21">
        <f t="shared" ref="BG10" si="81">AU$5</f>
        <v>2027</v>
      </c>
      <c r="BI10" s="22">
        <f t="shared" ref="BI10:CJ10" si="82">DATE(BI$5,1,1)</f>
        <v>46753</v>
      </c>
      <c r="BJ10" s="22">
        <f t="shared" ref="BJ10:CJ10" si="83">DATE(BI$5,2,1)</f>
        <v>46784</v>
      </c>
      <c r="BK10" s="22">
        <f t="shared" ref="BK10" si="84">DATE(BI$5,3,1)</f>
        <v>46813</v>
      </c>
      <c r="BL10" s="22">
        <f t="shared" ref="BL10" si="85">DATE(BI$5,4,1)</f>
        <v>46844</v>
      </c>
      <c r="BM10" s="22">
        <f t="shared" ref="BM10" si="86">DATE(BI$5,5,1)</f>
        <v>46874</v>
      </c>
      <c r="BN10" s="22">
        <f t="shared" ref="BN10" si="87">DATE(BI$5,6,1)</f>
        <v>46905</v>
      </c>
      <c r="BO10" s="22">
        <f t="shared" ref="BO10" si="88">DATE(BI$5,7,1)</f>
        <v>46935</v>
      </c>
      <c r="BP10" s="22">
        <f t="shared" ref="BP10" si="89">DATE(BI$5,8,1)</f>
        <v>46966</v>
      </c>
      <c r="BQ10" s="22">
        <f t="shared" ref="BQ10" si="90">DATE(BI$5,9,1)</f>
        <v>46997</v>
      </c>
      <c r="BR10" s="22">
        <f t="shared" ref="BR10" si="91">DATE(BI$5,10,1)</f>
        <v>47027</v>
      </c>
      <c r="BS10" s="22">
        <f t="shared" ref="BS10" si="92">DATE(BI$5,11,1)</f>
        <v>47058</v>
      </c>
      <c r="BT10" s="22">
        <f t="shared" ref="BT10" si="93">DATE(BI$5,12,1)</f>
        <v>47088</v>
      </c>
      <c r="BU10" s="21">
        <f t="shared" ref="BU10" si="94">BI$5</f>
        <v>2028</v>
      </c>
      <c r="BW10" s="22">
        <f t="shared" ref="BW10:CJ10" si="95">DATE(BW$5,1,1)</f>
        <v>47119</v>
      </c>
      <c r="BX10" s="22">
        <f t="shared" ref="BX10:CJ10" si="96">DATE(BW$5,2,1)</f>
        <v>47150</v>
      </c>
      <c r="BY10" s="22">
        <f t="shared" ref="BY10" si="97">DATE(BW$5,3,1)</f>
        <v>47178</v>
      </c>
      <c r="BZ10" s="22">
        <f t="shared" ref="BZ10" si="98">DATE(BW$5,4,1)</f>
        <v>47209</v>
      </c>
      <c r="CA10" s="22">
        <f t="shared" ref="CA10" si="99">DATE(BW$5,5,1)</f>
        <v>47239</v>
      </c>
      <c r="CB10" s="22">
        <f t="shared" ref="CB10" si="100">DATE(BW$5,6,1)</f>
        <v>47270</v>
      </c>
      <c r="CC10" s="22">
        <f t="shared" ref="CC10" si="101">DATE(BW$5,7,1)</f>
        <v>47300</v>
      </c>
      <c r="CD10" s="22">
        <f t="shared" ref="CD10" si="102">DATE(BW$5,8,1)</f>
        <v>47331</v>
      </c>
      <c r="CE10" s="22">
        <f t="shared" ref="CE10" si="103">DATE(BW$5,9,1)</f>
        <v>47362</v>
      </c>
      <c r="CF10" s="22">
        <f t="shared" ref="CF10" si="104">DATE(BW$5,10,1)</f>
        <v>47392</v>
      </c>
      <c r="CG10" s="22">
        <f t="shared" ref="CG10" si="105">DATE(BW$5,11,1)</f>
        <v>47423</v>
      </c>
      <c r="CH10" s="22">
        <f t="shared" ref="CH10" si="106">DATE(BW$5,12,1)</f>
        <v>47453</v>
      </c>
      <c r="CI10" s="21">
        <f t="shared" ref="CI10" si="107">BW$5</f>
        <v>2029</v>
      </c>
    </row>
    <row r="11" spans="1:88" x14ac:dyDescent="0.3">
      <c r="C11" s="25" t="s">
        <v>9</v>
      </c>
      <c r="E11" s="26">
        <v>3500</v>
      </c>
      <c r="F11" s="26">
        <v>3500</v>
      </c>
      <c r="G11" s="26">
        <v>3500</v>
      </c>
      <c r="H11" s="26">
        <v>4500</v>
      </c>
      <c r="I11" s="26">
        <v>4500</v>
      </c>
      <c r="J11" s="26">
        <v>4500</v>
      </c>
      <c r="K11" s="26">
        <v>4500</v>
      </c>
      <c r="L11" s="26">
        <v>4500</v>
      </c>
      <c r="M11" s="26">
        <v>4500</v>
      </c>
      <c r="N11" s="26">
        <v>4500</v>
      </c>
      <c r="O11" s="26">
        <v>4500</v>
      </c>
      <c r="P11" s="26">
        <v>4500</v>
      </c>
      <c r="Q11" s="28">
        <f>SUM(E11:P11)</f>
        <v>51000</v>
      </c>
      <c r="S11" s="26"/>
      <c r="T11" s="26"/>
      <c r="U11" s="26"/>
      <c r="V11" s="26"/>
      <c r="W11" s="26"/>
      <c r="X11" s="26"/>
      <c r="Y11" s="26"/>
      <c r="Z11" s="26"/>
      <c r="AA11" s="26"/>
      <c r="AB11" s="26"/>
      <c r="AC11" s="26"/>
      <c r="AD11" s="26"/>
      <c r="AE11" s="28">
        <f>SUM(S11:AD11)</f>
        <v>0</v>
      </c>
      <c r="AG11" s="26"/>
      <c r="AH11" s="26"/>
      <c r="AI11" s="26"/>
      <c r="AJ11" s="26"/>
      <c r="AK11" s="26"/>
      <c r="AL11" s="26"/>
      <c r="AM11" s="26"/>
      <c r="AN11" s="26"/>
      <c r="AO11" s="26"/>
      <c r="AP11" s="26"/>
      <c r="AQ11" s="26"/>
      <c r="AR11" s="26"/>
      <c r="AS11" s="28">
        <f t="shared" ref="AS11:AS21" si="108">SUM(AG11:AR11)</f>
        <v>0</v>
      </c>
      <c r="AU11" s="26"/>
      <c r="AV11" s="26"/>
      <c r="AW11" s="26"/>
      <c r="AX11" s="26"/>
      <c r="AY11" s="26"/>
      <c r="AZ11" s="26"/>
      <c r="BA11" s="26"/>
      <c r="BB11" s="26"/>
      <c r="BC11" s="26"/>
      <c r="BD11" s="26"/>
      <c r="BE11" s="26"/>
      <c r="BF11" s="26"/>
      <c r="BG11" s="28">
        <f t="shared" ref="BG11:BG21" si="109">SUM(AU11:BF11)</f>
        <v>0</v>
      </c>
      <c r="BI11" s="26"/>
      <c r="BJ11" s="26"/>
      <c r="BK11" s="26"/>
      <c r="BL11" s="26"/>
      <c r="BM11" s="26"/>
      <c r="BN11" s="26"/>
      <c r="BO11" s="26"/>
      <c r="BP11" s="26"/>
      <c r="BQ11" s="26"/>
      <c r="BR11" s="26"/>
      <c r="BS11" s="26"/>
      <c r="BT11" s="26"/>
      <c r="BU11" s="28">
        <f t="shared" ref="BU11:BU21" si="110">SUM(BI11:BT11)</f>
        <v>0</v>
      </c>
      <c r="BW11" s="26"/>
      <c r="BX11" s="26"/>
      <c r="BY11" s="26"/>
      <c r="BZ11" s="26"/>
      <c r="CA11" s="26"/>
      <c r="CB11" s="26"/>
      <c r="CC11" s="26"/>
      <c r="CD11" s="26"/>
      <c r="CE11" s="26"/>
      <c r="CF11" s="26"/>
      <c r="CG11" s="26"/>
      <c r="CH11" s="26"/>
      <c r="CI11" s="28">
        <f t="shared" ref="CI11:CI21" si="111">SUM(BW11:CH11)</f>
        <v>0</v>
      </c>
    </row>
    <row r="12" spans="1:88" x14ac:dyDescent="0.3">
      <c r="C12" s="25" t="s">
        <v>10</v>
      </c>
      <c r="E12" s="26">
        <v>1000</v>
      </c>
      <c r="F12" s="26">
        <v>1000</v>
      </c>
      <c r="G12" s="26">
        <v>1000</v>
      </c>
      <c r="H12" s="26">
        <v>1000</v>
      </c>
      <c r="I12" s="26">
        <v>1000</v>
      </c>
      <c r="J12" s="26">
        <v>1000</v>
      </c>
      <c r="K12" s="26">
        <v>1000</v>
      </c>
      <c r="L12" s="26">
        <v>1000</v>
      </c>
      <c r="M12" s="26">
        <v>1000</v>
      </c>
      <c r="N12" s="26">
        <v>1000</v>
      </c>
      <c r="O12" s="26">
        <v>1000</v>
      </c>
      <c r="P12" s="26">
        <v>1000</v>
      </c>
      <c r="Q12" s="28">
        <f t="shared" ref="Q12:Q21" si="112">SUM(E12:P12)</f>
        <v>12000</v>
      </c>
      <c r="S12" s="26"/>
      <c r="T12" s="26"/>
      <c r="U12" s="26"/>
      <c r="V12" s="26"/>
      <c r="W12" s="26"/>
      <c r="X12" s="26"/>
      <c r="Y12" s="26"/>
      <c r="Z12" s="26"/>
      <c r="AA12" s="26"/>
      <c r="AB12" s="26"/>
      <c r="AC12" s="26"/>
      <c r="AD12" s="26"/>
      <c r="AE12" s="28">
        <f t="shared" ref="AE12:AE21" si="113">SUM(S12:AD12)</f>
        <v>0</v>
      </c>
      <c r="AG12" s="26"/>
      <c r="AH12" s="26"/>
      <c r="AI12" s="26"/>
      <c r="AJ12" s="26"/>
      <c r="AK12" s="26"/>
      <c r="AL12" s="26"/>
      <c r="AM12" s="26"/>
      <c r="AN12" s="26"/>
      <c r="AO12" s="26"/>
      <c r="AP12" s="26"/>
      <c r="AQ12" s="26"/>
      <c r="AR12" s="26"/>
      <c r="AS12" s="28">
        <f t="shared" si="108"/>
        <v>0</v>
      </c>
      <c r="AU12" s="26"/>
      <c r="AV12" s="26"/>
      <c r="AW12" s="26"/>
      <c r="AX12" s="26"/>
      <c r="AY12" s="26"/>
      <c r="AZ12" s="26"/>
      <c r="BA12" s="26"/>
      <c r="BB12" s="26"/>
      <c r="BC12" s="26"/>
      <c r="BD12" s="26"/>
      <c r="BE12" s="26"/>
      <c r="BF12" s="26"/>
      <c r="BG12" s="28">
        <f t="shared" si="109"/>
        <v>0</v>
      </c>
      <c r="BI12" s="26"/>
      <c r="BJ12" s="26"/>
      <c r="BK12" s="26"/>
      <c r="BL12" s="26"/>
      <c r="BM12" s="26"/>
      <c r="BN12" s="26"/>
      <c r="BO12" s="26"/>
      <c r="BP12" s="26"/>
      <c r="BQ12" s="26"/>
      <c r="BR12" s="26"/>
      <c r="BS12" s="26"/>
      <c r="BT12" s="26"/>
      <c r="BU12" s="28">
        <f t="shared" si="110"/>
        <v>0</v>
      </c>
      <c r="BW12" s="26"/>
      <c r="BX12" s="26"/>
      <c r="BY12" s="26"/>
      <c r="BZ12" s="26"/>
      <c r="CA12" s="26"/>
      <c r="CB12" s="26"/>
      <c r="CC12" s="26"/>
      <c r="CD12" s="26"/>
      <c r="CE12" s="26"/>
      <c r="CF12" s="26"/>
      <c r="CG12" s="26"/>
      <c r="CH12" s="26"/>
      <c r="CI12" s="28">
        <f t="shared" si="111"/>
        <v>0</v>
      </c>
    </row>
    <row r="13" spans="1:88" x14ac:dyDescent="0.3">
      <c r="C13" s="25" t="s">
        <v>11</v>
      </c>
      <c r="E13" s="26">
        <v>150</v>
      </c>
      <c r="F13" s="26">
        <v>50</v>
      </c>
      <c r="G13" s="26">
        <v>100</v>
      </c>
      <c r="H13" s="26">
        <v>150</v>
      </c>
      <c r="I13" s="26">
        <v>50</v>
      </c>
      <c r="J13" s="26">
        <v>100</v>
      </c>
      <c r="K13" s="26">
        <v>150</v>
      </c>
      <c r="L13" s="26">
        <v>50</v>
      </c>
      <c r="M13" s="26">
        <v>100</v>
      </c>
      <c r="N13" s="26">
        <v>150</v>
      </c>
      <c r="O13" s="26">
        <v>50</v>
      </c>
      <c r="P13" s="26">
        <v>100</v>
      </c>
      <c r="Q13" s="28">
        <f t="shared" si="112"/>
        <v>1200</v>
      </c>
      <c r="S13" s="26"/>
      <c r="T13" s="26"/>
      <c r="U13" s="26"/>
      <c r="V13" s="26"/>
      <c r="W13" s="26"/>
      <c r="X13" s="26"/>
      <c r="Y13" s="26"/>
      <c r="Z13" s="26"/>
      <c r="AA13" s="26"/>
      <c r="AB13" s="26"/>
      <c r="AC13" s="26"/>
      <c r="AD13" s="26"/>
      <c r="AE13" s="28">
        <f t="shared" si="113"/>
        <v>0</v>
      </c>
      <c r="AG13" s="26"/>
      <c r="AH13" s="26"/>
      <c r="AI13" s="26"/>
      <c r="AJ13" s="26"/>
      <c r="AK13" s="26"/>
      <c r="AL13" s="26"/>
      <c r="AM13" s="26"/>
      <c r="AN13" s="26"/>
      <c r="AO13" s="26"/>
      <c r="AP13" s="26"/>
      <c r="AQ13" s="26"/>
      <c r="AR13" s="26"/>
      <c r="AS13" s="28">
        <f t="shared" si="108"/>
        <v>0</v>
      </c>
      <c r="AU13" s="26"/>
      <c r="AV13" s="26"/>
      <c r="AW13" s="26"/>
      <c r="AX13" s="26"/>
      <c r="AY13" s="26"/>
      <c r="AZ13" s="26"/>
      <c r="BA13" s="26"/>
      <c r="BB13" s="26"/>
      <c r="BC13" s="26"/>
      <c r="BD13" s="26"/>
      <c r="BE13" s="26"/>
      <c r="BF13" s="26"/>
      <c r="BG13" s="28">
        <f t="shared" si="109"/>
        <v>0</v>
      </c>
      <c r="BI13" s="26"/>
      <c r="BJ13" s="26"/>
      <c r="BK13" s="26"/>
      <c r="BL13" s="26"/>
      <c r="BM13" s="26"/>
      <c r="BN13" s="26"/>
      <c r="BO13" s="26"/>
      <c r="BP13" s="26"/>
      <c r="BQ13" s="26"/>
      <c r="BR13" s="26"/>
      <c r="BS13" s="26"/>
      <c r="BT13" s="26"/>
      <c r="BU13" s="28">
        <f t="shared" si="110"/>
        <v>0</v>
      </c>
      <c r="BW13" s="26"/>
      <c r="BX13" s="26"/>
      <c r="BY13" s="26"/>
      <c r="BZ13" s="26"/>
      <c r="CA13" s="26"/>
      <c r="CB13" s="26"/>
      <c r="CC13" s="26"/>
      <c r="CD13" s="26"/>
      <c r="CE13" s="26"/>
      <c r="CF13" s="26"/>
      <c r="CG13" s="26"/>
      <c r="CH13" s="26"/>
      <c r="CI13" s="28">
        <f t="shared" si="111"/>
        <v>0</v>
      </c>
    </row>
    <row r="14" spans="1:88" hidden="1" x14ac:dyDescent="0.3">
      <c r="C14" s="25" t="s">
        <v>7</v>
      </c>
      <c r="E14" s="26"/>
      <c r="F14" s="26"/>
      <c r="G14" s="26"/>
      <c r="H14" s="26"/>
      <c r="I14" s="26"/>
      <c r="J14" s="26"/>
      <c r="K14" s="26"/>
      <c r="L14" s="26"/>
      <c r="M14" s="26"/>
      <c r="N14" s="26"/>
      <c r="O14" s="26"/>
      <c r="P14" s="26"/>
      <c r="Q14" s="28">
        <f t="shared" si="112"/>
        <v>0</v>
      </c>
      <c r="S14" s="26"/>
      <c r="T14" s="26"/>
      <c r="U14" s="26"/>
      <c r="V14" s="26"/>
      <c r="W14" s="26"/>
      <c r="X14" s="26"/>
      <c r="Y14" s="26"/>
      <c r="Z14" s="26"/>
      <c r="AA14" s="26"/>
      <c r="AB14" s="26"/>
      <c r="AC14" s="26"/>
      <c r="AD14" s="26"/>
      <c r="AE14" s="28">
        <f t="shared" si="113"/>
        <v>0</v>
      </c>
      <c r="AG14" s="26"/>
      <c r="AH14" s="26"/>
      <c r="AI14" s="26"/>
      <c r="AJ14" s="26"/>
      <c r="AK14" s="26"/>
      <c r="AL14" s="26"/>
      <c r="AM14" s="26"/>
      <c r="AN14" s="26"/>
      <c r="AO14" s="26"/>
      <c r="AP14" s="26"/>
      <c r="AQ14" s="26"/>
      <c r="AR14" s="26"/>
      <c r="AS14" s="28">
        <f t="shared" si="108"/>
        <v>0</v>
      </c>
      <c r="AU14" s="26"/>
      <c r="AV14" s="26"/>
      <c r="AW14" s="26"/>
      <c r="AX14" s="26"/>
      <c r="AY14" s="26"/>
      <c r="AZ14" s="26"/>
      <c r="BA14" s="26"/>
      <c r="BB14" s="26"/>
      <c r="BC14" s="26"/>
      <c r="BD14" s="26"/>
      <c r="BE14" s="26"/>
      <c r="BF14" s="26"/>
      <c r="BG14" s="28">
        <f t="shared" si="109"/>
        <v>0</v>
      </c>
      <c r="BI14" s="26"/>
      <c r="BJ14" s="26"/>
      <c r="BK14" s="26"/>
      <c r="BL14" s="26"/>
      <c r="BM14" s="26"/>
      <c r="BN14" s="26"/>
      <c r="BO14" s="26"/>
      <c r="BP14" s="26"/>
      <c r="BQ14" s="26"/>
      <c r="BR14" s="26"/>
      <c r="BS14" s="26"/>
      <c r="BT14" s="26"/>
      <c r="BU14" s="28">
        <f t="shared" si="110"/>
        <v>0</v>
      </c>
      <c r="BW14" s="26"/>
      <c r="BX14" s="26"/>
      <c r="BY14" s="26"/>
      <c r="BZ14" s="26"/>
      <c r="CA14" s="26"/>
      <c r="CB14" s="26"/>
      <c r="CC14" s="26"/>
      <c r="CD14" s="26"/>
      <c r="CE14" s="26"/>
      <c r="CF14" s="26"/>
      <c r="CG14" s="26"/>
      <c r="CH14" s="26"/>
      <c r="CI14" s="28">
        <f t="shared" si="111"/>
        <v>0</v>
      </c>
    </row>
    <row r="15" spans="1:88" hidden="1" x14ac:dyDescent="0.3">
      <c r="C15" s="25" t="s">
        <v>7</v>
      </c>
      <c r="E15" s="26"/>
      <c r="F15" s="26"/>
      <c r="G15" s="26"/>
      <c r="H15" s="26"/>
      <c r="I15" s="26"/>
      <c r="J15" s="26"/>
      <c r="K15" s="26"/>
      <c r="L15" s="26"/>
      <c r="M15" s="26"/>
      <c r="N15" s="26"/>
      <c r="O15" s="26"/>
      <c r="P15" s="26"/>
      <c r="Q15" s="28">
        <f t="shared" si="112"/>
        <v>0</v>
      </c>
      <c r="S15" s="26"/>
      <c r="T15" s="26"/>
      <c r="U15" s="26"/>
      <c r="V15" s="26"/>
      <c r="W15" s="26"/>
      <c r="X15" s="26"/>
      <c r="Y15" s="26"/>
      <c r="Z15" s="26"/>
      <c r="AA15" s="26"/>
      <c r="AB15" s="26"/>
      <c r="AC15" s="26"/>
      <c r="AD15" s="26"/>
      <c r="AE15" s="28">
        <f t="shared" si="113"/>
        <v>0</v>
      </c>
      <c r="AG15" s="26"/>
      <c r="AH15" s="26"/>
      <c r="AI15" s="26"/>
      <c r="AJ15" s="26"/>
      <c r="AK15" s="26"/>
      <c r="AL15" s="26"/>
      <c r="AM15" s="26"/>
      <c r="AN15" s="26"/>
      <c r="AO15" s="26"/>
      <c r="AP15" s="26"/>
      <c r="AQ15" s="26"/>
      <c r="AR15" s="26"/>
      <c r="AS15" s="28">
        <f t="shared" si="108"/>
        <v>0</v>
      </c>
      <c r="AU15" s="26"/>
      <c r="AV15" s="26"/>
      <c r="AW15" s="26"/>
      <c r="AX15" s="26"/>
      <c r="AY15" s="26"/>
      <c r="AZ15" s="26"/>
      <c r="BA15" s="26"/>
      <c r="BB15" s="26"/>
      <c r="BC15" s="26"/>
      <c r="BD15" s="26"/>
      <c r="BE15" s="26"/>
      <c r="BF15" s="26"/>
      <c r="BG15" s="28">
        <f t="shared" si="109"/>
        <v>0</v>
      </c>
      <c r="BI15" s="26"/>
      <c r="BJ15" s="26"/>
      <c r="BK15" s="26"/>
      <c r="BL15" s="26"/>
      <c r="BM15" s="26"/>
      <c r="BN15" s="26"/>
      <c r="BO15" s="26"/>
      <c r="BP15" s="26"/>
      <c r="BQ15" s="26"/>
      <c r="BR15" s="26"/>
      <c r="BS15" s="26"/>
      <c r="BT15" s="26"/>
      <c r="BU15" s="28">
        <f t="shared" si="110"/>
        <v>0</v>
      </c>
      <c r="BW15" s="26"/>
      <c r="BX15" s="26"/>
      <c r="BY15" s="26"/>
      <c r="BZ15" s="26"/>
      <c r="CA15" s="26"/>
      <c r="CB15" s="26"/>
      <c r="CC15" s="26"/>
      <c r="CD15" s="26"/>
      <c r="CE15" s="26"/>
      <c r="CF15" s="26"/>
      <c r="CG15" s="26"/>
      <c r="CH15" s="26"/>
      <c r="CI15" s="28">
        <f t="shared" si="111"/>
        <v>0</v>
      </c>
    </row>
    <row r="16" spans="1:88" hidden="1" x14ac:dyDescent="0.3">
      <c r="C16" s="25" t="s">
        <v>7</v>
      </c>
      <c r="E16" s="26"/>
      <c r="F16" s="26"/>
      <c r="G16" s="26"/>
      <c r="H16" s="26"/>
      <c r="I16" s="26"/>
      <c r="J16" s="26"/>
      <c r="K16" s="26"/>
      <c r="L16" s="26"/>
      <c r="M16" s="26"/>
      <c r="N16" s="26"/>
      <c r="O16" s="26"/>
      <c r="P16" s="26"/>
      <c r="Q16" s="28">
        <f t="shared" si="112"/>
        <v>0</v>
      </c>
      <c r="S16" s="26"/>
      <c r="T16" s="26"/>
      <c r="U16" s="26"/>
      <c r="V16" s="26"/>
      <c r="W16" s="26"/>
      <c r="X16" s="26"/>
      <c r="Y16" s="26"/>
      <c r="Z16" s="26"/>
      <c r="AA16" s="26"/>
      <c r="AB16" s="26"/>
      <c r="AC16" s="26"/>
      <c r="AD16" s="26"/>
      <c r="AE16" s="28">
        <f t="shared" si="113"/>
        <v>0</v>
      </c>
      <c r="AG16" s="26"/>
      <c r="AH16" s="26"/>
      <c r="AI16" s="26"/>
      <c r="AJ16" s="26"/>
      <c r="AK16" s="26"/>
      <c r="AL16" s="26"/>
      <c r="AM16" s="26"/>
      <c r="AN16" s="26"/>
      <c r="AO16" s="26"/>
      <c r="AP16" s="26"/>
      <c r="AQ16" s="26"/>
      <c r="AR16" s="26"/>
      <c r="AS16" s="28">
        <f t="shared" si="108"/>
        <v>0</v>
      </c>
      <c r="AU16" s="26"/>
      <c r="AV16" s="26"/>
      <c r="AW16" s="26"/>
      <c r="AX16" s="26"/>
      <c r="AY16" s="26"/>
      <c r="AZ16" s="26"/>
      <c r="BA16" s="26"/>
      <c r="BB16" s="26"/>
      <c r="BC16" s="26"/>
      <c r="BD16" s="26"/>
      <c r="BE16" s="26"/>
      <c r="BF16" s="26"/>
      <c r="BG16" s="28">
        <f t="shared" si="109"/>
        <v>0</v>
      </c>
      <c r="BI16" s="26"/>
      <c r="BJ16" s="26"/>
      <c r="BK16" s="26"/>
      <c r="BL16" s="26"/>
      <c r="BM16" s="26"/>
      <c r="BN16" s="26"/>
      <c r="BO16" s="26"/>
      <c r="BP16" s="26"/>
      <c r="BQ16" s="26"/>
      <c r="BR16" s="26"/>
      <c r="BS16" s="26"/>
      <c r="BT16" s="26"/>
      <c r="BU16" s="28">
        <f t="shared" si="110"/>
        <v>0</v>
      </c>
      <c r="BW16" s="26"/>
      <c r="BX16" s="26"/>
      <c r="BY16" s="26"/>
      <c r="BZ16" s="26"/>
      <c r="CA16" s="26"/>
      <c r="CB16" s="26"/>
      <c r="CC16" s="26"/>
      <c r="CD16" s="26"/>
      <c r="CE16" s="26"/>
      <c r="CF16" s="26"/>
      <c r="CG16" s="26"/>
      <c r="CH16" s="26"/>
      <c r="CI16" s="28">
        <f t="shared" si="111"/>
        <v>0</v>
      </c>
    </row>
    <row r="17" spans="3:87" hidden="1" x14ac:dyDescent="0.3">
      <c r="C17" s="25" t="s">
        <v>7</v>
      </c>
      <c r="E17" s="26"/>
      <c r="F17" s="26"/>
      <c r="G17" s="26"/>
      <c r="H17" s="26"/>
      <c r="I17" s="26"/>
      <c r="J17" s="26"/>
      <c r="K17" s="26"/>
      <c r="L17" s="26"/>
      <c r="M17" s="26"/>
      <c r="N17" s="26"/>
      <c r="O17" s="26"/>
      <c r="P17" s="26"/>
      <c r="Q17" s="28">
        <f t="shared" si="112"/>
        <v>0</v>
      </c>
      <c r="S17" s="26"/>
      <c r="T17" s="26"/>
      <c r="U17" s="26"/>
      <c r="V17" s="26"/>
      <c r="W17" s="26"/>
      <c r="X17" s="26"/>
      <c r="Y17" s="26"/>
      <c r="Z17" s="26"/>
      <c r="AA17" s="26"/>
      <c r="AB17" s="26"/>
      <c r="AC17" s="26"/>
      <c r="AD17" s="26"/>
      <c r="AE17" s="28">
        <f t="shared" si="113"/>
        <v>0</v>
      </c>
      <c r="AG17" s="26"/>
      <c r="AH17" s="26"/>
      <c r="AI17" s="26"/>
      <c r="AJ17" s="26"/>
      <c r="AK17" s="26"/>
      <c r="AL17" s="26"/>
      <c r="AM17" s="26"/>
      <c r="AN17" s="26"/>
      <c r="AO17" s="26"/>
      <c r="AP17" s="26"/>
      <c r="AQ17" s="26"/>
      <c r="AR17" s="26"/>
      <c r="AS17" s="28">
        <f t="shared" si="108"/>
        <v>0</v>
      </c>
      <c r="AU17" s="26"/>
      <c r="AV17" s="26"/>
      <c r="AW17" s="26"/>
      <c r="AX17" s="26"/>
      <c r="AY17" s="26"/>
      <c r="AZ17" s="26"/>
      <c r="BA17" s="26"/>
      <c r="BB17" s="26"/>
      <c r="BC17" s="26"/>
      <c r="BD17" s="26"/>
      <c r="BE17" s="26"/>
      <c r="BF17" s="26"/>
      <c r="BG17" s="28">
        <f t="shared" si="109"/>
        <v>0</v>
      </c>
      <c r="BI17" s="26"/>
      <c r="BJ17" s="26"/>
      <c r="BK17" s="26"/>
      <c r="BL17" s="26"/>
      <c r="BM17" s="26"/>
      <c r="BN17" s="26"/>
      <c r="BO17" s="26"/>
      <c r="BP17" s="26"/>
      <c r="BQ17" s="26"/>
      <c r="BR17" s="26"/>
      <c r="BS17" s="26"/>
      <c r="BT17" s="26"/>
      <c r="BU17" s="28">
        <f t="shared" si="110"/>
        <v>0</v>
      </c>
      <c r="BW17" s="26"/>
      <c r="BX17" s="26"/>
      <c r="BY17" s="26"/>
      <c r="BZ17" s="26"/>
      <c r="CA17" s="26"/>
      <c r="CB17" s="26"/>
      <c r="CC17" s="26"/>
      <c r="CD17" s="26"/>
      <c r="CE17" s="26"/>
      <c r="CF17" s="26"/>
      <c r="CG17" s="26"/>
      <c r="CH17" s="26"/>
      <c r="CI17" s="28">
        <f t="shared" si="111"/>
        <v>0</v>
      </c>
    </row>
    <row r="18" spans="3:87" hidden="1" x14ac:dyDescent="0.3">
      <c r="C18" s="25" t="s">
        <v>7</v>
      </c>
      <c r="E18" s="26"/>
      <c r="F18" s="26"/>
      <c r="G18" s="26"/>
      <c r="H18" s="26"/>
      <c r="I18" s="26"/>
      <c r="J18" s="26"/>
      <c r="K18" s="26"/>
      <c r="L18" s="26"/>
      <c r="M18" s="26"/>
      <c r="N18" s="26"/>
      <c r="O18" s="26"/>
      <c r="P18" s="26"/>
      <c r="Q18" s="28">
        <f t="shared" si="112"/>
        <v>0</v>
      </c>
      <c r="S18" s="26"/>
      <c r="T18" s="26"/>
      <c r="U18" s="26"/>
      <c r="V18" s="26"/>
      <c r="W18" s="26"/>
      <c r="X18" s="26"/>
      <c r="Y18" s="26"/>
      <c r="Z18" s="26"/>
      <c r="AA18" s="26"/>
      <c r="AB18" s="26"/>
      <c r="AC18" s="26"/>
      <c r="AD18" s="26"/>
      <c r="AE18" s="28">
        <f t="shared" si="113"/>
        <v>0</v>
      </c>
      <c r="AG18" s="26"/>
      <c r="AH18" s="26"/>
      <c r="AI18" s="26"/>
      <c r="AJ18" s="26"/>
      <c r="AK18" s="26"/>
      <c r="AL18" s="26"/>
      <c r="AM18" s="26"/>
      <c r="AN18" s="26"/>
      <c r="AO18" s="26"/>
      <c r="AP18" s="26"/>
      <c r="AQ18" s="26"/>
      <c r="AR18" s="26"/>
      <c r="AS18" s="28">
        <f t="shared" si="108"/>
        <v>0</v>
      </c>
      <c r="AU18" s="26"/>
      <c r="AV18" s="26"/>
      <c r="AW18" s="26"/>
      <c r="AX18" s="26"/>
      <c r="AY18" s="26"/>
      <c r="AZ18" s="26"/>
      <c r="BA18" s="26"/>
      <c r="BB18" s="26"/>
      <c r="BC18" s="26"/>
      <c r="BD18" s="26"/>
      <c r="BE18" s="26"/>
      <c r="BF18" s="26"/>
      <c r="BG18" s="28">
        <f t="shared" si="109"/>
        <v>0</v>
      </c>
      <c r="BI18" s="26"/>
      <c r="BJ18" s="26"/>
      <c r="BK18" s="26"/>
      <c r="BL18" s="26"/>
      <c r="BM18" s="26"/>
      <c r="BN18" s="26"/>
      <c r="BO18" s="26"/>
      <c r="BP18" s="26"/>
      <c r="BQ18" s="26"/>
      <c r="BR18" s="26"/>
      <c r="BS18" s="26"/>
      <c r="BT18" s="26"/>
      <c r="BU18" s="28">
        <f t="shared" si="110"/>
        <v>0</v>
      </c>
      <c r="BW18" s="26"/>
      <c r="BX18" s="26"/>
      <c r="BY18" s="26"/>
      <c r="BZ18" s="26"/>
      <c r="CA18" s="26"/>
      <c r="CB18" s="26"/>
      <c r="CC18" s="26"/>
      <c r="CD18" s="26"/>
      <c r="CE18" s="26"/>
      <c r="CF18" s="26"/>
      <c r="CG18" s="26"/>
      <c r="CH18" s="26"/>
      <c r="CI18" s="28">
        <f t="shared" si="111"/>
        <v>0</v>
      </c>
    </row>
    <row r="19" spans="3:87" hidden="1" x14ac:dyDescent="0.3">
      <c r="C19" s="25" t="s">
        <v>7</v>
      </c>
      <c r="E19" s="26"/>
      <c r="F19" s="26"/>
      <c r="G19" s="26"/>
      <c r="H19" s="26"/>
      <c r="I19" s="26"/>
      <c r="J19" s="26"/>
      <c r="K19" s="26"/>
      <c r="L19" s="26"/>
      <c r="M19" s="26"/>
      <c r="N19" s="26"/>
      <c r="O19" s="26"/>
      <c r="P19" s="26"/>
      <c r="Q19" s="28">
        <f t="shared" si="112"/>
        <v>0</v>
      </c>
      <c r="S19" s="26"/>
      <c r="T19" s="26"/>
      <c r="U19" s="26"/>
      <c r="V19" s="26"/>
      <c r="W19" s="26"/>
      <c r="X19" s="26"/>
      <c r="Y19" s="26"/>
      <c r="Z19" s="26"/>
      <c r="AA19" s="26"/>
      <c r="AB19" s="26"/>
      <c r="AC19" s="26"/>
      <c r="AD19" s="26"/>
      <c r="AE19" s="28">
        <f t="shared" si="113"/>
        <v>0</v>
      </c>
      <c r="AG19" s="26"/>
      <c r="AH19" s="26"/>
      <c r="AI19" s="26"/>
      <c r="AJ19" s="26"/>
      <c r="AK19" s="26"/>
      <c r="AL19" s="26"/>
      <c r="AM19" s="26"/>
      <c r="AN19" s="26"/>
      <c r="AO19" s="26"/>
      <c r="AP19" s="26"/>
      <c r="AQ19" s="26"/>
      <c r="AR19" s="26"/>
      <c r="AS19" s="28">
        <f t="shared" si="108"/>
        <v>0</v>
      </c>
      <c r="AU19" s="26"/>
      <c r="AV19" s="26"/>
      <c r="AW19" s="26"/>
      <c r="AX19" s="26"/>
      <c r="AY19" s="26"/>
      <c r="AZ19" s="26"/>
      <c r="BA19" s="26"/>
      <c r="BB19" s="26"/>
      <c r="BC19" s="26"/>
      <c r="BD19" s="26"/>
      <c r="BE19" s="26"/>
      <c r="BF19" s="26"/>
      <c r="BG19" s="28">
        <f t="shared" si="109"/>
        <v>0</v>
      </c>
      <c r="BI19" s="26"/>
      <c r="BJ19" s="26"/>
      <c r="BK19" s="26"/>
      <c r="BL19" s="26"/>
      <c r="BM19" s="26"/>
      <c r="BN19" s="26"/>
      <c r="BO19" s="26"/>
      <c r="BP19" s="26"/>
      <c r="BQ19" s="26"/>
      <c r="BR19" s="26"/>
      <c r="BS19" s="26"/>
      <c r="BT19" s="26"/>
      <c r="BU19" s="28">
        <f t="shared" si="110"/>
        <v>0</v>
      </c>
      <c r="BW19" s="26"/>
      <c r="BX19" s="26"/>
      <c r="BY19" s="26"/>
      <c r="BZ19" s="26"/>
      <c r="CA19" s="26"/>
      <c r="CB19" s="26"/>
      <c r="CC19" s="26"/>
      <c r="CD19" s="26"/>
      <c r="CE19" s="26"/>
      <c r="CF19" s="26"/>
      <c r="CG19" s="26"/>
      <c r="CH19" s="26"/>
      <c r="CI19" s="28">
        <f t="shared" si="111"/>
        <v>0</v>
      </c>
    </row>
    <row r="20" spans="3:87" hidden="1" x14ac:dyDescent="0.3">
      <c r="C20" s="25" t="s">
        <v>7</v>
      </c>
      <c r="E20" s="26"/>
      <c r="F20" s="26"/>
      <c r="G20" s="26"/>
      <c r="H20" s="26"/>
      <c r="I20" s="26"/>
      <c r="J20" s="26"/>
      <c r="K20" s="26"/>
      <c r="L20" s="26"/>
      <c r="M20" s="26"/>
      <c r="N20" s="26"/>
      <c r="O20" s="26"/>
      <c r="P20" s="26"/>
      <c r="Q20" s="28">
        <f t="shared" si="112"/>
        <v>0</v>
      </c>
      <c r="S20" s="26"/>
      <c r="T20" s="26"/>
      <c r="U20" s="26"/>
      <c r="V20" s="26"/>
      <c r="W20" s="26"/>
      <c r="X20" s="26"/>
      <c r="Y20" s="26"/>
      <c r="Z20" s="26"/>
      <c r="AA20" s="26"/>
      <c r="AB20" s="26"/>
      <c r="AC20" s="26"/>
      <c r="AD20" s="26"/>
      <c r="AE20" s="28">
        <f t="shared" si="113"/>
        <v>0</v>
      </c>
      <c r="AG20" s="26"/>
      <c r="AH20" s="26"/>
      <c r="AI20" s="26"/>
      <c r="AJ20" s="26"/>
      <c r="AK20" s="26"/>
      <c r="AL20" s="26"/>
      <c r="AM20" s="26"/>
      <c r="AN20" s="26"/>
      <c r="AO20" s="26"/>
      <c r="AP20" s="26"/>
      <c r="AQ20" s="26"/>
      <c r="AR20" s="26"/>
      <c r="AS20" s="28">
        <f t="shared" si="108"/>
        <v>0</v>
      </c>
      <c r="AU20" s="26"/>
      <c r="AV20" s="26"/>
      <c r="AW20" s="26"/>
      <c r="AX20" s="26"/>
      <c r="AY20" s="26"/>
      <c r="AZ20" s="26"/>
      <c r="BA20" s="26"/>
      <c r="BB20" s="26"/>
      <c r="BC20" s="26"/>
      <c r="BD20" s="26"/>
      <c r="BE20" s="26"/>
      <c r="BF20" s="26"/>
      <c r="BG20" s="28">
        <f t="shared" si="109"/>
        <v>0</v>
      </c>
      <c r="BI20" s="26"/>
      <c r="BJ20" s="26"/>
      <c r="BK20" s="26"/>
      <c r="BL20" s="26"/>
      <c r="BM20" s="26"/>
      <c r="BN20" s="26"/>
      <c r="BO20" s="26"/>
      <c r="BP20" s="26"/>
      <c r="BQ20" s="26"/>
      <c r="BR20" s="26"/>
      <c r="BS20" s="26"/>
      <c r="BT20" s="26"/>
      <c r="BU20" s="28">
        <f t="shared" si="110"/>
        <v>0</v>
      </c>
      <c r="BW20" s="26"/>
      <c r="BX20" s="26"/>
      <c r="BY20" s="26"/>
      <c r="BZ20" s="26"/>
      <c r="CA20" s="26"/>
      <c r="CB20" s="26"/>
      <c r="CC20" s="26"/>
      <c r="CD20" s="26"/>
      <c r="CE20" s="26"/>
      <c r="CF20" s="26"/>
      <c r="CG20" s="26"/>
      <c r="CH20" s="26"/>
      <c r="CI20" s="28">
        <f t="shared" si="111"/>
        <v>0</v>
      </c>
    </row>
    <row r="21" spans="3:87" hidden="1" x14ac:dyDescent="0.3">
      <c r="C21" s="25" t="s">
        <v>7</v>
      </c>
      <c r="E21" s="26"/>
      <c r="F21" s="26"/>
      <c r="G21" s="26"/>
      <c r="H21" s="26"/>
      <c r="I21" s="26"/>
      <c r="J21" s="26"/>
      <c r="K21" s="26"/>
      <c r="L21" s="26"/>
      <c r="M21" s="26"/>
      <c r="N21" s="26"/>
      <c r="O21" s="26"/>
      <c r="P21" s="26"/>
      <c r="Q21" s="28">
        <f t="shared" si="112"/>
        <v>0</v>
      </c>
      <c r="S21" s="26"/>
      <c r="T21" s="26"/>
      <c r="U21" s="26"/>
      <c r="V21" s="26"/>
      <c r="W21" s="26"/>
      <c r="X21" s="26"/>
      <c r="Y21" s="26"/>
      <c r="Z21" s="26"/>
      <c r="AA21" s="26"/>
      <c r="AB21" s="26"/>
      <c r="AC21" s="26"/>
      <c r="AD21" s="26"/>
      <c r="AE21" s="28">
        <f t="shared" si="113"/>
        <v>0</v>
      </c>
      <c r="AG21" s="26"/>
      <c r="AH21" s="26"/>
      <c r="AI21" s="26"/>
      <c r="AJ21" s="26"/>
      <c r="AK21" s="26"/>
      <c r="AL21" s="26"/>
      <c r="AM21" s="26"/>
      <c r="AN21" s="26"/>
      <c r="AO21" s="26"/>
      <c r="AP21" s="26"/>
      <c r="AQ21" s="26"/>
      <c r="AR21" s="26"/>
      <c r="AS21" s="28">
        <f t="shared" si="108"/>
        <v>0</v>
      </c>
      <c r="AU21" s="26"/>
      <c r="AV21" s="26"/>
      <c r="AW21" s="26"/>
      <c r="AX21" s="26"/>
      <c r="AY21" s="26"/>
      <c r="AZ21" s="26"/>
      <c r="BA21" s="26"/>
      <c r="BB21" s="26"/>
      <c r="BC21" s="26"/>
      <c r="BD21" s="26"/>
      <c r="BE21" s="26"/>
      <c r="BF21" s="26"/>
      <c r="BG21" s="28">
        <f t="shared" si="109"/>
        <v>0</v>
      </c>
      <c r="BI21" s="26"/>
      <c r="BJ21" s="26"/>
      <c r="BK21" s="26"/>
      <c r="BL21" s="26"/>
      <c r="BM21" s="26"/>
      <c r="BN21" s="26"/>
      <c r="BO21" s="26"/>
      <c r="BP21" s="26"/>
      <c r="BQ21" s="26"/>
      <c r="BR21" s="26"/>
      <c r="BS21" s="26"/>
      <c r="BT21" s="26"/>
      <c r="BU21" s="28">
        <f t="shared" si="110"/>
        <v>0</v>
      </c>
      <c r="BW21" s="26"/>
      <c r="BX21" s="26"/>
      <c r="BY21" s="26"/>
      <c r="BZ21" s="26"/>
      <c r="CA21" s="26"/>
      <c r="CB21" s="26"/>
      <c r="CC21" s="26"/>
      <c r="CD21" s="26"/>
      <c r="CE21" s="26"/>
      <c r="CF21" s="26"/>
      <c r="CG21" s="26"/>
      <c r="CH21" s="26"/>
      <c r="CI21" s="28">
        <f t="shared" si="111"/>
        <v>0</v>
      </c>
    </row>
    <row r="22" spans="3:87" x14ac:dyDescent="0.3">
      <c r="C22" s="20" t="s">
        <v>8</v>
      </c>
      <c r="E22" s="27" cm="1">
        <f t="array" aca="1" ref="E22" ca="1">SUM(INDIRECT(ADDRESS(income_min_row,COLUMN()) &amp; ":" &amp; ADDRESS(income_max_row,COLUMN())))</f>
        <v>4650</v>
      </c>
      <c r="F22" s="27" cm="1">
        <f t="array" aca="1" ref="F22" ca="1">SUM(INDIRECT(ADDRESS(income_min_row,COLUMN()) &amp; ":" &amp; ADDRESS(income_max_row,COLUMN())))</f>
        <v>4550</v>
      </c>
      <c r="G22" s="27" cm="1">
        <f t="array" aca="1" ref="G22" ca="1">SUM(INDIRECT(ADDRESS(income_min_row,COLUMN()) &amp; ":" &amp; ADDRESS(income_max_row,COLUMN())))</f>
        <v>4600</v>
      </c>
      <c r="H22" s="27" cm="1">
        <f t="array" aca="1" ref="H22" ca="1">SUM(INDIRECT(ADDRESS(income_min_row,COLUMN()) &amp; ":" &amp; ADDRESS(income_max_row,COLUMN())))</f>
        <v>5650</v>
      </c>
      <c r="I22" s="27" cm="1">
        <f t="array" aca="1" ref="I22" ca="1">SUM(INDIRECT(ADDRESS(income_min_row,COLUMN()) &amp; ":" &amp; ADDRESS(income_max_row,COLUMN())))</f>
        <v>5550</v>
      </c>
      <c r="J22" s="27" cm="1">
        <f t="array" aca="1" ref="J22" ca="1">SUM(INDIRECT(ADDRESS(income_min_row,COLUMN()) &amp; ":" &amp; ADDRESS(income_max_row,COLUMN())))</f>
        <v>5600</v>
      </c>
      <c r="K22" s="27" cm="1">
        <f t="array" aca="1" ref="K22" ca="1">SUM(INDIRECT(ADDRESS(income_min_row,COLUMN()) &amp; ":" &amp; ADDRESS(income_max_row,COLUMN())))</f>
        <v>5650</v>
      </c>
      <c r="L22" s="27" cm="1">
        <f t="array" aca="1" ref="L22" ca="1">SUM(INDIRECT(ADDRESS(income_min_row,COLUMN()) &amp; ":" &amp; ADDRESS(income_max_row,COLUMN())))</f>
        <v>5550</v>
      </c>
      <c r="M22" s="27" cm="1">
        <f t="array" aca="1" ref="M22" ca="1">SUM(INDIRECT(ADDRESS(income_min_row,COLUMN()) &amp; ":" &amp; ADDRESS(income_max_row,COLUMN())))</f>
        <v>5600</v>
      </c>
      <c r="N22" s="27" cm="1">
        <f t="array" aca="1" ref="N22" ca="1">SUM(INDIRECT(ADDRESS(income_min_row,COLUMN()) &amp; ":" &amp; ADDRESS(income_max_row,COLUMN())))</f>
        <v>5650</v>
      </c>
      <c r="O22" s="27" cm="1">
        <f t="array" aca="1" ref="O22" ca="1">SUM(INDIRECT(ADDRESS(income_min_row,COLUMN()) &amp; ":" &amp; ADDRESS(income_max_row,COLUMN())))</f>
        <v>5550</v>
      </c>
      <c r="P22" s="27" cm="1">
        <f t="array" aca="1" ref="P22" ca="1">SUM(INDIRECT(ADDRESS(income_min_row,COLUMN()) &amp; ":" &amp; ADDRESS(income_max_row,COLUMN())))</f>
        <v>5600</v>
      </c>
      <c r="Q22" s="27" cm="1">
        <f t="array" aca="1" ref="Q22" ca="1">SUM(INDIRECT(ADDRESS(income_min_row,COLUMN()) &amp; ":" &amp; ADDRESS(income_max_row,COLUMN())))</f>
        <v>64200</v>
      </c>
      <c r="S22" s="27" cm="1">
        <f t="array" aca="1" ref="S22" ca="1">SUM(INDIRECT(ADDRESS(income_min_row,COLUMN()) &amp; ":" &amp; ADDRESS(income_max_row,COLUMN())))</f>
        <v>0</v>
      </c>
      <c r="T22" s="27" cm="1">
        <f t="array" aca="1" ref="T22" ca="1">SUM(INDIRECT(ADDRESS(income_min_row,COLUMN()) &amp; ":" &amp; ADDRESS(income_max_row,COLUMN())))</f>
        <v>0</v>
      </c>
      <c r="U22" s="27" cm="1">
        <f t="array" aca="1" ref="U22" ca="1">SUM(INDIRECT(ADDRESS(income_min_row,COLUMN()) &amp; ":" &amp; ADDRESS(income_max_row,COLUMN())))</f>
        <v>0</v>
      </c>
      <c r="V22" s="27" cm="1">
        <f t="array" aca="1" ref="V22" ca="1">SUM(INDIRECT(ADDRESS(income_min_row,COLUMN()) &amp; ":" &amp; ADDRESS(income_max_row,COLUMN())))</f>
        <v>0</v>
      </c>
      <c r="W22" s="27" cm="1">
        <f t="array" aca="1" ref="W22" ca="1">SUM(INDIRECT(ADDRESS(income_min_row,COLUMN()) &amp; ":" &amp; ADDRESS(income_max_row,COLUMN())))</f>
        <v>0</v>
      </c>
      <c r="X22" s="27" cm="1">
        <f t="array" aca="1" ref="X22" ca="1">SUM(INDIRECT(ADDRESS(income_min_row,COLUMN()) &amp; ":" &amp; ADDRESS(income_max_row,COLUMN())))</f>
        <v>0</v>
      </c>
      <c r="Y22" s="27" cm="1">
        <f t="array" aca="1" ref="Y22" ca="1">SUM(INDIRECT(ADDRESS(income_min_row,COLUMN()) &amp; ":" &amp; ADDRESS(income_max_row,COLUMN())))</f>
        <v>0</v>
      </c>
      <c r="Z22" s="27" cm="1">
        <f t="array" aca="1" ref="Z22" ca="1">SUM(INDIRECT(ADDRESS(income_min_row,COLUMN()) &amp; ":" &amp; ADDRESS(income_max_row,COLUMN())))</f>
        <v>0</v>
      </c>
      <c r="AA22" s="27" cm="1">
        <f t="array" aca="1" ref="AA22" ca="1">SUM(INDIRECT(ADDRESS(income_min_row,COLUMN()) &amp; ":" &amp; ADDRESS(income_max_row,COLUMN())))</f>
        <v>0</v>
      </c>
      <c r="AB22" s="27" cm="1">
        <f t="array" aca="1" ref="AB22" ca="1">SUM(INDIRECT(ADDRESS(income_min_row,COLUMN()) &amp; ":" &amp; ADDRESS(income_max_row,COLUMN())))</f>
        <v>0</v>
      </c>
      <c r="AC22" s="27" cm="1">
        <f t="array" aca="1" ref="AC22" ca="1">SUM(INDIRECT(ADDRESS(income_min_row,COLUMN()) &amp; ":" &amp; ADDRESS(income_max_row,COLUMN())))</f>
        <v>0</v>
      </c>
      <c r="AD22" s="27" cm="1">
        <f t="array" aca="1" ref="AD22" ca="1">SUM(INDIRECT(ADDRESS(income_min_row,COLUMN()) &amp; ":" &amp; ADDRESS(income_max_row,COLUMN())))</f>
        <v>0</v>
      </c>
      <c r="AE22" s="27" cm="1">
        <f t="array" aca="1" ref="AE22" ca="1">SUM(INDIRECT(ADDRESS(income_min_row,COLUMN()) &amp; ":" &amp; ADDRESS(income_max_row,COLUMN())))</f>
        <v>0</v>
      </c>
      <c r="AG22" s="27" cm="1">
        <f t="array" aca="1" ref="AG22" ca="1">SUM(INDIRECT(ADDRESS(income_min_row,COLUMN()) &amp; ":" &amp; ADDRESS(income_max_row,COLUMN())))</f>
        <v>0</v>
      </c>
      <c r="AH22" s="27" cm="1">
        <f t="array" aca="1" ref="AH22" ca="1">SUM(INDIRECT(ADDRESS(income_min_row,COLUMN()) &amp; ":" &amp; ADDRESS(income_max_row,COLUMN())))</f>
        <v>0</v>
      </c>
      <c r="AI22" s="27" cm="1">
        <f t="array" aca="1" ref="AI22" ca="1">SUM(INDIRECT(ADDRESS(income_min_row,COLUMN()) &amp; ":" &amp; ADDRESS(income_max_row,COLUMN())))</f>
        <v>0</v>
      </c>
      <c r="AJ22" s="27" cm="1">
        <f t="array" aca="1" ref="AJ22" ca="1">SUM(INDIRECT(ADDRESS(income_min_row,COLUMN()) &amp; ":" &amp; ADDRESS(income_max_row,COLUMN())))</f>
        <v>0</v>
      </c>
      <c r="AK22" s="27" cm="1">
        <f t="array" aca="1" ref="AK22" ca="1">SUM(INDIRECT(ADDRESS(income_min_row,COLUMN()) &amp; ":" &amp; ADDRESS(income_max_row,COLUMN())))</f>
        <v>0</v>
      </c>
      <c r="AL22" s="27" cm="1">
        <f t="array" aca="1" ref="AL22" ca="1">SUM(INDIRECT(ADDRESS(income_min_row,COLUMN()) &amp; ":" &amp; ADDRESS(income_max_row,COLUMN())))</f>
        <v>0</v>
      </c>
      <c r="AM22" s="27" cm="1">
        <f t="array" aca="1" ref="AM22" ca="1">SUM(INDIRECT(ADDRESS(income_min_row,COLUMN()) &amp; ":" &amp; ADDRESS(income_max_row,COLUMN())))</f>
        <v>0</v>
      </c>
      <c r="AN22" s="27" cm="1">
        <f t="array" aca="1" ref="AN22" ca="1">SUM(INDIRECT(ADDRESS(income_min_row,COLUMN()) &amp; ":" &amp; ADDRESS(income_max_row,COLUMN())))</f>
        <v>0</v>
      </c>
      <c r="AO22" s="27" cm="1">
        <f t="array" aca="1" ref="AO22" ca="1">SUM(INDIRECT(ADDRESS(income_min_row,COLUMN()) &amp; ":" &amp; ADDRESS(income_max_row,COLUMN())))</f>
        <v>0</v>
      </c>
      <c r="AP22" s="27" cm="1">
        <f t="array" aca="1" ref="AP22" ca="1">SUM(INDIRECT(ADDRESS(income_min_row,COLUMN()) &amp; ":" &amp; ADDRESS(income_max_row,COLUMN())))</f>
        <v>0</v>
      </c>
      <c r="AQ22" s="27" cm="1">
        <f t="array" aca="1" ref="AQ22" ca="1">SUM(INDIRECT(ADDRESS(income_min_row,COLUMN()) &amp; ":" &amp; ADDRESS(income_max_row,COLUMN())))</f>
        <v>0</v>
      </c>
      <c r="AR22" s="27" cm="1">
        <f t="array" aca="1" ref="AR22" ca="1">SUM(INDIRECT(ADDRESS(income_min_row,COLUMN()) &amp; ":" &amp; ADDRESS(income_max_row,COLUMN())))</f>
        <v>0</v>
      </c>
      <c r="AS22" s="27" cm="1">
        <f t="array" aca="1" ref="AS22" ca="1">SUM(INDIRECT(ADDRESS(income_min_row,COLUMN()) &amp; ":" &amp; ADDRESS(income_max_row,COLUMN())))</f>
        <v>0</v>
      </c>
      <c r="AU22" s="27" cm="1">
        <f t="array" aca="1" ref="AU22" ca="1">SUM(INDIRECT(ADDRESS(income_min_row,COLUMN()) &amp; ":" &amp; ADDRESS(income_max_row,COLUMN())))</f>
        <v>0</v>
      </c>
      <c r="AV22" s="27" cm="1">
        <f t="array" aca="1" ref="AV22" ca="1">SUM(INDIRECT(ADDRESS(income_min_row,COLUMN()) &amp; ":" &amp; ADDRESS(income_max_row,COLUMN())))</f>
        <v>0</v>
      </c>
      <c r="AW22" s="27" cm="1">
        <f t="array" aca="1" ref="AW22" ca="1">SUM(INDIRECT(ADDRESS(income_min_row,COLUMN()) &amp; ":" &amp; ADDRESS(income_max_row,COLUMN())))</f>
        <v>0</v>
      </c>
      <c r="AX22" s="27" cm="1">
        <f t="array" aca="1" ref="AX22" ca="1">SUM(INDIRECT(ADDRESS(income_min_row,COLUMN()) &amp; ":" &amp; ADDRESS(income_max_row,COLUMN())))</f>
        <v>0</v>
      </c>
      <c r="AY22" s="27" cm="1">
        <f t="array" aca="1" ref="AY22" ca="1">SUM(INDIRECT(ADDRESS(income_min_row,COLUMN()) &amp; ":" &amp; ADDRESS(income_max_row,COLUMN())))</f>
        <v>0</v>
      </c>
      <c r="AZ22" s="27" cm="1">
        <f t="array" aca="1" ref="AZ22" ca="1">SUM(INDIRECT(ADDRESS(income_min_row,COLUMN()) &amp; ":" &amp; ADDRESS(income_max_row,COLUMN())))</f>
        <v>0</v>
      </c>
      <c r="BA22" s="27" cm="1">
        <f t="array" aca="1" ref="BA22" ca="1">SUM(INDIRECT(ADDRESS(income_min_row,COLUMN()) &amp; ":" &amp; ADDRESS(income_max_row,COLUMN())))</f>
        <v>0</v>
      </c>
      <c r="BB22" s="27" cm="1">
        <f t="array" aca="1" ref="BB22" ca="1">SUM(INDIRECT(ADDRESS(income_min_row,COLUMN()) &amp; ":" &amp; ADDRESS(income_max_row,COLUMN())))</f>
        <v>0</v>
      </c>
      <c r="BC22" s="27" cm="1">
        <f t="array" aca="1" ref="BC22" ca="1">SUM(INDIRECT(ADDRESS(income_min_row,COLUMN()) &amp; ":" &amp; ADDRESS(income_max_row,COLUMN())))</f>
        <v>0</v>
      </c>
      <c r="BD22" s="27" cm="1">
        <f t="array" aca="1" ref="BD22" ca="1">SUM(INDIRECT(ADDRESS(income_min_row,COLUMN()) &amp; ":" &amp; ADDRESS(income_max_row,COLUMN())))</f>
        <v>0</v>
      </c>
      <c r="BE22" s="27" cm="1">
        <f t="array" aca="1" ref="BE22" ca="1">SUM(INDIRECT(ADDRESS(income_min_row,COLUMN()) &amp; ":" &amp; ADDRESS(income_max_row,COLUMN())))</f>
        <v>0</v>
      </c>
      <c r="BF22" s="27" cm="1">
        <f t="array" aca="1" ref="BF22" ca="1">SUM(INDIRECT(ADDRESS(income_min_row,COLUMN()) &amp; ":" &amp; ADDRESS(income_max_row,COLUMN())))</f>
        <v>0</v>
      </c>
      <c r="BG22" s="27" cm="1">
        <f t="array" aca="1" ref="BG22" ca="1">SUM(INDIRECT(ADDRESS(income_min_row,COLUMN()) &amp; ":" &amp; ADDRESS(income_max_row,COLUMN())))</f>
        <v>0</v>
      </c>
      <c r="BI22" s="27" cm="1">
        <f t="array" aca="1" ref="BI22" ca="1">SUM(INDIRECT(ADDRESS(income_min_row,COLUMN()) &amp; ":" &amp; ADDRESS(income_max_row,COLUMN())))</f>
        <v>0</v>
      </c>
      <c r="BJ22" s="27" cm="1">
        <f t="array" aca="1" ref="BJ22" ca="1">SUM(INDIRECT(ADDRESS(income_min_row,COLUMN()) &amp; ":" &amp; ADDRESS(income_max_row,COLUMN())))</f>
        <v>0</v>
      </c>
      <c r="BK22" s="27" cm="1">
        <f t="array" aca="1" ref="BK22" ca="1">SUM(INDIRECT(ADDRESS(income_min_row,COLUMN()) &amp; ":" &amp; ADDRESS(income_max_row,COLUMN())))</f>
        <v>0</v>
      </c>
      <c r="BL22" s="27" cm="1">
        <f t="array" aca="1" ref="BL22" ca="1">SUM(INDIRECT(ADDRESS(income_min_row,COLUMN()) &amp; ":" &amp; ADDRESS(income_max_row,COLUMN())))</f>
        <v>0</v>
      </c>
      <c r="BM22" s="27" cm="1">
        <f t="array" aca="1" ref="BM22" ca="1">SUM(INDIRECT(ADDRESS(income_min_row,COLUMN()) &amp; ":" &amp; ADDRESS(income_max_row,COLUMN())))</f>
        <v>0</v>
      </c>
      <c r="BN22" s="27" cm="1">
        <f t="array" aca="1" ref="BN22" ca="1">SUM(INDIRECT(ADDRESS(income_min_row,COLUMN()) &amp; ":" &amp; ADDRESS(income_max_row,COLUMN())))</f>
        <v>0</v>
      </c>
      <c r="BO22" s="27" cm="1">
        <f t="array" aca="1" ref="BO22" ca="1">SUM(INDIRECT(ADDRESS(income_min_row,COLUMN()) &amp; ":" &amp; ADDRESS(income_max_row,COLUMN())))</f>
        <v>0</v>
      </c>
      <c r="BP22" s="27" cm="1">
        <f t="array" aca="1" ref="BP22" ca="1">SUM(INDIRECT(ADDRESS(income_min_row,COLUMN()) &amp; ":" &amp; ADDRESS(income_max_row,COLUMN())))</f>
        <v>0</v>
      </c>
      <c r="BQ22" s="27" cm="1">
        <f t="array" aca="1" ref="BQ22" ca="1">SUM(INDIRECT(ADDRESS(income_min_row,COLUMN()) &amp; ":" &amp; ADDRESS(income_max_row,COLUMN())))</f>
        <v>0</v>
      </c>
      <c r="BR22" s="27" cm="1">
        <f t="array" aca="1" ref="BR22" ca="1">SUM(INDIRECT(ADDRESS(income_min_row,COLUMN()) &amp; ":" &amp; ADDRESS(income_max_row,COLUMN())))</f>
        <v>0</v>
      </c>
      <c r="BS22" s="27" cm="1">
        <f t="array" aca="1" ref="BS22" ca="1">SUM(INDIRECT(ADDRESS(income_min_row,COLUMN()) &amp; ":" &amp; ADDRESS(income_max_row,COLUMN())))</f>
        <v>0</v>
      </c>
      <c r="BT22" s="27" cm="1">
        <f t="array" aca="1" ref="BT22" ca="1">SUM(INDIRECT(ADDRESS(income_min_row,COLUMN()) &amp; ":" &amp; ADDRESS(income_max_row,COLUMN())))</f>
        <v>0</v>
      </c>
      <c r="BU22" s="27" cm="1">
        <f t="array" aca="1" ref="BU22" ca="1">SUM(INDIRECT(ADDRESS(income_min_row,COLUMN()) &amp; ":" &amp; ADDRESS(income_max_row,COLUMN())))</f>
        <v>0</v>
      </c>
      <c r="BW22" s="27" cm="1">
        <f t="array" aca="1" ref="BW22" ca="1">SUM(INDIRECT(ADDRESS(income_min_row,COLUMN()) &amp; ":" &amp; ADDRESS(income_max_row,COLUMN())))</f>
        <v>0</v>
      </c>
      <c r="BX22" s="27" cm="1">
        <f t="array" aca="1" ref="BX22" ca="1">SUM(INDIRECT(ADDRESS(income_min_row,COLUMN()) &amp; ":" &amp; ADDRESS(income_max_row,COLUMN())))</f>
        <v>0</v>
      </c>
      <c r="BY22" s="27" cm="1">
        <f t="array" aca="1" ref="BY22" ca="1">SUM(INDIRECT(ADDRESS(income_min_row,COLUMN()) &amp; ":" &amp; ADDRESS(income_max_row,COLUMN())))</f>
        <v>0</v>
      </c>
      <c r="BZ22" s="27" cm="1">
        <f t="array" aca="1" ref="BZ22" ca="1">SUM(INDIRECT(ADDRESS(income_min_row,COLUMN()) &amp; ":" &amp; ADDRESS(income_max_row,COLUMN())))</f>
        <v>0</v>
      </c>
      <c r="CA22" s="27" cm="1">
        <f t="array" aca="1" ref="CA22" ca="1">SUM(INDIRECT(ADDRESS(income_min_row,COLUMN()) &amp; ":" &amp; ADDRESS(income_max_row,COLUMN())))</f>
        <v>0</v>
      </c>
      <c r="CB22" s="27" cm="1">
        <f t="array" aca="1" ref="CB22" ca="1">SUM(INDIRECT(ADDRESS(income_min_row,COLUMN()) &amp; ":" &amp; ADDRESS(income_max_row,COLUMN())))</f>
        <v>0</v>
      </c>
      <c r="CC22" s="27" cm="1">
        <f t="array" aca="1" ref="CC22" ca="1">SUM(INDIRECT(ADDRESS(income_min_row,COLUMN()) &amp; ":" &amp; ADDRESS(income_max_row,COLUMN())))</f>
        <v>0</v>
      </c>
      <c r="CD22" s="27" cm="1">
        <f t="array" aca="1" ref="CD22" ca="1">SUM(INDIRECT(ADDRESS(income_min_row,COLUMN()) &amp; ":" &amp; ADDRESS(income_max_row,COLUMN())))</f>
        <v>0</v>
      </c>
      <c r="CE22" s="27" cm="1">
        <f t="array" aca="1" ref="CE22" ca="1">SUM(INDIRECT(ADDRESS(income_min_row,COLUMN()) &amp; ":" &amp; ADDRESS(income_max_row,COLUMN())))</f>
        <v>0</v>
      </c>
      <c r="CF22" s="27" cm="1">
        <f t="array" aca="1" ref="CF22" ca="1">SUM(INDIRECT(ADDRESS(income_min_row,COLUMN()) &amp; ":" &amp; ADDRESS(income_max_row,COLUMN())))</f>
        <v>0</v>
      </c>
      <c r="CG22" s="27" cm="1">
        <f t="array" aca="1" ref="CG22" ca="1">SUM(INDIRECT(ADDRESS(income_min_row,COLUMN()) &amp; ":" &amp; ADDRESS(income_max_row,COLUMN())))</f>
        <v>0</v>
      </c>
      <c r="CH22" s="27" cm="1">
        <f t="array" aca="1" ref="CH22" ca="1">SUM(INDIRECT(ADDRESS(income_min_row,COLUMN()) &amp; ":" &amp; ADDRESS(income_max_row,COLUMN())))</f>
        <v>0</v>
      </c>
      <c r="CI22" s="27" cm="1">
        <f t="array" aca="1" ref="CI22" ca="1">SUM(INDIRECT(ADDRESS(income_min_row,COLUMN()) &amp; ":" &amp; ADDRESS(income_max_row,COLUMN())))</f>
        <v>0</v>
      </c>
    </row>
    <row r="24" spans="3:87" x14ac:dyDescent="0.3">
      <c r="C24" s="18" t="s">
        <v>12</v>
      </c>
      <c r="E24" s="30">
        <f>DATE(E$5,1,1)</f>
        <v>45292</v>
      </c>
      <c r="F24" s="30">
        <f>DATE(E$5,2,1)</f>
        <v>45323</v>
      </c>
      <c r="G24" s="30">
        <f>DATE(E$5,3,1)</f>
        <v>45352</v>
      </c>
      <c r="H24" s="30">
        <f>DATE(E$5,4,1)</f>
        <v>45383</v>
      </c>
      <c r="I24" s="30">
        <f>DATE(E$5,5,1)</f>
        <v>45413</v>
      </c>
      <c r="J24" s="30">
        <f>DATE(E$5,6,1)</f>
        <v>45444</v>
      </c>
      <c r="K24" s="30">
        <f>DATE(E$5,7,1)</f>
        <v>45474</v>
      </c>
      <c r="L24" s="30">
        <f>DATE(E$5,8,1)</f>
        <v>45505</v>
      </c>
      <c r="M24" s="30">
        <f>DATE(E$5,9,1)</f>
        <v>45536</v>
      </c>
      <c r="N24" s="30">
        <f>DATE(E$5,10,1)</f>
        <v>45566</v>
      </c>
      <c r="O24" s="30">
        <f>DATE(E$5,11,1)</f>
        <v>45597</v>
      </c>
      <c r="P24" s="30">
        <f>DATE(E$5,12,1)</f>
        <v>45627</v>
      </c>
      <c r="Q24" s="31">
        <f>E$5</f>
        <v>2024</v>
      </c>
      <c r="S24" s="30">
        <f>DATE(S$5,1,1)</f>
        <v>45658</v>
      </c>
      <c r="T24" s="30">
        <f>DATE(S$5,2,1)</f>
        <v>45689</v>
      </c>
      <c r="U24" s="30">
        <f>DATE(S$5,3,1)</f>
        <v>45717</v>
      </c>
      <c r="V24" s="30">
        <f>DATE(S$5,4,1)</f>
        <v>45748</v>
      </c>
      <c r="W24" s="30">
        <f>DATE(S$5,5,1)</f>
        <v>45778</v>
      </c>
      <c r="X24" s="30">
        <f>DATE(S$5,6,1)</f>
        <v>45809</v>
      </c>
      <c r="Y24" s="30">
        <f>DATE(S$5,7,1)</f>
        <v>45839</v>
      </c>
      <c r="Z24" s="30">
        <f>DATE(S$5,8,1)</f>
        <v>45870</v>
      </c>
      <c r="AA24" s="30">
        <f>DATE(S$5,9,1)</f>
        <v>45901</v>
      </c>
      <c r="AB24" s="30">
        <f>DATE(S$5,10,1)</f>
        <v>45931</v>
      </c>
      <c r="AC24" s="30">
        <f>DATE(S$5,11,1)</f>
        <v>45962</v>
      </c>
      <c r="AD24" s="30">
        <f>DATE(S$5,12,1)</f>
        <v>45992</v>
      </c>
      <c r="AE24" s="31">
        <f>S$5</f>
        <v>2025</v>
      </c>
      <c r="AG24" s="30">
        <f t="shared" ref="AG24:BL24" si="114">DATE(AG$5,1,1)</f>
        <v>46023</v>
      </c>
      <c r="AH24" s="30">
        <f t="shared" ref="AH24:BM24" si="115">DATE(AG$5,2,1)</f>
        <v>46054</v>
      </c>
      <c r="AI24" s="30">
        <f t="shared" ref="AI24" si="116">DATE(AG$5,3,1)</f>
        <v>46082</v>
      </c>
      <c r="AJ24" s="30">
        <f t="shared" ref="AJ24" si="117">DATE(AG$5,4,1)</f>
        <v>46113</v>
      </c>
      <c r="AK24" s="30">
        <f t="shared" ref="AK24" si="118">DATE(AG$5,5,1)</f>
        <v>46143</v>
      </c>
      <c r="AL24" s="30">
        <f t="shared" ref="AL24" si="119">DATE(AG$5,6,1)</f>
        <v>46174</v>
      </c>
      <c r="AM24" s="30">
        <f t="shared" ref="AM24" si="120">DATE(AG$5,7,1)</f>
        <v>46204</v>
      </c>
      <c r="AN24" s="30">
        <f t="shared" ref="AN24" si="121">DATE(AG$5,8,1)</f>
        <v>46235</v>
      </c>
      <c r="AO24" s="30">
        <f t="shared" ref="AO24" si="122">DATE(AG$5,9,1)</f>
        <v>46266</v>
      </c>
      <c r="AP24" s="30">
        <f t="shared" ref="AP24" si="123">DATE(AG$5,10,1)</f>
        <v>46296</v>
      </c>
      <c r="AQ24" s="30">
        <f t="shared" ref="AQ24" si="124">DATE(AG$5,11,1)</f>
        <v>46327</v>
      </c>
      <c r="AR24" s="30">
        <f t="shared" ref="AR24" si="125">DATE(AG$5,12,1)</f>
        <v>46357</v>
      </c>
      <c r="AS24" s="31">
        <f t="shared" ref="AS24" si="126">AG$5</f>
        <v>2026</v>
      </c>
      <c r="AU24" s="30">
        <f t="shared" ref="AU24:CJ24" si="127">DATE(AU$5,1,1)</f>
        <v>46388</v>
      </c>
      <c r="AV24" s="30">
        <f t="shared" ref="AV24:CJ24" si="128">DATE(AU$5,2,1)</f>
        <v>46419</v>
      </c>
      <c r="AW24" s="30">
        <f t="shared" ref="AW24" si="129">DATE(AU$5,3,1)</f>
        <v>46447</v>
      </c>
      <c r="AX24" s="30">
        <f t="shared" ref="AX24" si="130">DATE(AU$5,4,1)</f>
        <v>46478</v>
      </c>
      <c r="AY24" s="30">
        <f t="shared" ref="AY24" si="131">DATE(AU$5,5,1)</f>
        <v>46508</v>
      </c>
      <c r="AZ24" s="30">
        <f t="shared" ref="AZ24" si="132">DATE(AU$5,6,1)</f>
        <v>46539</v>
      </c>
      <c r="BA24" s="30">
        <f t="shared" ref="BA24" si="133">DATE(AU$5,7,1)</f>
        <v>46569</v>
      </c>
      <c r="BB24" s="30">
        <f t="shared" ref="BB24" si="134">DATE(AU$5,8,1)</f>
        <v>46600</v>
      </c>
      <c r="BC24" s="30">
        <f t="shared" ref="BC24" si="135">DATE(AU$5,9,1)</f>
        <v>46631</v>
      </c>
      <c r="BD24" s="30">
        <f t="shared" ref="BD24" si="136">DATE(AU$5,10,1)</f>
        <v>46661</v>
      </c>
      <c r="BE24" s="30">
        <f t="shared" ref="BE24" si="137">DATE(AU$5,11,1)</f>
        <v>46692</v>
      </c>
      <c r="BF24" s="30">
        <f t="shared" ref="BF24" si="138">DATE(AU$5,12,1)</f>
        <v>46722</v>
      </c>
      <c r="BG24" s="31">
        <f t="shared" ref="BG24" si="139">AU$5</f>
        <v>2027</v>
      </c>
      <c r="BI24" s="30">
        <f t="shared" ref="BI24:CJ24" si="140">DATE(BI$5,1,1)</f>
        <v>46753</v>
      </c>
      <c r="BJ24" s="30">
        <f t="shared" ref="BJ24:CJ24" si="141">DATE(BI$5,2,1)</f>
        <v>46784</v>
      </c>
      <c r="BK24" s="30">
        <f t="shared" ref="BK24" si="142">DATE(BI$5,3,1)</f>
        <v>46813</v>
      </c>
      <c r="BL24" s="30">
        <f t="shared" ref="BL24" si="143">DATE(BI$5,4,1)</f>
        <v>46844</v>
      </c>
      <c r="BM24" s="30">
        <f t="shared" ref="BM24" si="144">DATE(BI$5,5,1)</f>
        <v>46874</v>
      </c>
      <c r="BN24" s="30">
        <f t="shared" ref="BN24" si="145">DATE(BI$5,6,1)</f>
        <v>46905</v>
      </c>
      <c r="BO24" s="30">
        <f t="shared" ref="BO24" si="146">DATE(BI$5,7,1)</f>
        <v>46935</v>
      </c>
      <c r="BP24" s="30">
        <f t="shared" ref="BP24" si="147">DATE(BI$5,8,1)</f>
        <v>46966</v>
      </c>
      <c r="BQ24" s="30">
        <f t="shared" ref="BQ24" si="148">DATE(BI$5,9,1)</f>
        <v>46997</v>
      </c>
      <c r="BR24" s="30">
        <f t="shared" ref="BR24" si="149">DATE(BI$5,10,1)</f>
        <v>47027</v>
      </c>
      <c r="BS24" s="30">
        <f t="shared" ref="BS24" si="150">DATE(BI$5,11,1)</f>
        <v>47058</v>
      </c>
      <c r="BT24" s="30">
        <f t="shared" ref="BT24" si="151">DATE(BI$5,12,1)</f>
        <v>47088</v>
      </c>
      <c r="BU24" s="31">
        <f t="shared" ref="BU24" si="152">BI$5</f>
        <v>2028</v>
      </c>
      <c r="BW24" s="30">
        <f t="shared" ref="BW24:CJ24" si="153">DATE(BW$5,1,1)</f>
        <v>47119</v>
      </c>
      <c r="BX24" s="30">
        <f t="shared" ref="BX24:CJ24" si="154">DATE(BW$5,2,1)</f>
        <v>47150</v>
      </c>
      <c r="BY24" s="30">
        <f t="shared" ref="BY24" si="155">DATE(BW$5,3,1)</f>
        <v>47178</v>
      </c>
      <c r="BZ24" s="30">
        <f t="shared" ref="BZ24" si="156">DATE(BW$5,4,1)</f>
        <v>47209</v>
      </c>
      <c r="CA24" s="30">
        <f t="shared" ref="CA24" si="157">DATE(BW$5,5,1)</f>
        <v>47239</v>
      </c>
      <c r="CB24" s="30">
        <f t="shared" ref="CB24" si="158">DATE(BW$5,6,1)</f>
        <v>47270</v>
      </c>
      <c r="CC24" s="30">
        <f t="shared" ref="CC24" si="159">DATE(BW$5,7,1)</f>
        <v>47300</v>
      </c>
      <c r="CD24" s="30">
        <f t="shared" ref="CD24" si="160">DATE(BW$5,8,1)</f>
        <v>47331</v>
      </c>
      <c r="CE24" s="30">
        <f t="shared" ref="CE24" si="161">DATE(BW$5,9,1)</f>
        <v>47362</v>
      </c>
      <c r="CF24" s="30">
        <f t="shared" ref="CF24" si="162">DATE(BW$5,10,1)</f>
        <v>47392</v>
      </c>
      <c r="CG24" s="30">
        <f t="shared" ref="CG24" si="163">DATE(BW$5,11,1)</f>
        <v>47423</v>
      </c>
      <c r="CH24" s="30">
        <f t="shared" ref="CH24" si="164">DATE(BW$5,12,1)</f>
        <v>47453</v>
      </c>
      <c r="CI24" s="31">
        <f t="shared" ref="CI24" si="165">BW$5</f>
        <v>2029</v>
      </c>
    </row>
    <row r="25" spans="3:87" x14ac:dyDescent="0.3">
      <c r="C25" s="25" t="s">
        <v>13</v>
      </c>
      <c r="E25" s="26">
        <v>1200</v>
      </c>
      <c r="F25" s="26">
        <v>1200</v>
      </c>
      <c r="G25" s="26">
        <v>1200</v>
      </c>
      <c r="H25" s="26">
        <v>1200</v>
      </c>
      <c r="I25" s="26">
        <v>1200</v>
      </c>
      <c r="J25" s="26">
        <v>1200</v>
      </c>
      <c r="K25" s="26">
        <v>1200</v>
      </c>
      <c r="L25" s="26">
        <v>1200</v>
      </c>
      <c r="M25" s="26">
        <v>1200</v>
      </c>
      <c r="N25" s="26">
        <v>1200</v>
      </c>
      <c r="O25" s="26">
        <v>1200</v>
      </c>
      <c r="P25" s="26">
        <v>1200</v>
      </c>
      <c r="Q25" s="28">
        <f>SUM(E25:P25)</f>
        <v>14400</v>
      </c>
      <c r="S25" s="26"/>
      <c r="T25" s="26"/>
      <c r="U25" s="26"/>
      <c r="V25" s="26"/>
      <c r="W25" s="26"/>
      <c r="X25" s="26"/>
      <c r="Y25" s="26"/>
      <c r="Z25" s="26"/>
      <c r="AA25" s="26"/>
      <c r="AB25" s="26"/>
      <c r="AC25" s="26"/>
      <c r="AD25" s="26"/>
      <c r="AE25" s="28">
        <f>SUM(S25:AD25)</f>
        <v>0</v>
      </c>
      <c r="AG25" s="26"/>
      <c r="AH25" s="26"/>
      <c r="AI25" s="26"/>
      <c r="AJ25" s="26"/>
      <c r="AK25" s="26"/>
      <c r="AL25" s="26"/>
      <c r="AM25" s="26"/>
      <c r="AN25" s="26"/>
      <c r="AO25" s="26"/>
      <c r="AP25" s="26"/>
      <c r="AQ25" s="26"/>
      <c r="AR25" s="26"/>
      <c r="AS25" s="28">
        <f t="shared" ref="AS25:AS40" si="166">SUM(AG25:AR25)</f>
        <v>0</v>
      </c>
      <c r="AU25" s="26"/>
      <c r="AV25" s="26"/>
      <c r="AW25" s="26"/>
      <c r="AX25" s="26"/>
      <c r="AY25" s="26"/>
      <c r="AZ25" s="26"/>
      <c r="BA25" s="26"/>
      <c r="BB25" s="26"/>
      <c r="BC25" s="26"/>
      <c r="BD25" s="26"/>
      <c r="BE25" s="26"/>
      <c r="BF25" s="26"/>
      <c r="BG25" s="28">
        <f t="shared" ref="BG25:BG40" si="167">SUM(AU25:BF25)</f>
        <v>0</v>
      </c>
      <c r="BI25" s="26"/>
      <c r="BJ25" s="26"/>
      <c r="BK25" s="26"/>
      <c r="BL25" s="26"/>
      <c r="BM25" s="26"/>
      <c r="BN25" s="26"/>
      <c r="BO25" s="26"/>
      <c r="BP25" s="26"/>
      <c r="BQ25" s="26"/>
      <c r="BR25" s="26"/>
      <c r="BS25" s="26"/>
      <c r="BT25" s="26"/>
      <c r="BU25" s="28">
        <f t="shared" ref="BU25:BU40" si="168">SUM(BI25:BT25)</f>
        <v>0</v>
      </c>
      <c r="BW25" s="26"/>
      <c r="BX25" s="26"/>
      <c r="BY25" s="26"/>
      <c r="BZ25" s="26"/>
      <c r="CA25" s="26"/>
      <c r="CB25" s="26"/>
      <c r="CC25" s="26"/>
      <c r="CD25" s="26"/>
      <c r="CE25" s="26"/>
      <c r="CF25" s="26"/>
      <c r="CG25" s="26"/>
      <c r="CH25" s="26"/>
      <c r="CI25" s="28">
        <f t="shared" ref="CI25:CI40" si="169">SUM(BW25:CH25)</f>
        <v>0</v>
      </c>
    </row>
    <row r="26" spans="3:87" x14ac:dyDescent="0.3">
      <c r="C26" s="25" t="s">
        <v>14</v>
      </c>
      <c r="E26" s="26">
        <v>300</v>
      </c>
      <c r="F26" s="26">
        <v>300</v>
      </c>
      <c r="G26" s="26">
        <v>300</v>
      </c>
      <c r="H26" s="26">
        <v>300</v>
      </c>
      <c r="I26" s="26">
        <v>300</v>
      </c>
      <c r="J26" s="26">
        <v>300</v>
      </c>
      <c r="K26" s="26">
        <v>300</v>
      </c>
      <c r="L26" s="26">
        <v>300</v>
      </c>
      <c r="M26" s="26">
        <v>300</v>
      </c>
      <c r="N26" s="26">
        <v>300</v>
      </c>
      <c r="O26" s="26">
        <v>300</v>
      </c>
      <c r="P26" s="26">
        <v>300</v>
      </c>
      <c r="Q26" s="28">
        <f t="shared" ref="Q26:Q40" si="170">SUM(E26:P26)</f>
        <v>3600</v>
      </c>
      <c r="S26" s="26"/>
      <c r="T26" s="26"/>
      <c r="U26" s="26"/>
      <c r="V26" s="26"/>
      <c r="W26" s="26"/>
      <c r="X26" s="26"/>
      <c r="Y26" s="26"/>
      <c r="Z26" s="26"/>
      <c r="AA26" s="26"/>
      <c r="AB26" s="26"/>
      <c r="AC26" s="26"/>
      <c r="AD26" s="26"/>
      <c r="AE26" s="28">
        <f t="shared" ref="AE26:AE40" si="171">SUM(S26:AD26)</f>
        <v>0</v>
      </c>
      <c r="AG26" s="26"/>
      <c r="AH26" s="26"/>
      <c r="AI26" s="26"/>
      <c r="AJ26" s="26"/>
      <c r="AK26" s="26"/>
      <c r="AL26" s="26"/>
      <c r="AM26" s="26"/>
      <c r="AN26" s="26"/>
      <c r="AO26" s="26"/>
      <c r="AP26" s="26"/>
      <c r="AQ26" s="26"/>
      <c r="AR26" s="26"/>
      <c r="AS26" s="28">
        <f t="shared" si="166"/>
        <v>0</v>
      </c>
      <c r="AU26" s="26"/>
      <c r="AV26" s="26"/>
      <c r="AW26" s="26"/>
      <c r="AX26" s="26"/>
      <c r="AY26" s="26"/>
      <c r="AZ26" s="26"/>
      <c r="BA26" s="26"/>
      <c r="BB26" s="26"/>
      <c r="BC26" s="26"/>
      <c r="BD26" s="26"/>
      <c r="BE26" s="26"/>
      <c r="BF26" s="26"/>
      <c r="BG26" s="28">
        <f t="shared" si="167"/>
        <v>0</v>
      </c>
      <c r="BI26" s="26"/>
      <c r="BJ26" s="26"/>
      <c r="BK26" s="26"/>
      <c r="BL26" s="26"/>
      <c r="BM26" s="26"/>
      <c r="BN26" s="26"/>
      <c r="BO26" s="26"/>
      <c r="BP26" s="26"/>
      <c r="BQ26" s="26"/>
      <c r="BR26" s="26"/>
      <c r="BS26" s="26"/>
      <c r="BT26" s="26"/>
      <c r="BU26" s="28">
        <f t="shared" si="168"/>
        <v>0</v>
      </c>
      <c r="BW26" s="26"/>
      <c r="BX26" s="26"/>
      <c r="BY26" s="26"/>
      <c r="BZ26" s="26"/>
      <c r="CA26" s="26"/>
      <c r="CB26" s="26"/>
      <c r="CC26" s="26"/>
      <c r="CD26" s="26"/>
      <c r="CE26" s="26"/>
      <c r="CF26" s="26"/>
      <c r="CG26" s="26"/>
      <c r="CH26" s="26"/>
      <c r="CI26" s="28">
        <f t="shared" si="169"/>
        <v>0</v>
      </c>
    </row>
    <row r="27" spans="3:87" x14ac:dyDescent="0.3">
      <c r="C27" s="25" t="s">
        <v>15</v>
      </c>
      <c r="E27" s="26">
        <v>350</v>
      </c>
      <c r="F27" s="26">
        <v>350</v>
      </c>
      <c r="G27" s="26">
        <v>350</v>
      </c>
      <c r="H27" s="26">
        <v>350</v>
      </c>
      <c r="I27" s="26">
        <v>350</v>
      </c>
      <c r="J27" s="26">
        <v>350</v>
      </c>
      <c r="K27" s="26">
        <v>350</v>
      </c>
      <c r="L27" s="26">
        <v>350</v>
      </c>
      <c r="M27" s="26">
        <v>350</v>
      </c>
      <c r="N27" s="26">
        <v>350</v>
      </c>
      <c r="O27" s="26">
        <v>350</v>
      </c>
      <c r="P27" s="26">
        <v>350</v>
      </c>
      <c r="Q27" s="28">
        <f t="shared" si="170"/>
        <v>4200</v>
      </c>
      <c r="S27" s="26"/>
      <c r="T27" s="26"/>
      <c r="U27" s="26"/>
      <c r="V27" s="26"/>
      <c r="W27" s="26"/>
      <c r="X27" s="26"/>
      <c r="Y27" s="26"/>
      <c r="Z27" s="26"/>
      <c r="AA27" s="26"/>
      <c r="AB27" s="26"/>
      <c r="AC27" s="26"/>
      <c r="AD27" s="26"/>
      <c r="AE27" s="28">
        <f t="shared" si="171"/>
        <v>0</v>
      </c>
      <c r="AG27" s="26"/>
      <c r="AH27" s="26"/>
      <c r="AI27" s="26"/>
      <c r="AJ27" s="26"/>
      <c r="AK27" s="26"/>
      <c r="AL27" s="26"/>
      <c r="AM27" s="26"/>
      <c r="AN27" s="26"/>
      <c r="AO27" s="26"/>
      <c r="AP27" s="26"/>
      <c r="AQ27" s="26"/>
      <c r="AR27" s="26"/>
      <c r="AS27" s="28">
        <f t="shared" si="166"/>
        <v>0</v>
      </c>
      <c r="AU27" s="26"/>
      <c r="AV27" s="26"/>
      <c r="AW27" s="26"/>
      <c r="AX27" s="26"/>
      <c r="AY27" s="26"/>
      <c r="AZ27" s="26"/>
      <c r="BA27" s="26"/>
      <c r="BB27" s="26"/>
      <c r="BC27" s="26"/>
      <c r="BD27" s="26"/>
      <c r="BE27" s="26"/>
      <c r="BF27" s="26"/>
      <c r="BG27" s="28">
        <f t="shared" si="167"/>
        <v>0</v>
      </c>
      <c r="BI27" s="26"/>
      <c r="BJ27" s="26"/>
      <c r="BK27" s="26"/>
      <c r="BL27" s="26"/>
      <c r="BM27" s="26"/>
      <c r="BN27" s="26"/>
      <c r="BO27" s="26"/>
      <c r="BP27" s="26"/>
      <c r="BQ27" s="26"/>
      <c r="BR27" s="26"/>
      <c r="BS27" s="26"/>
      <c r="BT27" s="26"/>
      <c r="BU27" s="28">
        <f t="shared" si="168"/>
        <v>0</v>
      </c>
      <c r="BW27" s="26"/>
      <c r="BX27" s="26"/>
      <c r="BY27" s="26"/>
      <c r="BZ27" s="26"/>
      <c r="CA27" s="26"/>
      <c r="CB27" s="26"/>
      <c r="CC27" s="26"/>
      <c r="CD27" s="26"/>
      <c r="CE27" s="26"/>
      <c r="CF27" s="26"/>
      <c r="CG27" s="26"/>
      <c r="CH27" s="26"/>
      <c r="CI27" s="28">
        <f t="shared" si="169"/>
        <v>0</v>
      </c>
    </row>
    <row r="28" spans="3:87" x14ac:dyDescent="0.3">
      <c r="C28" s="25" t="s">
        <v>23</v>
      </c>
      <c r="E28" s="26">
        <v>300</v>
      </c>
      <c r="F28" s="26">
        <v>300</v>
      </c>
      <c r="G28" s="26">
        <v>300</v>
      </c>
      <c r="H28" s="26">
        <v>300</v>
      </c>
      <c r="I28" s="26">
        <v>300</v>
      </c>
      <c r="J28" s="26">
        <v>300</v>
      </c>
      <c r="K28" s="26">
        <v>300</v>
      </c>
      <c r="L28" s="26">
        <v>300</v>
      </c>
      <c r="M28" s="26">
        <v>300</v>
      </c>
      <c r="N28" s="26">
        <v>300</v>
      </c>
      <c r="O28" s="26">
        <v>300</v>
      </c>
      <c r="P28" s="26">
        <v>300</v>
      </c>
      <c r="Q28" s="28">
        <f t="shared" si="170"/>
        <v>3600</v>
      </c>
      <c r="S28" s="26"/>
      <c r="T28" s="26"/>
      <c r="U28" s="26"/>
      <c r="V28" s="26"/>
      <c r="W28" s="26"/>
      <c r="X28" s="26"/>
      <c r="Y28" s="26"/>
      <c r="Z28" s="26"/>
      <c r="AA28" s="26"/>
      <c r="AB28" s="26"/>
      <c r="AC28" s="26"/>
      <c r="AD28" s="26"/>
      <c r="AE28" s="28">
        <f t="shared" si="171"/>
        <v>0</v>
      </c>
      <c r="AG28" s="26"/>
      <c r="AH28" s="26"/>
      <c r="AI28" s="26"/>
      <c r="AJ28" s="26"/>
      <c r="AK28" s="26"/>
      <c r="AL28" s="26"/>
      <c r="AM28" s="26"/>
      <c r="AN28" s="26"/>
      <c r="AO28" s="26"/>
      <c r="AP28" s="26"/>
      <c r="AQ28" s="26"/>
      <c r="AR28" s="26"/>
      <c r="AS28" s="28">
        <f t="shared" si="166"/>
        <v>0</v>
      </c>
      <c r="AU28" s="26"/>
      <c r="AV28" s="26"/>
      <c r="AW28" s="26"/>
      <c r="AX28" s="26"/>
      <c r="AY28" s="26"/>
      <c r="AZ28" s="26"/>
      <c r="BA28" s="26"/>
      <c r="BB28" s="26"/>
      <c r="BC28" s="26"/>
      <c r="BD28" s="26"/>
      <c r="BE28" s="26"/>
      <c r="BF28" s="26"/>
      <c r="BG28" s="28">
        <f t="shared" si="167"/>
        <v>0</v>
      </c>
      <c r="BI28" s="26"/>
      <c r="BJ28" s="26"/>
      <c r="BK28" s="26"/>
      <c r="BL28" s="26"/>
      <c r="BM28" s="26"/>
      <c r="BN28" s="26"/>
      <c r="BO28" s="26"/>
      <c r="BP28" s="26"/>
      <c r="BQ28" s="26"/>
      <c r="BR28" s="26"/>
      <c r="BS28" s="26"/>
      <c r="BT28" s="26"/>
      <c r="BU28" s="28">
        <f t="shared" si="168"/>
        <v>0</v>
      </c>
      <c r="BW28" s="26"/>
      <c r="BX28" s="26"/>
      <c r="BY28" s="26"/>
      <c r="BZ28" s="26"/>
      <c r="CA28" s="26"/>
      <c r="CB28" s="26"/>
      <c r="CC28" s="26"/>
      <c r="CD28" s="26"/>
      <c r="CE28" s="26"/>
      <c r="CF28" s="26"/>
      <c r="CG28" s="26"/>
      <c r="CH28" s="26"/>
      <c r="CI28" s="28">
        <f t="shared" si="169"/>
        <v>0</v>
      </c>
    </row>
    <row r="29" spans="3:87" x14ac:dyDescent="0.3">
      <c r="C29" s="25" t="s">
        <v>24</v>
      </c>
      <c r="E29" s="26">
        <v>0</v>
      </c>
      <c r="F29" s="26">
        <v>0</v>
      </c>
      <c r="G29" s="26">
        <v>150</v>
      </c>
      <c r="H29" s="26">
        <v>0</v>
      </c>
      <c r="I29" s="26">
        <v>0</v>
      </c>
      <c r="J29" s="26">
        <v>150</v>
      </c>
      <c r="K29" s="26">
        <v>0</v>
      </c>
      <c r="L29" s="26">
        <v>0</v>
      </c>
      <c r="M29" s="26">
        <v>150</v>
      </c>
      <c r="N29" s="26">
        <v>0</v>
      </c>
      <c r="O29" s="26">
        <v>0</v>
      </c>
      <c r="P29" s="26">
        <v>150</v>
      </c>
      <c r="Q29" s="28">
        <f t="shared" si="170"/>
        <v>600</v>
      </c>
      <c r="S29" s="26"/>
      <c r="T29" s="26"/>
      <c r="U29" s="26"/>
      <c r="V29" s="26"/>
      <c r="W29" s="26"/>
      <c r="X29" s="26"/>
      <c r="Y29" s="26"/>
      <c r="Z29" s="26"/>
      <c r="AA29" s="26"/>
      <c r="AB29" s="26"/>
      <c r="AC29" s="26"/>
      <c r="AD29" s="26"/>
      <c r="AE29" s="28">
        <f t="shared" si="171"/>
        <v>0</v>
      </c>
      <c r="AG29" s="26"/>
      <c r="AH29" s="26"/>
      <c r="AI29" s="26"/>
      <c r="AJ29" s="26"/>
      <c r="AK29" s="26"/>
      <c r="AL29" s="26"/>
      <c r="AM29" s="26"/>
      <c r="AN29" s="26"/>
      <c r="AO29" s="26"/>
      <c r="AP29" s="26"/>
      <c r="AQ29" s="26"/>
      <c r="AR29" s="26"/>
      <c r="AS29" s="28">
        <f t="shared" si="166"/>
        <v>0</v>
      </c>
      <c r="AU29" s="26"/>
      <c r="AV29" s="26"/>
      <c r="AW29" s="26"/>
      <c r="AX29" s="26"/>
      <c r="AY29" s="26"/>
      <c r="AZ29" s="26"/>
      <c r="BA29" s="26"/>
      <c r="BB29" s="26"/>
      <c r="BC29" s="26"/>
      <c r="BD29" s="26"/>
      <c r="BE29" s="26"/>
      <c r="BF29" s="26"/>
      <c r="BG29" s="28">
        <f t="shared" si="167"/>
        <v>0</v>
      </c>
      <c r="BI29" s="26"/>
      <c r="BJ29" s="26"/>
      <c r="BK29" s="26"/>
      <c r="BL29" s="26"/>
      <c r="BM29" s="26"/>
      <c r="BN29" s="26"/>
      <c r="BO29" s="26"/>
      <c r="BP29" s="26"/>
      <c r="BQ29" s="26"/>
      <c r="BR29" s="26"/>
      <c r="BS29" s="26"/>
      <c r="BT29" s="26"/>
      <c r="BU29" s="28">
        <f t="shared" si="168"/>
        <v>0</v>
      </c>
      <c r="BW29" s="26"/>
      <c r="BX29" s="26"/>
      <c r="BY29" s="26"/>
      <c r="BZ29" s="26"/>
      <c r="CA29" s="26"/>
      <c r="CB29" s="26"/>
      <c r="CC29" s="26"/>
      <c r="CD29" s="26"/>
      <c r="CE29" s="26"/>
      <c r="CF29" s="26"/>
      <c r="CG29" s="26"/>
      <c r="CH29" s="26"/>
      <c r="CI29" s="28">
        <f t="shared" si="169"/>
        <v>0</v>
      </c>
    </row>
    <row r="30" spans="3:87" x14ac:dyDescent="0.3">
      <c r="C30" s="25" t="s">
        <v>25</v>
      </c>
      <c r="E30" s="26">
        <v>200</v>
      </c>
      <c r="F30" s="26">
        <v>200</v>
      </c>
      <c r="G30" s="26">
        <v>200</v>
      </c>
      <c r="H30" s="26">
        <v>200</v>
      </c>
      <c r="I30" s="26">
        <v>200</v>
      </c>
      <c r="J30" s="26">
        <v>200</v>
      </c>
      <c r="K30" s="26">
        <v>200</v>
      </c>
      <c r="L30" s="26">
        <v>200</v>
      </c>
      <c r="M30" s="26">
        <v>200</v>
      </c>
      <c r="N30" s="26">
        <v>200</v>
      </c>
      <c r="O30" s="26">
        <v>200</v>
      </c>
      <c r="P30" s="26">
        <v>200</v>
      </c>
      <c r="Q30" s="28">
        <f t="shared" si="170"/>
        <v>2400</v>
      </c>
      <c r="S30" s="26"/>
      <c r="T30" s="26"/>
      <c r="U30" s="26"/>
      <c r="V30" s="26"/>
      <c r="W30" s="26"/>
      <c r="X30" s="26"/>
      <c r="Y30" s="26"/>
      <c r="Z30" s="26"/>
      <c r="AA30" s="26"/>
      <c r="AB30" s="26"/>
      <c r="AC30" s="26"/>
      <c r="AD30" s="26"/>
      <c r="AE30" s="28">
        <f t="shared" si="171"/>
        <v>0</v>
      </c>
      <c r="AG30" s="26"/>
      <c r="AH30" s="26"/>
      <c r="AI30" s="26"/>
      <c r="AJ30" s="26"/>
      <c r="AK30" s="26"/>
      <c r="AL30" s="26"/>
      <c r="AM30" s="26"/>
      <c r="AN30" s="26"/>
      <c r="AO30" s="26"/>
      <c r="AP30" s="26"/>
      <c r="AQ30" s="26"/>
      <c r="AR30" s="26"/>
      <c r="AS30" s="28">
        <f t="shared" si="166"/>
        <v>0</v>
      </c>
      <c r="AU30" s="26"/>
      <c r="AV30" s="26"/>
      <c r="AW30" s="26"/>
      <c r="AX30" s="26"/>
      <c r="AY30" s="26"/>
      <c r="AZ30" s="26"/>
      <c r="BA30" s="26"/>
      <c r="BB30" s="26"/>
      <c r="BC30" s="26"/>
      <c r="BD30" s="26"/>
      <c r="BE30" s="26"/>
      <c r="BF30" s="26"/>
      <c r="BG30" s="28">
        <f t="shared" si="167"/>
        <v>0</v>
      </c>
      <c r="BI30" s="26"/>
      <c r="BJ30" s="26"/>
      <c r="BK30" s="26"/>
      <c r="BL30" s="26"/>
      <c r="BM30" s="26"/>
      <c r="BN30" s="26"/>
      <c r="BO30" s="26"/>
      <c r="BP30" s="26"/>
      <c r="BQ30" s="26"/>
      <c r="BR30" s="26"/>
      <c r="BS30" s="26"/>
      <c r="BT30" s="26"/>
      <c r="BU30" s="28">
        <f t="shared" si="168"/>
        <v>0</v>
      </c>
      <c r="BW30" s="26"/>
      <c r="BX30" s="26"/>
      <c r="BY30" s="26"/>
      <c r="BZ30" s="26"/>
      <c r="CA30" s="26"/>
      <c r="CB30" s="26"/>
      <c r="CC30" s="26"/>
      <c r="CD30" s="26"/>
      <c r="CE30" s="26"/>
      <c r="CF30" s="26"/>
      <c r="CG30" s="26"/>
      <c r="CH30" s="26"/>
      <c r="CI30" s="28">
        <f t="shared" si="169"/>
        <v>0</v>
      </c>
    </row>
    <row r="31" spans="3:87" x14ac:dyDescent="0.3">
      <c r="C31" s="25" t="s">
        <v>26</v>
      </c>
      <c r="E31" s="26">
        <v>200</v>
      </c>
      <c r="F31" s="26">
        <v>200</v>
      </c>
      <c r="G31" s="26">
        <v>200</v>
      </c>
      <c r="H31" s="26">
        <v>200</v>
      </c>
      <c r="I31" s="26">
        <v>200</v>
      </c>
      <c r="J31" s="26">
        <v>200</v>
      </c>
      <c r="K31" s="26">
        <v>200</v>
      </c>
      <c r="L31" s="26">
        <v>200</v>
      </c>
      <c r="M31" s="26">
        <v>200</v>
      </c>
      <c r="N31" s="26">
        <v>200</v>
      </c>
      <c r="O31" s="26">
        <v>200</v>
      </c>
      <c r="P31" s="26">
        <v>200</v>
      </c>
      <c r="Q31" s="28">
        <f t="shared" si="170"/>
        <v>2400</v>
      </c>
      <c r="S31" s="26"/>
      <c r="T31" s="26"/>
      <c r="U31" s="26"/>
      <c r="V31" s="26"/>
      <c r="W31" s="26"/>
      <c r="X31" s="26"/>
      <c r="Y31" s="26"/>
      <c r="Z31" s="26"/>
      <c r="AA31" s="26"/>
      <c r="AB31" s="26"/>
      <c r="AC31" s="26"/>
      <c r="AD31" s="26"/>
      <c r="AE31" s="28">
        <f t="shared" si="171"/>
        <v>0</v>
      </c>
      <c r="AG31" s="26"/>
      <c r="AH31" s="26"/>
      <c r="AI31" s="26"/>
      <c r="AJ31" s="26"/>
      <c r="AK31" s="26"/>
      <c r="AL31" s="26"/>
      <c r="AM31" s="26"/>
      <c r="AN31" s="26"/>
      <c r="AO31" s="26"/>
      <c r="AP31" s="26"/>
      <c r="AQ31" s="26"/>
      <c r="AR31" s="26"/>
      <c r="AS31" s="28">
        <f t="shared" si="166"/>
        <v>0</v>
      </c>
      <c r="AU31" s="26"/>
      <c r="AV31" s="26"/>
      <c r="AW31" s="26"/>
      <c r="AX31" s="26"/>
      <c r="AY31" s="26"/>
      <c r="AZ31" s="26"/>
      <c r="BA31" s="26"/>
      <c r="BB31" s="26"/>
      <c r="BC31" s="26"/>
      <c r="BD31" s="26"/>
      <c r="BE31" s="26"/>
      <c r="BF31" s="26"/>
      <c r="BG31" s="28">
        <f t="shared" si="167"/>
        <v>0</v>
      </c>
      <c r="BI31" s="26"/>
      <c r="BJ31" s="26"/>
      <c r="BK31" s="26"/>
      <c r="BL31" s="26"/>
      <c r="BM31" s="26"/>
      <c r="BN31" s="26"/>
      <c r="BO31" s="26"/>
      <c r="BP31" s="26"/>
      <c r="BQ31" s="26"/>
      <c r="BR31" s="26"/>
      <c r="BS31" s="26"/>
      <c r="BT31" s="26"/>
      <c r="BU31" s="28">
        <f t="shared" si="168"/>
        <v>0</v>
      </c>
      <c r="BW31" s="26"/>
      <c r="BX31" s="26"/>
      <c r="BY31" s="26"/>
      <c r="BZ31" s="26"/>
      <c r="CA31" s="26"/>
      <c r="CB31" s="26"/>
      <c r="CC31" s="26"/>
      <c r="CD31" s="26"/>
      <c r="CE31" s="26"/>
      <c r="CF31" s="26"/>
      <c r="CG31" s="26"/>
      <c r="CH31" s="26"/>
      <c r="CI31" s="28">
        <f t="shared" si="169"/>
        <v>0</v>
      </c>
    </row>
    <row r="32" spans="3:87" x14ac:dyDescent="0.3">
      <c r="C32" s="25" t="s">
        <v>27</v>
      </c>
      <c r="E32" s="26">
        <v>50</v>
      </c>
      <c r="F32" s="26">
        <v>50</v>
      </c>
      <c r="G32" s="26">
        <v>50</v>
      </c>
      <c r="H32" s="26">
        <v>50</v>
      </c>
      <c r="I32" s="26">
        <v>50</v>
      </c>
      <c r="J32" s="26">
        <v>50</v>
      </c>
      <c r="K32" s="26">
        <v>50</v>
      </c>
      <c r="L32" s="26">
        <v>50</v>
      </c>
      <c r="M32" s="26">
        <v>50</v>
      </c>
      <c r="N32" s="26">
        <v>50</v>
      </c>
      <c r="O32" s="26">
        <v>50</v>
      </c>
      <c r="P32" s="26">
        <v>50</v>
      </c>
      <c r="Q32" s="28">
        <f t="shared" si="170"/>
        <v>600</v>
      </c>
      <c r="S32" s="26"/>
      <c r="T32" s="26"/>
      <c r="U32" s="26"/>
      <c r="V32" s="26"/>
      <c r="W32" s="26"/>
      <c r="X32" s="26"/>
      <c r="Y32" s="26"/>
      <c r="Z32" s="26"/>
      <c r="AA32" s="26"/>
      <c r="AB32" s="26"/>
      <c r="AC32" s="26"/>
      <c r="AD32" s="26"/>
      <c r="AE32" s="28">
        <f t="shared" si="171"/>
        <v>0</v>
      </c>
      <c r="AG32" s="26"/>
      <c r="AH32" s="26"/>
      <c r="AI32" s="26"/>
      <c r="AJ32" s="26"/>
      <c r="AK32" s="26"/>
      <c r="AL32" s="26"/>
      <c r="AM32" s="26"/>
      <c r="AN32" s="26"/>
      <c r="AO32" s="26"/>
      <c r="AP32" s="26"/>
      <c r="AQ32" s="26"/>
      <c r="AR32" s="26"/>
      <c r="AS32" s="28">
        <f t="shared" si="166"/>
        <v>0</v>
      </c>
      <c r="AU32" s="26"/>
      <c r="AV32" s="26"/>
      <c r="AW32" s="26"/>
      <c r="AX32" s="26"/>
      <c r="AY32" s="26"/>
      <c r="AZ32" s="26"/>
      <c r="BA32" s="26"/>
      <c r="BB32" s="26"/>
      <c r="BC32" s="26"/>
      <c r="BD32" s="26"/>
      <c r="BE32" s="26"/>
      <c r="BF32" s="26"/>
      <c r="BG32" s="28">
        <f t="shared" si="167"/>
        <v>0</v>
      </c>
      <c r="BI32" s="26"/>
      <c r="BJ32" s="26"/>
      <c r="BK32" s="26"/>
      <c r="BL32" s="26"/>
      <c r="BM32" s="26"/>
      <c r="BN32" s="26"/>
      <c r="BO32" s="26"/>
      <c r="BP32" s="26"/>
      <c r="BQ32" s="26"/>
      <c r="BR32" s="26"/>
      <c r="BS32" s="26"/>
      <c r="BT32" s="26"/>
      <c r="BU32" s="28">
        <f t="shared" si="168"/>
        <v>0</v>
      </c>
      <c r="BW32" s="26"/>
      <c r="BX32" s="26"/>
      <c r="BY32" s="26"/>
      <c r="BZ32" s="26"/>
      <c r="CA32" s="26"/>
      <c r="CB32" s="26"/>
      <c r="CC32" s="26"/>
      <c r="CD32" s="26"/>
      <c r="CE32" s="26"/>
      <c r="CF32" s="26"/>
      <c r="CG32" s="26"/>
      <c r="CH32" s="26"/>
      <c r="CI32" s="28">
        <f t="shared" si="169"/>
        <v>0</v>
      </c>
    </row>
    <row r="33" spans="3:87" x14ac:dyDescent="0.3">
      <c r="C33" s="25" t="s">
        <v>28</v>
      </c>
      <c r="E33" s="26">
        <v>300</v>
      </c>
      <c r="F33" s="26">
        <v>300</v>
      </c>
      <c r="G33" s="26">
        <v>300</v>
      </c>
      <c r="H33" s="26">
        <v>1200</v>
      </c>
      <c r="I33" s="26">
        <v>300</v>
      </c>
      <c r="J33" s="26">
        <v>300</v>
      </c>
      <c r="K33" s="26">
        <v>300</v>
      </c>
      <c r="L33" s="26">
        <v>1500</v>
      </c>
      <c r="M33" s="26">
        <v>300</v>
      </c>
      <c r="N33" s="26">
        <v>300</v>
      </c>
      <c r="O33" s="26">
        <v>300</v>
      </c>
      <c r="P33" s="26">
        <v>600</v>
      </c>
      <c r="Q33" s="28">
        <f t="shared" ref="Q33:Q35" si="172">SUM(E33:P33)</f>
        <v>6000</v>
      </c>
      <c r="S33" s="26"/>
      <c r="T33" s="26"/>
      <c r="U33" s="26"/>
      <c r="V33" s="26"/>
      <c r="W33" s="26"/>
      <c r="X33" s="26"/>
      <c r="Y33" s="26"/>
      <c r="Z33" s="26"/>
      <c r="AA33" s="26"/>
      <c r="AB33" s="26"/>
      <c r="AC33" s="26"/>
      <c r="AD33" s="26"/>
      <c r="AE33" s="28">
        <f t="shared" ref="AE33:AE35" si="173">SUM(S33:AD33)</f>
        <v>0</v>
      </c>
      <c r="AG33" s="26"/>
      <c r="AH33" s="26"/>
      <c r="AI33" s="26"/>
      <c r="AJ33" s="26"/>
      <c r="AK33" s="26"/>
      <c r="AL33" s="26"/>
      <c r="AM33" s="26"/>
      <c r="AN33" s="26"/>
      <c r="AO33" s="26"/>
      <c r="AP33" s="26"/>
      <c r="AQ33" s="26"/>
      <c r="AR33" s="26"/>
      <c r="AS33" s="28">
        <f t="shared" ref="AS33:AS35" si="174">SUM(AG33:AR33)</f>
        <v>0</v>
      </c>
      <c r="AU33" s="26"/>
      <c r="AV33" s="26"/>
      <c r="AW33" s="26"/>
      <c r="AX33" s="26"/>
      <c r="AY33" s="26"/>
      <c r="AZ33" s="26"/>
      <c r="BA33" s="26"/>
      <c r="BB33" s="26"/>
      <c r="BC33" s="26"/>
      <c r="BD33" s="26"/>
      <c r="BE33" s="26"/>
      <c r="BF33" s="26"/>
      <c r="BG33" s="28">
        <f t="shared" ref="BG33:BG35" si="175">SUM(AU33:BF33)</f>
        <v>0</v>
      </c>
      <c r="BI33" s="26"/>
      <c r="BJ33" s="26"/>
      <c r="BK33" s="26"/>
      <c r="BL33" s="26"/>
      <c r="BM33" s="26"/>
      <c r="BN33" s="26"/>
      <c r="BO33" s="26"/>
      <c r="BP33" s="26"/>
      <c r="BQ33" s="26"/>
      <c r="BR33" s="26"/>
      <c r="BS33" s="26"/>
      <c r="BT33" s="26"/>
      <c r="BU33" s="28">
        <f t="shared" ref="BU33:BU35" si="176">SUM(BI33:BT33)</f>
        <v>0</v>
      </c>
      <c r="BW33" s="26"/>
      <c r="BX33" s="26"/>
      <c r="BY33" s="26"/>
      <c r="BZ33" s="26"/>
      <c r="CA33" s="26"/>
      <c r="CB33" s="26"/>
      <c r="CC33" s="26"/>
      <c r="CD33" s="26"/>
      <c r="CE33" s="26"/>
      <c r="CF33" s="26"/>
      <c r="CG33" s="26"/>
      <c r="CH33" s="26"/>
      <c r="CI33" s="28">
        <f t="shared" ref="CI33:CI35" si="177">SUM(BW33:CH33)</f>
        <v>0</v>
      </c>
    </row>
    <row r="34" spans="3:87" hidden="1" x14ac:dyDescent="0.3">
      <c r="C34" s="25" t="s">
        <v>16</v>
      </c>
      <c r="E34" s="26"/>
      <c r="F34" s="26"/>
      <c r="G34" s="26"/>
      <c r="H34" s="26"/>
      <c r="I34" s="26"/>
      <c r="J34" s="26"/>
      <c r="K34" s="26"/>
      <c r="L34" s="26"/>
      <c r="M34" s="26"/>
      <c r="N34" s="26"/>
      <c r="O34" s="26"/>
      <c r="P34" s="26"/>
      <c r="Q34" s="28">
        <f t="shared" si="172"/>
        <v>0</v>
      </c>
      <c r="S34" s="26"/>
      <c r="T34" s="26"/>
      <c r="U34" s="26"/>
      <c r="V34" s="26"/>
      <c r="W34" s="26"/>
      <c r="X34" s="26"/>
      <c r="Y34" s="26"/>
      <c r="Z34" s="26"/>
      <c r="AA34" s="26"/>
      <c r="AB34" s="26"/>
      <c r="AC34" s="26"/>
      <c r="AD34" s="26"/>
      <c r="AE34" s="28">
        <f t="shared" si="173"/>
        <v>0</v>
      </c>
      <c r="AG34" s="26"/>
      <c r="AH34" s="26"/>
      <c r="AI34" s="26"/>
      <c r="AJ34" s="26"/>
      <c r="AK34" s="26"/>
      <c r="AL34" s="26"/>
      <c r="AM34" s="26"/>
      <c r="AN34" s="26"/>
      <c r="AO34" s="26"/>
      <c r="AP34" s="26"/>
      <c r="AQ34" s="26"/>
      <c r="AR34" s="26"/>
      <c r="AS34" s="28">
        <f t="shared" si="174"/>
        <v>0</v>
      </c>
      <c r="AU34" s="26"/>
      <c r="AV34" s="26"/>
      <c r="AW34" s="26"/>
      <c r="AX34" s="26"/>
      <c r="AY34" s="26"/>
      <c r="AZ34" s="26"/>
      <c r="BA34" s="26"/>
      <c r="BB34" s="26"/>
      <c r="BC34" s="26"/>
      <c r="BD34" s="26"/>
      <c r="BE34" s="26"/>
      <c r="BF34" s="26"/>
      <c r="BG34" s="28">
        <f t="shared" si="175"/>
        <v>0</v>
      </c>
      <c r="BI34" s="26"/>
      <c r="BJ34" s="26"/>
      <c r="BK34" s="26"/>
      <c r="BL34" s="26"/>
      <c r="BM34" s="26"/>
      <c r="BN34" s="26"/>
      <c r="BO34" s="26"/>
      <c r="BP34" s="26"/>
      <c r="BQ34" s="26"/>
      <c r="BR34" s="26"/>
      <c r="BS34" s="26"/>
      <c r="BT34" s="26"/>
      <c r="BU34" s="28">
        <f t="shared" si="176"/>
        <v>0</v>
      </c>
      <c r="BW34" s="26"/>
      <c r="BX34" s="26"/>
      <c r="BY34" s="26"/>
      <c r="BZ34" s="26"/>
      <c r="CA34" s="26"/>
      <c r="CB34" s="26"/>
      <c r="CC34" s="26"/>
      <c r="CD34" s="26"/>
      <c r="CE34" s="26"/>
      <c r="CF34" s="26"/>
      <c r="CG34" s="26"/>
      <c r="CH34" s="26"/>
      <c r="CI34" s="28">
        <f t="shared" si="177"/>
        <v>0</v>
      </c>
    </row>
    <row r="35" spans="3:87" hidden="1" x14ac:dyDescent="0.3">
      <c r="C35" s="25" t="s">
        <v>16</v>
      </c>
      <c r="E35" s="26"/>
      <c r="F35" s="26"/>
      <c r="G35" s="26"/>
      <c r="H35" s="26"/>
      <c r="I35" s="26"/>
      <c r="J35" s="26"/>
      <c r="K35" s="26"/>
      <c r="L35" s="26"/>
      <c r="M35" s="26"/>
      <c r="N35" s="26"/>
      <c r="O35" s="26"/>
      <c r="P35" s="26"/>
      <c r="Q35" s="28">
        <f t="shared" si="172"/>
        <v>0</v>
      </c>
      <c r="S35" s="26"/>
      <c r="T35" s="26"/>
      <c r="U35" s="26"/>
      <c r="V35" s="26"/>
      <c r="W35" s="26"/>
      <c r="X35" s="26"/>
      <c r="Y35" s="26"/>
      <c r="Z35" s="26"/>
      <c r="AA35" s="26"/>
      <c r="AB35" s="26"/>
      <c r="AC35" s="26"/>
      <c r="AD35" s="26"/>
      <c r="AE35" s="28">
        <f t="shared" si="173"/>
        <v>0</v>
      </c>
      <c r="AG35" s="26"/>
      <c r="AH35" s="26"/>
      <c r="AI35" s="26"/>
      <c r="AJ35" s="26"/>
      <c r="AK35" s="26"/>
      <c r="AL35" s="26"/>
      <c r="AM35" s="26"/>
      <c r="AN35" s="26"/>
      <c r="AO35" s="26"/>
      <c r="AP35" s="26"/>
      <c r="AQ35" s="26"/>
      <c r="AR35" s="26"/>
      <c r="AS35" s="28">
        <f t="shared" si="174"/>
        <v>0</v>
      </c>
      <c r="AU35" s="26"/>
      <c r="AV35" s="26"/>
      <c r="AW35" s="26"/>
      <c r="AX35" s="26"/>
      <c r="AY35" s="26"/>
      <c r="AZ35" s="26"/>
      <c r="BA35" s="26"/>
      <c r="BB35" s="26"/>
      <c r="BC35" s="26"/>
      <c r="BD35" s="26"/>
      <c r="BE35" s="26"/>
      <c r="BF35" s="26"/>
      <c r="BG35" s="28">
        <f t="shared" si="175"/>
        <v>0</v>
      </c>
      <c r="BI35" s="26"/>
      <c r="BJ35" s="26"/>
      <c r="BK35" s="26"/>
      <c r="BL35" s="26"/>
      <c r="BM35" s="26"/>
      <c r="BN35" s="26"/>
      <c r="BO35" s="26"/>
      <c r="BP35" s="26"/>
      <c r="BQ35" s="26"/>
      <c r="BR35" s="26"/>
      <c r="BS35" s="26"/>
      <c r="BT35" s="26"/>
      <c r="BU35" s="28">
        <f t="shared" si="176"/>
        <v>0</v>
      </c>
      <c r="BW35" s="26"/>
      <c r="BX35" s="26"/>
      <c r="BY35" s="26"/>
      <c r="BZ35" s="26"/>
      <c r="CA35" s="26"/>
      <c r="CB35" s="26"/>
      <c r="CC35" s="26"/>
      <c r="CD35" s="26"/>
      <c r="CE35" s="26"/>
      <c r="CF35" s="26"/>
      <c r="CG35" s="26"/>
      <c r="CH35" s="26"/>
      <c r="CI35" s="28">
        <f t="shared" si="177"/>
        <v>0</v>
      </c>
    </row>
    <row r="36" spans="3:87" hidden="1" x14ac:dyDescent="0.3">
      <c r="C36" s="25" t="s">
        <v>16</v>
      </c>
      <c r="E36" s="26"/>
      <c r="F36" s="26"/>
      <c r="G36" s="26"/>
      <c r="H36" s="26"/>
      <c r="I36" s="26"/>
      <c r="J36" s="26"/>
      <c r="K36" s="26"/>
      <c r="L36" s="26"/>
      <c r="M36" s="26"/>
      <c r="N36" s="26"/>
      <c r="O36" s="26"/>
      <c r="P36" s="26"/>
      <c r="Q36" s="28">
        <f t="shared" ref="Q36:Q38" si="178">SUM(E36:P36)</f>
        <v>0</v>
      </c>
      <c r="S36" s="26"/>
      <c r="T36" s="26"/>
      <c r="U36" s="26"/>
      <c r="V36" s="26"/>
      <c r="W36" s="26"/>
      <c r="X36" s="26"/>
      <c r="Y36" s="26"/>
      <c r="Z36" s="26"/>
      <c r="AA36" s="26"/>
      <c r="AB36" s="26"/>
      <c r="AC36" s="26"/>
      <c r="AD36" s="26"/>
      <c r="AE36" s="28">
        <f t="shared" ref="AE36:AE38" si="179">SUM(S36:AD36)</f>
        <v>0</v>
      </c>
      <c r="AG36" s="26"/>
      <c r="AH36" s="26"/>
      <c r="AI36" s="26"/>
      <c r="AJ36" s="26"/>
      <c r="AK36" s="26"/>
      <c r="AL36" s="26"/>
      <c r="AM36" s="26"/>
      <c r="AN36" s="26"/>
      <c r="AO36" s="26"/>
      <c r="AP36" s="26"/>
      <c r="AQ36" s="26"/>
      <c r="AR36" s="26"/>
      <c r="AS36" s="28">
        <f t="shared" ref="AS36:AS38" si="180">SUM(AG36:AR36)</f>
        <v>0</v>
      </c>
      <c r="AU36" s="26"/>
      <c r="AV36" s="26"/>
      <c r="AW36" s="26"/>
      <c r="AX36" s="26"/>
      <c r="AY36" s="26"/>
      <c r="AZ36" s="26"/>
      <c r="BA36" s="26"/>
      <c r="BB36" s="26"/>
      <c r="BC36" s="26"/>
      <c r="BD36" s="26"/>
      <c r="BE36" s="26"/>
      <c r="BF36" s="26"/>
      <c r="BG36" s="28">
        <f t="shared" ref="BG36:BG38" si="181">SUM(AU36:BF36)</f>
        <v>0</v>
      </c>
      <c r="BI36" s="26"/>
      <c r="BJ36" s="26"/>
      <c r="BK36" s="26"/>
      <c r="BL36" s="26"/>
      <c r="BM36" s="26"/>
      <c r="BN36" s="26"/>
      <c r="BO36" s="26"/>
      <c r="BP36" s="26"/>
      <c r="BQ36" s="26"/>
      <c r="BR36" s="26"/>
      <c r="BS36" s="26"/>
      <c r="BT36" s="26"/>
      <c r="BU36" s="28">
        <f t="shared" ref="BU36:BU38" si="182">SUM(BI36:BT36)</f>
        <v>0</v>
      </c>
      <c r="BW36" s="26"/>
      <c r="BX36" s="26"/>
      <c r="BY36" s="26"/>
      <c r="BZ36" s="26"/>
      <c r="CA36" s="26"/>
      <c r="CB36" s="26"/>
      <c r="CC36" s="26"/>
      <c r="CD36" s="26"/>
      <c r="CE36" s="26"/>
      <c r="CF36" s="26"/>
      <c r="CG36" s="26"/>
      <c r="CH36" s="26"/>
      <c r="CI36" s="28">
        <f t="shared" ref="CI36:CI38" si="183">SUM(BW36:CH36)</f>
        <v>0</v>
      </c>
    </row>
    <row r="37" spans="3:87" hidden="1" x14ac:dyDescent="0.3">
      <c r="C37" s="25" t="s">
        <v>16</v>
      </c>
      <c r="E37" s="26"/>
      <c r="F37" s="26"/>
      <c r="G37" s="26"/>
      <c r="H37" s="26"/>
      <c r="I37" s="26"/>
      <c r="J37" s="26"/>
      <c r="K37" s="26"/>
      <c r="L37" s="26"/>
      <c r="M37" s="26"/>
      <c r="N37" s="26"/>
      <c r="O37" s="26"/>
      <c r="P37" s="26"/>
      <c r="Q37" s="28">
        <f t="shared" si="178"/>
        <v>0</v>
      </c>
      <c r="S37" s="26"/>
      <c r="T37" s="26"/>
      <c r="U37" s="26"/>
      <c r="V37" s="26"/>
      <c r="W37" s="26"/>
      <c r="X37" s="26"/>
      <c r="Y37" s="26"/>
      <c r="Z37" s="26"/>
      <c r="AA37" s="26"/>
      <c r="AB37" s="26"/>
      <c r="AC37" s="26"/>
      <c r="AD37" s="26"/>
      <c r="AE37" s="28">
        <f t="shared" si="179"/>
        <v>0</v>
      </c>
      <c r="AG37" s="26"/>
      <c r="AH37" s="26"/>
      <c r="AI37" s="26"/>
      <c r="AJ37" s="26"/>
      <c r="AK37" s="26"/>
      <c r="AL37" s="26"/>
      <c r="AM37" s="26"/>
      <c r="AN37" s="26"/>
      <c r="AO37" s="26"/>
      <c r="AP37" s="26"/>
      <c r="AQ37" s="26"/>
      <c r="AR37" s="26"/>
      <c r="AS37" s="28">
        <f t="shared" si="180"/>
        <v>0</v>
      </c>
      <c r="AU37" s="26"/>
      <c r="AV37" s="26"/>
      <c r="AW37" s="26"/>
      <c r="AX37" s="26"/>
      <c r="AY37" s="26"/>
      <c r="AZ37" s="26"/>
      <c r="BA37" s="26"/>
      <c r="BB37" s="26"/>
      <c r="BC37" s="26"/>
      <c r="BD37" s="26"/>
      <c r="BE37" s="26"/>
      <c r="BF37" s="26"/>
      <c r="BG37" s="28">
        <f t="shared" si="181"/>
        <v>0</v>
      </c>
      <c r="BI37" s="26"/>
      <c r="BJ37" s="26"/>
      <c r="BK37" s="26"/>
      <c r="BL37" s="26"/>
      <c r="BM37" s="26"/>
      <c r="BN37" s="26"/>
      <c r="BO37" s="26"/>
      <c r="BP37" s="26"/>
      <c r="BQ37" s="26"/>
      <c r="BR37" s="26"/>
      <c r="BS37" s="26"/>
      <c r="BT37" s="26"/>
      <c r="BU37" s="28">
        <f t="shared" si="182"/>
        <v>0</v>
      </c>
      <c r="BW37" s="26"/>
      <c r="BX37" s="26"/>
      <c r="BY37" s="26"/>
      <c r="BZ37" s="26"/>
      <c r="CA37" s="26"/>
      <c r="CB37" s="26"/>
      <c r="CC37" s="26"/>
      <c r="CD37" s="26"/>
      <c r="CE37" s="26"/>
      <c r="CF37" s="26"/>
      <c r="CG37" s="26"/>
      <c r="CH37" s="26"/>
      <c r="CI37" s="28">
        <f t="shared" si="183"/>
        <v>0</v>
      </c>
    </row>
    <row r="38" spans="3:87" hidden="1" x14ac:dyDescent="0.3">
      <c r="C38" s="25" t="s">
        <v>16</v>
      </c>
      <c r="E38" s="26"/>
      <c r="F38" s="26"/>
      <c r="G38" s="26"/>
      <c r="H38" s="26"/>
      <c r="I38" s="26"/>
      <c r="J38" s="26"/>
      <c r="K38" s="26"/>
      <c r="L38" s="26"/>
      <c r="M38" s="26"/>
      <c r="N38" s="26"/>
      <c r="O38" s="26"/>
      <c r="P38" s="26"/>
      <c r="Q38" s="28">
        <f t="shared" si="178"/>
        <v>0</v>
      </c>
      <c r="S38" s="26"/>
      <c r="T38" s="26"/>
      <c r="U38" s="26"/>
      <c r="V38" s="26"/>
      <c r="W38" s="26"/>
      <c r="X38" s="26"/>
      <c r="Y38" s="26"/>
      <c r="Z38" s="26"/>
      <c r="AA38" s="26"/>
      <c r="AB38" s="26"/>
      <c r="AC38" s="26"/>
      <c r="AD38" s="26"/>
      <c r="AE38" s="28">
        <f t="shared" si="179"/>
        <v>0</v>
      </c>
      <c r="AG38" s="26"/>
      <c r="AH38" s="26"/>
      <c r="AI38" s="26"/>
      <c r="AJ38" s="26"/>
      <c r="AK38" s="26"/>
      <c r="AL38" s="26"/>
      <c r="AM38" s="26"/>
      <c r="AN38" s="26"/>
      <c r="AO38" s="26"/>
      <c r="AP38" s="26"/>
      <c r="AQ38" s="26"/>
      <c r="AR38" s="26"/>
      <c r="AS38" s="28">
        <f t="shared" si="180"/>
        <v>0</v>
      </c>
      <c r="AU38" s="26"/>
      <c r="AV38" s="26"/>
      <c r="AW38" s="26"/>
      <c r="AX38" s="26"/>
      <c r="AY38" s="26"/>
      <c r="AZ38" s="26"/>
      <c r="BA38" s="26"/>
      <c r="BB38" s="26"/>
      <c r="BC38" s="26"/>
      <c r="BD38" s="26"/>
      <c r="BE38" s="26"/>
      <c r="BF38" s="26"/>
      <c r="BG38" s="28">
        <f t="shared" si="181"/>
        <v>0</v>
      </c>
      <c r="BI38" s="26"/>
      <c r="BJ38" s="26"/>
      <c r="BK38" s="26"/>
      <c r="BL38" s="26"/>
      <c r="BM38" s="26"/>
      <c r="BN38" s="26"/>
      <c r="BO38" s="26"/>
      <c r="BP38" s="26"/>
      <c r="BQ38" s="26"/>
      <c r="BR38" s="26"/>
      <c r="BS38" s="26"/>
      <c r="BT38" s="26"/>
      <c r="BU38" s="28">
        <f t="shared" si="182"/>
        <v>0</v>
      </c>
      <c r="BW38" s="26"/>
      <c r="BX38" s="26"/>
      <c r="BY38" s="26"/>
      <c r="BZ38" s="26"/>
      <c r="CA38" s="26"/>
      <c r="CB38" s="26"/>
      <c r="CC38" s="26"/>
      <c r="CD38" s="26"/>
      <c r="CE38" s="26"/>
      <c r="CF38" s="26"/>
      <c r="CG38" s="26"/>
      <c r="CH38" s="26"/>
      <c r="CI38" s="28">
        <f t="shared" si="183"/>
        <v>0</v>
      </c>
    </row>
    <row r="39" spans="3:87" hidden="1" x14ac:dyDescent="0.3">
      <c r="C39" s="25" t="s">
        <v>16</v>
      </c>
      <c r="E39" s="26"/>
      <c r="F39" s="26"/>
      <c r="G39" s="26"/>
      <c r="H39" s="26"/>
      <c r="I39" s="26"/>
      <c r="J39" s="26"/>
      <c r="K39" s="26"/>
      <c r="L39" s="26"/>
      <c r="M39" s="26"/>
      <c r="N39" s="26"/>
      <c r="O39" s="26"/>
      <c r="P39" s="26"/>
      <c r="Q39" s="28">
        <f t="shared" si="170"/>
        <v>0</v>
      </c>
      <c r="S39" s="26"/>
      <c r="T39" s="26"/>
      <c r="U39" s="26"/>
      <c r="V39" s="26"/>
      <c r="W39" s="26"/>
      <c r="X39" s="26"/>
      <c r="Y39" s="26"/>
      <c r="Z39" s="26"/>
      <c r="AA39" s="26"/>
      <c r="AB39" s="26"/>
      <c r="AC39" s="26"/>
      <c r="AD39" s="26"/>
      <c r="AE39" s="28">
        <f t="shared" si="171"/>
        <v>0</v>
      </c>
      <c r="AG39" s="26"/>
      <c r="AH39" s="26"/>
      <c r="AI39" s="26"/>
      <c r="AJ39" s="26"/>
      <c r="AK39" s="26"/>
      <c r="AL39" s="26"/>
      <c r="AM39" s="26"/>
      <c r="AN39" s="26"/>
      <c r="AO39" s="26"/>
      <c r="AP39" s="26"/>
      <c r="AQ39" s="26"/>
      <c r="AR39" s="26"/>
      <c r="AS39" s="28">
        <f t="shared" si="166"/>
        <v>0</v>
      </c>
      <c r="AU39" s="26"/>
      <c r="AV39" s="26"/>
      <c r="AW39" s="26"/>
      <c r="AX39" s="26"/>
      <c r="AY39" s="26"/>
      <c r="AZ39" s="26"/>
      <c r="BA39" s="26"/>
      <c r="BB39" s="26"/>
      <c r="BC39" s="26"/>
      <c r="BD39" s="26"/>
      <c r="BE39" s="26"/>
      <c r="BF39" s="26"/>
      <c r="BG39" s="28">
        <f t="shared" si="167"/>
        <v>0</v>
      </c>
      <c r="BI39" s="26"/>
      <c r="BJ39" s="26"/>
      <c r="BK39" s="26"/>
      <c r="BL39" s="26"/>
      <c r="BM39" s="26"/>
      <c r="BN39" s="26"/>
      <c r="BO39" s="26"/>
      <c r="BP39" s="26"/>
      <c r="BQ39" s="26"/>
      <c r="BR39" s="26"/>
      <c r="BS39" s="26"/>
      <c r="BT39" s="26"/>
      <c r="BU39" s="28">
        <f t="shared" si="168"/>
        <v>0</v>
      </c>
      <c r="BW39" s="26"/>
      <c r="BX39" s="26"/>
      <c r="BY39" s="26"/>
      <c r="BZ39" s="26"/>
      <c r="CA39" s="26"/>
      <c r="CB39" s="26"/>
      <c r="CC39" s="26"/>
      <c r="CD39" s="26"/>
      <c r="CE39" s="26"/>
      <c r="CF39" s="26"/>
      <c r="CG39" s="26"/>
      <c r="CH39" s="26"/>
      <c r="CI39" s="28">
        <f t="shared" si="169"/>
        <v>0</v>
      </c>
    </row>
    <row r="40" spans="3:87" hidden="1" x14ac:dyDescent="0.3">
      <c r="C40" s="25" t="s">
        <v>16</v>
      </c>
      <c r="E40" s="26"/>
      <c r="F40" s="26"/>
      <c r="G40" s="26"/>
      <c r="H40" s="26"/>
      <c r="I40" s="26"/>
      <c r="J40" s="26"/>
      <c r="K40" s="26"/>
      <c r="L40" s="26"/>
      <c r="M40" s="26"/>
      <c r="N40" s="26"/>
      <c r="O40" s="26"/>
      <c r="P40" s="26"/>
      <c r="Q40" s="28">
        <f t="shared" si="170"/>
        <v>0</v>
      </c>
      <c r="S40" s="26"/>
      <c r="T40" s="26"/>
      <c r="U40" s="26"/>
      <c r="V40" s="26"/>
      <c r="W40" s="26"/>
      <c r="X40" s="26"/>
      <c r="Y40" s="26"/>
      <c r="Z40" s="26"/>
      <c r="AA40" s="26"/>
      <c r="AB40" s="26"/>
      <c r="AC40" s="26"/>
      <c r="AD40" s="26"/>
      <c r="AE40" s="28">
        <f t="shared" si="171"/>
        <v>0</v>
      </c>
      <c r="AG40" s="26"/>
      <c r="AH40" s="26"/>
      <c r="AI40" s="26"/>
      <c r="AJ40" s="26"/>
      <c r="AK40" s="26"/>
      <c r="AL40" s="26"/>
      <c r="AM40" s="26"/>
      <c r="AN40" s="26"/>
      <c r="AO40" s="26"/>
      <c r="AP40" s="26"/>
      <c r="AQ40" s="26"/>
      <c r="AR40" s="26"/>
      <c r="AS40" s="28">
        <f t="shared" si="166"/>
        <v>0</v>
      </c>
      <c r="AU40" s="26"/>
      <c r="AV40" s="26"/>
      <c r="AW40" s="26"/>
      <c r="AX40" s="26"/>
      <c r="AY40" s="26"/>
      <c r="AZ40" s="26"/>
      <c r="BA40" s="26"/>
      <c r="BB40" s="26"/>
      <c r="BC40" s="26"/>
      <c r="BD40" s="26"/>
      <c r="BE40" s="26"/>
      <c r="BF40" s="26"/>
      <c r="BG40" s="28">
        <f t="shared" si="167"/>
        <v>0</v>
      </c>
      <c r="BI40" s="26"/>
      <c r="BJ40" s="26"/>
      <c r="BK40" s="26"/>
      <c r="BL40" s="26"/>
      <c r="BM40" s="26"/>
      <c r="BN40" s="26"/>
      <c r="BO40" s="26"/>
      <c r="BP40" s="26"/>
      <c r="BQ40" s="26"/>
      <c r="BR40" s="26"/>
      <c r="BS40" s="26"/>
      <c r="BT40" s="26"/>
      <c r="BU40" s="28">
        <f t="shared" si="168"/>
        <v>0</v>
      </c>
      <c r="BW40" s="26"/>
      <c r="BX40" s="26"/>
      <c r="BY40" s="26"/>
      <c r="BZ40" s="26"/>
      <c r="CA40" s="26"/>
      <c r="CB40" s="26"/>
      <c r="CC40" s="26"/>
      <c r="CD40" s="26"/>
      <c r="CE40" s="26"/>
      <c r="CF40" s="26"/>
      <c r="CG40" s="26"/>
      <c r="CH40" s="26"/>
      <c r="CI40" s="28">
        <f t="shared" si="169"/>
        <v>0</v>
      </c>
    </row>
    <row r="41" spans="3:87" x14ac:dyDescent="0.3">
      <c r="C41" s="20" t="s">
        <v>8</v>
      </c>
      <c r="E41" s="27" cm="1">
        <f t="array" aca="1" ref="E41" ca="1">SUM(INDIRECT(ADDRESS(expenses_min_row,COLUMN()) &amp; ":" &amp; ADDRESS(expenses_max_row,COLUMN())))</f>
        <v>2900</v>
      </c>
      <c r="F41" s="27" cm="1">
        <f t="array" aca="1" ref="F41" ca="1">SUM(INDIRECT(ADDRESS(expenses_min_row,COLUMN()) &amp; ":" &amp; ADDRESS(expenses_max_row,COLUMN())))</f>
        <v>2900</v>
      </c>
      <c r="G41" s="27" cm="1">
        <f t="array" aca="1" ref="G41" ca="1">SUM(INDIRECT(ADDRESS(expenses_min_row,COLUMN()) &amp; ":" &amp; ADDRESS(expenses_max_row,COLUMN())))</f>
        <v>3050</v>
      </c>
      <c r="H41" s="27" cm="1">
        <f t="array" aca="1" ref="H41" ca="1">SUM(INDIRECT(ADDRESS(expenses_min_row,COLUMN()) &amp; ":" &amp; ADDRESS(expenses_max_row,COLUMN())))</f>
        <v>3800</v>
      </c>
      <c r="I41" s="27" cm="1">
        <f t="array" aca="1" ref="I41" ca="1">SUM(INDIRECT(ADDRESS(expenses_min_row,COLUMN()) &amp; ":" &amp; ADDRESS(expenses_max_row,COLUMN())))</f>
        <v>2900</v>
      </c>
      <c r="J41" s="27" cm="1">
        <f t="array" aca="1" ref="J41" ca="1">SUM(INDIRECT(ADDRESS(expenses_min_row,COLUMN()) &amp; ":" &amp; ADDRESS(expenses_max_row,COLUMN())))</f>
        <v>3050</v>
      </c>
      <c r="K41" s="27" cm="1">
        <f t="array" aca="1" ref="K41" ca="1">SUM(INDIRECT(ADDRESS(expenses_min_row,COLUMN()) &amp; ":" &amp; ADDRESS(expenses_max_row,COLUMN())))</f>
        <v>2900</v>
      </c>
      <c r="L41" s="27" cm="1">
        <f t="array" aca="1" ref="L41" ca="1">SUM(INDIRECT(ADDRESS(expenses_min_row,COLUMN()) &amp; ":" &amp; ADDRESS(expenses_max_row,COLUMN())))</f>
        <v>4100</v>
      </c>
      <c r="M41" s="27" cm="1">
        <f t="array" aca="1" ref="M41" ca="1">SUM(INDIRECT(ADDRESS(expenses_min_row,COLUMN()) &amp; ":" &amp; ADDRESS(expenses_max_row,COLUMN())))</f>
        <v>3050</v>
      </c>
      <c r="N41" s="27" cm="1">
        <f t="array" aca="1" ref="N41" ca="1">SUM(INDIRECT(ADDRESS(expenses_min_row,COLUMN()) &amp; ":" &amp; ADDRESS(expenses_max_row,COLUMN())))</f>
        <v>2900</v>
      </c>
      <c r="O41" s="27" cm="1">
        <f t="array" aca="1" ref="O41" ca="1">SUM(INDIRECT(ADDRESS(expenses_min_row,COLUMN()) &amp; ":" &amp; ADDRESS(expenses_max_row,COLUMN())))</f>
        <v>2900</v>
      </c>
      <c r="P41" s="27" cm="1">
        <f t="array" aca="1" ref="P41" ca="1">SUM(INDIRECT(ADDRESS(expenses_min_row,COLUMN()) &amp; ":" &amp; ADDRESS(expenses_max_row,COLUMN())))</f>
        <v>3350</v>
      </c>
      <c r="Q41" s="27" cm="1">
        <f t="array" aca="1" ref="Q41" ca="1">SUM(INDIRECT(ADDRESS(expenses_min_row,COLUMN()) &amp; ":" &amp; ADDRESS(expenses_max_row,COLUMN())))</f>
        <v>37800</v>
      </c>
      <c r="S41" s="27" cm="1">
        <f t="array" aca="1" ref="S41" ca="1">SUM(INDIRECT(ADDRESS(expenses_min_row,COLUMN()) &amp; ":" &amp; ADDRESS(expenses_max_row,COLUMN())))</f>
        <v>0</v>
      </c>
      <c r="T41" s="27" cm="1">
        <f t="array" aca="1" ref="T41" ca="1">SUM(INDIRECT(ADDRESS(expenses_min_row,COLUMN()) &amp; ":" &amp; ADDRESS(expenses_max_row,COLUMN())))</f>
        <v>0</v>
      </c>
      <c r="U41" s="27" cm="1">
        <f t="array" aca="1" ref="U41" ca="1">SUM(INDIRECT(ADDRESS(expenses_min_row,COLUMN()) &amp; ":" &amp; ADDRESS(expenses_max_row,COLUMN())))</f>
        <v>0</v>
      </c>
      <c r="V41" s="27" cm="1">
        <f t="array" aca="1" ref="V41" ca="1">SUM(INDIRECT(ADDRESS(expenses_min_row,COLUMN()) &amp; ":" &amp; ADDRESS(expenses_max_row,COLUMN())))</f>
        <v>0</v>
      </c>
      <c r="W41" s="27" cm="1">
        <f t="array" aca="1" ref="W41" ca="1">SUM(INDIRECT(ADDRESS(expenses_min_row,COLUMN()) &amp; ":" &amp; ADDRESS(expenses_max_row,COLUMN())))</f>
        <v>0</v>
      </c>
      <c r="X41" s="27" cm="1">
        <f t="array" aca="1" ref="X41" ca="1">SUM(INDIRECT(ADDRESS(expenses_min_row,COLUMN()) &amp; ":" &amp; ADDRESS(expenses_max_row,COLUMN())))</f>
        <v>0</v>
      </c>
      <c r="Y41" s="27" cm="1">
        <f t="array" aca="1" ref="Y41" ca="1">SUM(INDIRECT(ADDRESS(expenses_min_row,COLUMN()) &amp; ":" &amp; ADDRESS(expenses_max_row,COLUMN())))</f>
        <v>0</v>
      </c>
      <c r="Z41" s="27" cm="1">
        <f t="array" aca="1" ref="Z41" ca="1">SUM(INDIRECT(ADDRESS(expenses_min_row,COLUMN()) &amp; ":" &amp; ADDRESS(expenses_max_row,COLUMN())))</f>
        <v>0</v>
      </c>
      <c r="AA41" s="27" cm="1">
        <f t="array" aca="1" ref="AA41" ca="1">SUM(INDIRECT(ADDRESS(expenses_min_row,COLUMN()) &amp; ":" &amp; ADDRESS(expenses_max_row,COLUMN())))</f>
        <v>0</v>
      </c>
      <c r="AB41" s="27" cm="1">
        <f t="array" aca="1" ref="AB41" ca="1">SUM(INDIRECT(ADDRESS(expenses_min_row,COLUMN()) &amp; ":" &amp; ADDRESS(expenses_max_row,COLUMN())))</f>
        <v>0</v>
      </c>
      <c r="AC41" s="27" cm="1">
        <f t="array" aca="1" ref="AC41" ca="1">SUM(INDIRECT(ADDRESS(expenses_min_row,COLUMN()) &amp; ":" &amp; ADDRESS(expenses_max_row,COLUMN())))</f>
        <v>0</v>
      </c>
      <c r="AD41" s="27" cm="1">
        <f t="array" aca="1" ref="AD41" ca="1">SUM(INDIRECT(ADDRESS(expenses_min_row,COLUMN()) &amp; ":" &amp; ADDRESS(expenses_max_row,COLUMN())))</f>
        <v>0</v>
      </c>
      <c r="AE41" s="27" cm="1">
        <f t="array" aca="1" ref="AE41" ca="1">SUM(INDIRECT(ADDRESS(expenses_min_row,COLUMN()) &amp; ":" &amp; ADDRESS(expenses_max_row,COLUMN())))</f>
        <v>0</v>
      </c>
      <c r="AG41" s="27" cm="1">
        <f t="array" aca="1" ref="AG41" ca="1">SUM(INDIRECT(ADDRESS(expenses_min_row,COLUMN()) &amp; ":" &amp; ADDRESS(expenses_max_row,COLUMN())))</f>
        <v>0</v>
      </c>
      <c r="AH41" s="27" cm="1">
        <f t="array" aca="1" ref="AH41" ca="1">SUM(INDIRECT(ADDRESS(expenses_min_row,COLUMN()) &amp; ":" &amp; ADDRESS(expenses_max_row,COLUMN())))</f>
        <v>0</v>
      </c>
      <c r="AI41" s="27" cm="1">
        <f t="array" aca="1" ref="AI41" ca="1">SUM(INDIRECT(ADDRESS(expenses_min_row,COLUMN()) &amp; ":" &amp; ADDRESS(expenses_max_row,COLUMN())))</f>
        <v>0</v>
      </c>
      <c r="AJ41" s="27" cm="1">
        <f t="array" aca="1" ref="AJ41" ca="1">SUM(INDIRECT(ADDRESS(expenses_min_row,COLUMN()) &amp; ":" &amp; ADDRESS(expenses_max_row,COLUMN())))</f>
        <v>0</v>
      </c>
      <c r="AK41" s="27" cm="1">
        <f t="array" aca="1" ref="AK41" ca="1">SUM(INDIRECT(ADDRESS(expenses_min_row,COLUMN()) &amp; ":" &amp; ADDRESS(expenses_max_row,COLUMN())))</f>
        <v>0</v>
      </c>
      <c r="AL41" s="27" cm="1">
        <f t="array" aca="1" ref="AL41" ca="1">SUM(INDIRECT(ADDRESS(expenses_min_row,COLUMN()) &amp; ":" &amp; ADDRESS(expenses_max_row,COLUMN())))</f>
        <v>0</v>
      </c>
      <c r="AM41" s="27" cm="1">
        <f t="array" aca="1" ref="AM41" ca="1">SUM(INDIRECT(ADDRESS(expenses_min_row,COLUMN()) &amp; ":" &amp; ADDRESS(expenses_max_row,COLUMN())))</f>
        <v>0</v>
      </c>
      <c r="AN41" s="27" cm="1">
        <f t="array" aca="1" ref="AN41" ca="1">SUM(INDIRECT(ADDRESS(expenses_min_row,COLUMN()) &amp; ":" &amp; ADDRESS(expenses_max_row,COLUMN())))</f>
        <v>0</v>
      </c>
      <c r="AO41" s="27" cm="1">
        <f t="array" aca="1" ref="AO41" ca="1">SUM(INDIRECT(ADDRESS(expenses_min_row,COLUMN()) &amp; ":" &amp; ADDRESS(expenses_max_row,COLUMN())))</f>
        <v>0</v>
      </c>
      <c r="AP41" s="27" cm="1">
        <f t="array" aca="1" ref="AP41" ca="1">SUM(INDIRECT(ADDRESS(expenses_min_row,COLUMN()) &amp; ":" &amp; ADDRESS(expenses_max_row,COLUMN())))</f>
        <v>0</v>
      </c>
      <c r="AQ41" s="27" cm="1">
        <f t="array" aca="1" ref="AQ41" ca="1">SUM(INDIRECT(ADDRESS(expenses_min_row,COLUMN()) &amp; ":" &amp; ADDRESS(expenses_max_row,COLUMN())))</f>
        <v>0</v>
      </c>
      <c r="AR41" s="27" cm="1">
        <f t="array" aca="1" ref="AR41" ca="1">SUM(INDIRECT(ADDRESS(expenses_min_row,COLUMN()) &amp; ":" &amp; ADDRESS(expenses_max_row,COLUMN())))</f>
        <v>0</v>
      </c>
      <c r="AS41" s="27" cm="1">
        <f t="array" aca="1" ref="AS41" ca="1">SUM(INDIRECT(ADDRESS(expenses_min_row,COLUMN()) &amp; ":" &amp; ADDRESS(expenses_max_row,COLUMN())))</f>
        <v>0</v>
      </c>
      <c r="AU41" s="27" cm="1">
        <f t="array" aca="1" ref="AU41" ca="1">SUM(INDIRECT(ADDRESS(expenses_min_row,COLUMN()) &amp; ":" &amp; ADDRESS(expenses_max_row,COLUMN())))</f>
        <v>0</v>
      </c>
      <c r="AV41" s="27" cm="1">
        <f t="array" aca="1" ref="AV41" ca="1">SUM(INDIRECT(ADDRESS(expenses_min_row,COLUMN()) &amp; ":" &amp; ADDRESS(expenses_max_row,COLUMN())))</f>
        <v>0</v>
      </c>
      <c r="AW41" s="27" cm="1">
        <f t="array" aca="1" ref="AW41" ca="1">SUM(INDIRECT(ADDRESS(expenses_min_row,COLUMN()) &amp; ":" &amp; ADDRESS(expenses_max_row,COLUMN())))</f>
        <v>0</v>
      </c>
      <c r="AX41" s="27" cm="1">
        <f t="array" aca="1" ref="AX41" ca="1">SUM(INDIRECT(ADDRESS(expenses_min_row,COLUMN()) &amp; ":" &amp; ADDRESS(expenses_max_row,COLUMN())))</f>
        <v>0</v>
      </c>
      <c r="AY41" s="27" cm="1">
        <f t="array" aca="1" ref="AY41" ca="1">SUM(INDIRECT(ADDRESS(expenses_min_row,COLUMN()) &amp; ":" &amp; ADDRESS(expenses_max_row,COLUMN())))</f>
        <v>0</v>
      </c>
      <c r="AZ41" s="27" cm="1">
        <f t="array" aca="1" ref="AZ41" ca="1">SUM(INDIRECT(ADDRESS(expenses_min_row,COLUMN()) &amp; ":" &amp; ADDRESS(expenses_max_row,COLUMN())))</f>
        <v>0</v>
      </c>
      <c r="BA41" s="27" cm="1">
        <f t="array" aca="1" ref="BA41" ca="1">SUM(INDIRECT(ADDRESS(expenses_min_row,COLUMN()) &amp; ":" &amp; ADDRESS(expenses_max_row,COLUMN())))</f>
        <v>0</v>
      </c>
      <c r="BB41" s="27" cm="1">
        <f t="array" aca="1" ref="BB41" ca="1">SUM(INDIRECT(ADDRESS(expenses_min_row,COLUMN()) &amp; ":" &amp; ADDRESS(expenses_max_row,COLUMN())))</f>
        <v>0</v>
      </c>
      <c r="BC41" s="27" cm="1">
        <f t="array" aca="1" ref="BC41" ca="1">SUM(INDIRECT(ADDRESS(expenses_min_row,COLUMN()) &amp; ":" &amp; ADDRESS(expenses_max_row,COLUMN())))</f>
        <v>0</v>
      </c>
      <c r="BD41" s="27" cm="1">
        <f t="array" aca="1" ref="BD41" ca="1">SUM(INDIRECT(ADDRESS(expenses_min_row,COLUMN()) &amp; ":" &amp; ADDRESS(expenses_max_row,COLUMN())))</f>
        <v>0</v>
      </c>
      <c r="BE41" s="27" cm="1">
        <f t="array" aca="1" ref="BE41" ca="1">SUM(INDIRECT(ADDRESS(expenses_min_row,COLUMN()) &amp; ":" &amp; ADDRESS(expenses_max_row,COLUMN())))</f>
        <v>0</v>
      </c>
      <c r="BF41" s="27" cm="1">
        <f t="array" aca="1" ref="BF41" ca="1">SUM(INDIRECT(ADDRESS(expenses_min_row,COLUMN()) &amp; ":" &amp; ADDRESS(expenses_max_row,COLUMN())))</f>
        <v>0</v>
      </c>
      <c r="BG41" s="27" cm="1">
        <f t="array" aca="1" ref="BG41" ca="1">SUM(INDIRECT(ADDRESS(expenses_min_row,COLUMN()) &amp; ":" &amp; ADDRESS(expenses_max_row,COLUMN())))</f>
        <v>0</v>
      </c>
      <c r="BI41" s="27" cm="1">
        <f t="array" aca="1" ref="BI41" ca="1">SUM(INDIRECT(ADDRESS(expenses_min_row,COLUMN()) &amp; ":" &amp; ADDRESS(expenses_max_row,COLUMN())))</f>
        <v>0</v>
      </c>
      <c r="BJ41" s="27" cm="1">
        <f t="array" aca="1" ref="BJ41" ca="1">SUM(INDIRECT(ADDRESS(expenses_min_row,COLUMN()) &amp; ":" &amp; ADDRESS(expenses_max_row,COLUMN())))</f>
        <v>0</v>
      </c>
      <c r="BK41" s="27" cm="1">
        <f t="array" aca="1" ref="BK41" ca="1">SUM(INDIRECT(ADDRESS(expenses_min_row,COLUMN()) &amp; ":" &amp; ADDRESS(expenses_max_row,COLUMN())))</f>
        <v>0</v>
      </c>
      <c r="BL41" s="27" cm="1">
        <f t="array" aca="1" ref="BL41" ca="1">SUM(INDIRECT(ADDRESS(expenses_min_row,COLUMN()) &amp; ":" &amp; ADDRESS(expenses_max_row,COLUMN())))</f>
        <v>0</v>
      </c>
      <c r="BM41" s="27" cm="1">
        <f t="array" aca="1" ref="BM41" ca="1">SUM(INDIRECT(ADDRESS(expenses_min_row,COLUMN()) &amp; ":" &amp; ADDRESS(expenses_max_row,COLUMN())))</f>
        <v>0</v>
      </c>
      <c r="BN41" s="27" cm="1">
        <f t="array" aca="1" ref="BN41" ca="1">SUM(INDIRECT(ADDRESS(expenses_min_row,COLUMN()) &amp; ":" &amp; ADDRESS(expenses_max_row,COLUMN())))</f>
        <v>0</v>
      </c>
      <c r="BO41" s="27" cm="1">
        <f t="array" aca="1" ref="BO41" ca="1">SUM(INDIRECT(ADDRESS(expenses_min_row,COLUMN()) &amp; ":" &amp; ADDRESS(expenses_max_row,COLUMN())))</f>
        <v>0</v>
      </c>
      <c r="BP41" s="27" cm="1">
        <f t="array" aca="1" ref="BP41" ca="1">SUM(INDIRECT(ADDRESS(expenses_min_row,COLUMN()) &amp; ":" &amp; ADDRESS(expenses_max_row,COLUMN())))</f>
        <v>0</v>
      </c>
      <c r="BQ41" s="27" cm="1">
        <f t="array" aca="1" ref="BQ41" ca="1">SUM(INDIRECT(ADDRESS(expenses_min_row,COLUMN()) &amp; ":" &amp; ADDRESS(expenses_max_row,COLUMN())))</f>
        <v>0</v>
      </c>
      <c r="BR41" s="27" cm="1">
        <f t="array" aca="1" ref="BR41" ca="1">SUM(INDIRECT(ADDRESS(expenses_min_row,COLUMN()) &amp; ":" &amp; ADDRESS(expenses_max_row,COLUMN())))</f>
        <v>0</v>
      </c>
      <c r="BS41" s="27" cm="1">
        <f t="array" aca="1" ref="BS41" ca="1">SUM(INDIRECT(ADDRESS(expenses_min_row,COLUMN()) &amp; ":" &amp; ADDRESS(expenses_max_row,COLUMN())))</f>
        <v>0</v>
      </c>
      <c r="BT41" s="27" cm="1">
        <f t="array" aca="1" ref="BT41" ca="1">SUM(INDIRECT(ADDRESS(expenses_min_row,COLUMN()) &amp; ":" &amp; ADDRESS(expenses_max_row,COLUMN())))</f>
        <v>0</v>
      </c>
      <c r="BU41" s="27" cm="1">
        <f t="array" aca="1" ref="BU41" ca="1">SUM(INDIRECT(ADDRESS(expenses_min_row,COLUMN()) &amp; ":" &amp; ADDRESS(expenses_max_row,COLUMN())))</f>
        <v>0</v>
      </c>
      <c r="BW41" s="27" cm="1">
        <f t="array" aca="1" ref="BW41" ca="1">SUM(INDIRECT(ADDRESS(expenses_min_row,COLUMN()) &amp; ":" &amp; ADDRESS(expenses_max_row,COLUMN())))</f>
        <v>0</v>
      </c>
      <c r="BX41" s="27" cm="1">
        <f t="array" aca="1" ref="BX41" ca="1">SUM(INDIRECT(ADDRESS(expenses_min_row,COLUMN()) &amp; ":" &amp; ADDRESS(expenses_max_row,COLUMN())))</f>
        <v>0</v>
      </c>
      <c r="BY41" s="27" cm="1">
        <f t="array" aca="1" ref="BY41" ca="1">SUM(INDIRECT(ADDRESS(expenses_min_row,COLUMN()) &amp; ":" &amp; ADDRESS(expenses_max_row,COLUMN())))</f>
        <v>0</v>
      </c>
      <c r="BZ41" s="27" cm="1">
        <f t="array" aca="1" ref="BZ41" ca="1">SUM(INDIRECT(ADDRESS(expenses_min_row,COLUMN()) &amp; ":" &amp; ADDRESS(expenses_max_row,COLUMN())))</f>
        <v>0</v>
      </c>
      <c r="CA41" s="27" cm="1">
        <f t="array" aca="1" ref="CA41" ca="1">SUM(INDIRECT(ADDRESS(expenses_min_row,COLUMN()) &amp; ":" &amp; ADDRESS(expenses_max_row,COLUMN())))</f>
        <v>0</v>
      </c>
      <c r="CB41" s="27" cm="1">
        <f t="array" aca="1" ref="CB41" ca="1">SUM(INDIRECT(ADDRESS(expenses_min_row,COLUMN()) &amp; ":" &amp; ADDRESS(expenses_max_row,COLUMN())))</f>
        <v>0</v>
      </c>
      <c r="CC41" s="27" cm="1">
        <f t="array" aca="1" ref="CC41" ca="1">SUM(INDIRECT(ADDRESS(expenses_min_row,COLUMN()) &amp; ":" &amp; ADDRESS(expenses_max_row,COLUMN())))</f>
        <v>0</v>
      </c>
      <c r="CD41" s="27" cm="1">
        <f t="array" aca="1" ref="CD41" ca="1">SUM(INDIRECT(ADDRESS(expenses_min_row,COLUMN()) &amp; ":" &amp; ADDRESS(expenses_max_row,COLUMN())))</f>
        <v>0</v>
      </c>
      <c r="CE41" s="27" cm="1">
        <f t="array" aca="1" ref="CE41" ca="1">SUM(INDIRECT(ADDRESS(expenses_min_row,COLUMN()) &amp; ":" &amp; ADDRESS(expenses_max_row,COLUMN())))</f>
        <v>0</v>
      </c>
      <c r="CF41" s="27" cm="1">
        <f t="array" aca="1" ref="CF41" ca="1">SUM(INDIRECT(ADDRESS(expenses_min_row,COLUMN()) &amp; ":" &amp; ADDRESS(expenses_max_row,COLUMN())))</f>
        <v>0</v>
      </c>
      <c r="CG41" s="27" cm="1">
        <f t="array" aca="1" ref="CG41" ca="1">SUM(INDIRECT(ADDRESS(expenses_min_row,COLUMN()) &amp; ":" &amp; ADDRESS(expenses_max_row,COLUMN())))</f>
        <v>0</v>
      </c>
      <c r="CH41" s="27" cm="1">
        <f t="array" aca="1" ref="CH41" ca="1">SUM(INDIRECT(ADDRESS(expenses_min_row,COLUMN()) &amp; ":" &amp; ADDRESS(expenses_max_row,COLUMN())))</f>
        <v>0</v>
      </c>
      <c r="CI41" s="27" cm="1">
        <f t="array" aca="1" ref="CI41" ca="1">SUM(INDIRECT(ADDRESS(expenses_min_row,COLUMN()) &amp; ":" &amp; ADDRESS(expenses_max_row,COLUMN())))</f>
        <v>0</v>
      </c>
    </row>
    <row r="43" spans="3:87" x14ac:dyDescent="0.3">
      <c r="C43" s="18" t="s">
        <v>17</v>
      </c>
      <c r="E43" s="32">
        <f>DATE(E$5,1,1)</f>
        <v>45292</v>
      </c>
      <c r="F43" s="32">
        <f>DATE(E$5,2,1)</f>
        <v>45323</v>
      </c>
      <c r="G43" s="32">
        <f>DATE(E$5,3,1)</f>
        <v>45352</v>
      </c>
      <c r="H43" s="32">
        <f>DATE(E$5,4,1)</f>
        <v>45383</v>
      </c>
      <c r="I43" s="32">
        <f>DATE(E$5,5,1)</f>
        <v>45413</v>
      </c>
      <c r="J43" s="32">
        <f>DATE(E$5,6,1)</f>
        <v>45444</v>
      </c>
      <c r="K43" s="32">
        <f>DATE(E$5,7,1)</f>
        <v>45474</v>
      </c>
      <c r="L43" s="32">
        <f>DATE(E$5,8,1)</f>
        <v>45505</v>
      </c>
      <c r="M43" s="32">
        <f>DATE(E$5,9,1)</f>
        <v>45536</v>
      </c>
      <c r="N43" s="32">
        <f>DATE(E$5,10,1)</f>
        <v>45566</v>
      </c>
      <c r="O43" s="32">
        <f>DATE(E$5,11,1)</f>
        <v>45597</v>
      </c>
      <c r="P43" s="32">
        <f>DATE(E$5,12,1)</f>
        <v>45627</v>
      </c>
      <c r="Q43" s="33">
        <f>E$5</f>
        <v>2024</v>
      </c>
      <c r="S43" s="32">
        <f>DATE(S$5,1,1)</f>
        <v>45658</v>
      </c>
      <c r="T43" s="32">
        <f>DATE(S$5,2,1)</f>
        <v>45689</v>
      </c>
      <c r="U43" s="32">
        <f>DATE(S$5,3,1)</f>
        <v>45717</v>
      </c>
      <c r="V43" s="32">
        <f>DATE(S$5,4,1)</f>
        <v>45748</v>
      </c>
      <c r="W43" s="32">
        <f>DATE(S$5,5,1)</f>
        <v>45778</v>
      </c>
      <c r="X43" s="32">
        <f>DATE(S$5,6,1)</f>
        <v>45809</v>
      </c>
      <c r="Y43" s="32">
        <f>DATE(S$5,7,1)</f>
        <v>45839</v>
      </c>
      <c r="Z43" s="32">
        <f>DATE(S$5,8,1)</f>
        <v>45870</v>
      </c>
      <c r="AA43" s="32">
        <f>DATE(S$5,9,1)</f>
        <v>45901</v>
      </c>
      <c r="AB43" s="32">
        <f>DATE(S$5,10,1)</f>
        <v>45931</v>
      </c>
      <c r="AC43" s="32">
        <f>DATE(S$5,11,1)</f>
        <v>45962</v>
      </c>
      <c r="AD43" s="32">
        <f>DATE(S$5,12,1)</f>
        <v>45992</v>
      </c>
      <c r="AE43" s="33">
        <f>S$5</f>
        <v>2025</v>
      </c>
      <c r="AG43" s="32">
        <f t="shared" ref="AG43:BL43" si="184">DATE(AG$5,1,1)</f>
        <v>46023</v>
      </c>
      <c r="AH43" s="32">
        <f t="shared" ref="AH43:BM43" si="185">DATE(AG$5,2,1)</f>
        <v>46054</v>
      </c>
      <c r="AI43" s="32">
        <f t="shared" ref="AI43" si="186">DATE(AG$5,3,1)</f>
        <v>46082</v>
      </c>
      <c r="AJ43" s="32">
        <f t="shared" ref="AJ43" si="187">DATE(AG$5,4,1)</f>
        <v>46113</v>
      </c>
      <c r="AK43" s="32">
        <f t="shared" ref="AK43" si="188">DATE(AG$5,5,1)</f>
        <v>46143</v>
      </c>
      <c r="AL43" s="32">
        <f t="shared" ref="AL43" si="189">DATE(AG$5,6,1)</f>
        <v>46174</v>
      </c>
      <c r="AM43" s="32">
        <f t="shared" ref="AM43" si="190">DATE(AG$5,7,1)</f>
        <v>46204</v>
      </c>
      <c r="AN43" s="32">
        <f t="shared" ref="AN43" si="191">DATE(AG$5,8,1)</f>
        <v>46235</v>
      </c>
      <c r="AO43" s="32">
        <f t="shared" ref="AO43" si="192">DATE(AG$5,9,1)</f>
        <v>46266</v>
      </c>
      <c r="AP43" s="32">
        <f t="shared" ref="AP43" si="193">DATE(AG$5,10,1)</f>
        <v>46296</v>
      </c>
      <c r="AQ43" s="32">
        <f t="shared" ref="AQ43" si="194">DATE(AG$5,11,1)</f>
        <v>46327</v>
      </c>
      <c r="AR43" s="32">
        <f t="shared" ref="AR43" si="195">DATE(AG$5,12,1)</f>
        <v>46357</v>
      </c>
      <c r="AS43" s="33">
        <f t="shared" ref="AS43" si="196">AG$5</f>
        <v>2026</v>
      </c>
      <c r="AU43" s="32">
        <f t="shared" ref="AU43:CJ43" si="197">DATE(AU$5,1,1)</f>
        <v>46388</v>
      </c>
      <c r="AV43" s="32">
        <f t="shared" ref="AV43:CJ43" si="198">DATE(AU$5,2,1)</f>
        <v>46419</v>
      </c>
      <c r="AW43" s="32">
        <f t="shared" ref="AW43" si="199">DATE(AU$5,3,1)</f>
        <v>46447</v>
      </c>
      <c r="AX43" s="32">
        <f t="shared" ref="AX43" si="200">DATE(AU$5,4,1)</f>
        <v>46478</v>
      </c>
      <c r="AY43" s="32">
        <f t="shared" ref="AY43" si="201">DATE(AU$5,5,1)</f>
        <v>46508</v>
      </c>
      <c r="AZ43" s="32">
        <f t="shared" ref="AZ43" si="202">DATE(AU$5,6,1)</f>
        <v>46539</v>
      </c>
      <c r="BA43" s="32">
        <f t="shared" ref="BA43" si="203">DATE(AU$5,7,1)</f>
        <v>46569</v>
      </c>
      <c r="BB43" s="32">
        <f t="shared" ref="BB43" si="204">DATE(AU$5,8,1)</f>
        <v>46600</v>
      </c>
      <c r="BC43" s="32">
        <f t="shared" ref="BC43" si="205">DATE(AU$5,9,1)</f>
        <v>46631</v>
      </c>
      <c r="BD43" s="32">
        <f t="shared" ref="BD43" si="206">DATE(AU$5,10,1)</f>
        <v>46661</v>
      </c>
      <c r="BE43" s="32">
        <f t="shared" ref="BE43" si="207">DATE(AU$5,11,1)</f>
        <v>46692</v>
      </c>
      <c r="BF43" s="32">
        <f t="shared" ref="BF43" si="208">DATE(AU$5,12,1)</f>
        <v>46722</v>
      </c>
      <c r="BG43" s="33">
        <f t="shared" ref="BG43" si="209">AU$5</f>
        <v>2027</v>
      </c>
      <c r="BI43" s="32">
        <f t="shared" ref="BI43:CJ43" si="210">DATE(BI$5,1,1)</f>
        <v>46753</v>
      </c>
      <c r="BJ43" s="32">
        <f t="shared" ref="BJ43:CJ43" si="211">DATE(BI$5,2,1)</f>
        <v>46784</v>
      </c>
      <c r="BK43" s="32">
        <f t="shared" ref="BK43" si="212">DATE(BI$5,3,1)</f>
        <v>46813</v>
      </c>
      <c r="BL43" s="32">
        <f t="shared" ref="BL43" si="213">DATE(BI$5,4,1)</f>
        <v>46844</v>
      </c>
      <c r="BM43" s="32">
        <f t="shared" ref="BM43" si="214">DATE(BI$5,5,1)</f>
        <v>46874</v>
      </c>
      <c r="BN43" s="32">
        <f t="shared" ref="BN43" si="215">DATE(BI$5,6,1)</f>
        <v>46905</v>
      </c>
      <c r="BO43" s="32">
        <f t="shared" ref="BO43" si="216">DATE(BI$5,7,1)</f>
        <v>46935</v>
      </c>
      <c r="BP43" s="32">
        <f t="shared" ref="BP43" si="217">DATE(BI$5,8,1)</f>
        <v>46966</v>
      </c>
      <c r="BQ43" s="32">
        <f t="shared" ref="BQ43" si="218">DATE(BI$5,9,1)</f>
        <v>46997</v>
      </c>
      <c r="BR43" s="32">
        <f t="shared" ref="BR43" si="219">DATE(BI$5,10,1)</f>
        <v>47027</v>
      </c>
      <c r="BS43" s="32">
        <f t="shared" ref="BS43" si="220">DATE(BI$5,11,1)</f>
        <v>47058</v>
      </c>
      <c r="BT43" s="32">
        <f t="shared" ref="BT43" si="221">DATE(BI$5,12,1)</f>
        <v>47088</v>
      </c>
      <c r="BU43" s="33">
        <f t="shared" ref="BU43" si="222">BI$5</f>
        <v>2028</v>
      </c>
      <c r="BW43" s="32">
        <f t="shared" ref="BW43:CJ43" si="223">DATE(BW$5,1,1)</f>
        <v>47119</v>
      </c>
      <c r="BX43" s="32">
        <f t="shared" ref="BX43:CJ43" si="224">DATE(BW$5,2,1)</f>
        <v>47150</v>
      </c>
      <c r="BY43" s="32">
        <f t="shared" ref="BY43" si="225">DATE(BW$5,3,1)</f>
        <v>47178</v>
      </c>
      <c r="BZ43" s="32">
        <f t="shared" ref="BZ43" si="226">DATE(BW$5,4,1)</f>
        <v>47209</v>
      </c>
      <c r="CA43" s="32">
        <f t="shared" ref="CA43" si="227">DATE(BW$5,5,1)</f>
        <v>47239</v>
      </c>
      <c r="CB43" s="32">
        <f t="shared" ref="CB43" si="228">DATE(BW$5,6,1)</f>
        <v>47270</v>
      </c>
      <c r="CC43" s="32">
        <f t="shared" ref="CC43" si="229">DATE(BW$5,7,1)</f>
        <v>47300</v>
      </c>
      <c r="CD43" s="32">
        <f t="shared" ref="CD43" si="230">DATE(BW$5,8,1)</f>
        <v>47331</v>
      </c>
      <c r="CE43" s="32">
        <f t="shared" ref="CE43" si="231">DATE(BW$5,9,1)</f>
        <v>47362</v>
      </c>
      <c r="CF43" s="32">
        <f t="shared" ref="CF43" si="232">DATE(BW$5,10,1)</f>
        <v>47392</v>
      </c>
      <c r="CG43" s="32">
        <f t="shared" ref="CG43" si="233">DATE(BW$5,11,1)</f>
        <v>47423</v>
      </c>
      <c r="CH43" s="32">
        <f t="shared" ref="CH43" si="234">DATE(BW$5,12,1)</f>
        <v>47453</v>
      </c>
      <c r="CI43" s="33">
        <f t="shared" ref="CI43" si="235">BW$5</f>
        <v>2029</v>
      </c>
    </row>
    <row r="44" spans="3:87" x14ac:dyDescent="0.3">
      <c r="C44" s="25" t="s">
        <v>18</v>
      </c>
      <c r="E44" s="26">
        <v>1000</v>
      </c>
      <c r="F44" s="26">
        <v>1000</v>
      </c>
      <c r="G44" s="26">
        <v>1000</v>
      </c>
      <c r="H44" s="26">
        <v>0</v>
      </c>
      <c r="I44" s="26">
        <v>0</v>
      </c>
      <c r="J44" s="26">
        <v>0</v>
      </c>
      <c r="K44" s="26">
        <v>0</v>
      </c>
      <c r="L44" s="26">
        <v>0</v>
      </c>
      <c r="M44" s="26">
        <v>0</v>
      </c>
      <c r="N44" s="26">
        <v>0</v>
      </c>
      <c r="O44" s="26">
        <v>0</v>
      </c>
      <c r="P44" s="26">
        <v>0</v>
      </c>
      <c r="Q44" s="28">
        <f>SUM(E44:P44)</f>
        <v>3000</v>
      </c>
      <c r="S44" s="26"/>
      <c r="T44" s="26"/>
      <c r="U44" s="26"/>
      <c r="V44" s="26"/>
      <c r="W44" s="26"/>
      <c r="X44" s="26"/>
      <c r="Y44" s="26"/>
      <c r="Z44" s="26"/>
      <c r="AA44" s="26"/>
      <c r="AB44" s="26"/>
      <c r="AC44" s="26"/>
      <c r="AD44" s="26"/>
      <c r="AE44" s="28">
        <f>SUM(S44:AD44)</f>
        <v>0</v>
      </c>
      <c r="AG44" s="26"/>
      <c r="AH44" s="26"/>
      <c r="AI44" s="26"/>
      <c r="AJ44" s="26"/>
      <c r="AK44" s="26"/>
      <c r="AL44" s="26"/>
      <c r="AM44" s="26"/>
      <c r="AN44" s="26"/>
      <c r="AO44" s="26"/>
      <c r="AP44" s="26"/>
      <c r="AQ44" s="26"/>
      <c r="AR44" s="26"/>
      <c r="AS44" s="28">
        <f t="shared" ref="AS44:AS58" si="236">SUM(AG44:AR44)</f>
        <v>0</v>
      </c>
      <c r="AU44" s="26"/>
      <c r="AV44" s="26"/>
      <c r="AW44" s="26"/>
      <c r="AX44" s="26"/>
      <c r="AY44" s="26"/>
      <c r="AZ44" s="26"/>
      <c r="BA44" s="26"/>
      <c r="BB44" s="26"/>
      <c r="BC44" s="26"/>
      <c r="BD44" s="26"/>
      <c r="BE44" s="26"/>
      <c r="BF44" s="26"/>
      <c r="BG44" s="28">
        <f t="shared" ref="BG44:BG58" si="237">SUM(AU44:BF44)</f>
        <v>0</v>
      </c>
      <c r="BI44" s="26"/>
      <c r="BJ44" s="26"/>
      <c r="BK44" s="26"/>
      <c r="BL44" s="26"/>
      <c r="BM44" s="26"/>
      <c r="BN44" s="26"/>
      <c r="BO44" s="26"/>
      <c r="BP44" s="26"/>
      <c r="BQ44" s="26"/>
      <c r="BR44" s="26"/>
      <c r="BS44" s="26"/>
      <c r="BT44" s="26"/>
      <c r="BU44" s="28">
        <f t="shared" ref="BU44:BU58" si="238">SUM(BI44:BT44)</f>
        <v>0</v>
      </c>
      <c r="BW44" s="26"/>
      <c r="BX44" s="26"/>
      <c r="BY44" s="26"/>
      <c r="BZ44" s="26"/>
      <c r="CA44" s="26"/>
      <c r="CB44" s="26"/>
      <c r="CC44" s="26"/>
      <c r="CD44" s="26"/>
      <c r="CE44" s="26"/>
      <c r="CF44" s="26"/>
      <c r="CG44" s="26"/>
      <c r="CH44" s="26"/>
      <c r="CI44" s="28">
        <f t="shared" ref="CI44:CI58" si="239">SUM(BW44:CH44)</f>
        <v>0</v>
      </c>
    </row>
    <row r="45" spans="3:87" x14ac:dyDescent="0.3">
      <c r="C45" s="25" t="s">
        <v>19</v>
      </c>
      <c r="E45" s="26">
        <v>400</v>
      </c>
      <c r="F45" s="26">
        <v>400</v>
      </c>
      <c r="G45" s="26">
        <v>400</v>
      </c>
      <c r="H45" s="26">
        <v>400</v>
      </c>
      <c r="I45" s="26">
        <v>400</v>
      </c>
      <c r="J45" s="26">
        <v>400</v>
      </c>
      <c r="K45" s="26">
        <v>400</v>
      </c>
      <c r="L45" s="26">
        <v>400</v>
      </c>
      <c r="M45" s="26">
        <v>400</v>
      </c>
      <c r="N45" s="26">
        <v>400</v>
      </c>
      <c r="O45" s="26">
        <v>400</v>
      </c>
      <c r="P45" s="26">
        <v>400</v>
      </c>
      <c r="Q45" s="28">
        <f t="shared" ref="Q45:Q58" si="240">SUM(E45:P45)</f>
        <v>4800</v>
      </c>
      <c r="S45" s="26"/>
      <c r="T45" s="26"/>
      <c r="U45" s="26"/>
      <c r="V45" s="26"/>
      <c r="W45" s="26"/>
      <c r="X45" s="26"/>
      <c r="Y45" s="26"/>
      <c r="Z45" s="26"/>
      <c r="AA45" s="26"/>
      <c r="AB45" s="26"/>
      <c r="AC45" s="26"/>
      <c r="AD45" s="26"/>
      <c r="AE45" s="28">
        <f t="shared" ref="AE45:AE58" si="241">SUM(S45:AD45)</f>
        <v>0</v>
      </c>
      <c r="AG45" s="26"/>
      <c r="AH45" s="26"/>
      <c r="AI45" s="26"/>
      <c r="AJ45" s="26"/>
      <c r="AK45" s="26"/>
      <c r="AL45" s="26"/>
      <c r="AM45" s="26"/>
      <c r="AN45" s="26"/>
      <c r="AO45" s="26"/>
      <c r="AP45" s="26"/>
      <c r="AQ45" s="26"/>
      <c r="AR45" s="26"/>
      <c r="AS45" s="28">
        <f t="shared" si="236"/>
        <v>0</v>
      </c>
      <c r="AU45" s="26"/>
      <c r="AV45" s="26"/>
      <c r="AW45" s="26"/>
      <c r="AX45" s="26"/>
      <c r="AY45" s="26"/>
      <c r="AZ45" s="26"/>
      <c r="BA45" s="26"/>
      <c r="BB45" s="26"/>
      <c r="BC45" s="26"/>
      <c r="BD45" s="26"/>
      <c r="BE45" s="26"/>
      <c r="BF45" s="26"/>
      <c r="BG45" s="28">
        <f t="shared" si="237"/>
        <v>0</v>
      </c>
      <c r="BI45" s="26"/>
      <c r="BJ45" s="26"/>
      <c r="BK45" s="26"/>
      <c r="BL45" s="26"/>
      <c r="BM45" s="26"/>
      <c r="BN45" s="26"/>
      <c r="BO45" s="26"/>
      <c r="BP45" s="26"/>
      <c r="BQ45" s="26"/>
      <c r="BR45" s="26"/>
      <c r="BS45" s="26"/>
      <c r="BT45" s="26"/>
      <c r="BU45" s="28">
        <f t="shared" si="238"/>
        <v>0</v>
      </c>
      <c r="BW45" s="26"/>
      <c r="BX45" s="26"/>
      <c r="BY45" s="26"/>
      <c r="BZ45" s="26"/>
      <c r="CA45" s="26"/>
      <c r="CB45" s="26"/>
      <c r="CC45" s="26"/>
      <c r="CD45" s="26"/>
      <c r="CE45" s="26"/>
      <c r="CF45" s="26"/>
      <c r="CG45" s="26"/>
      <c r="CH45" s="26"/>
      <c r="CI45" s="28">
        <f t="shared" si="239"/>
        <v>0</v>
      </c>
    </row>
    <row r="46" spans="3:87" x14ac:dyDescent="0.3">
      <c r="C46" s="25" t="s">
        <v>20</v>
      </c>
      <c r="E46" s="26">
        <v>150</v>
      </c>
      <c r="F46" s="26">
        <v>150</v>
      </c>
      <c r="G46" s="26">
        <v>150</v>
      </c>
      <c r="H46" s="26">
        <v>750</v>
      </c>
      <c r="I46" s="26">
        <v>750</v>
      </c>
      <c r="J46" s="26">
        <v>750</v>
      </c>
      <c r="K46" s="26">
        <v>750</v>
      </c>
      <c r="L46" s="26">
        <v>750</v>
      </c>
      <c r="M46" s="26">
        <v>750</v>
      </c>
      <c r="N46" s="26">
        <v>750</v>
      </c>
      <c r="O46" s="26">
        <v>750</v>
      </c>
      <c r="P46" s="26">
        <v>750</v>
      </c>
      <c r="Q46" s="28">
        <f t="shared" si="240"/>
        <v>7200</v>
      </c>
      <c r="S46" s="26"/>
      <c r="T46" s="26"/>
      <c r="U46" s="26"/>
      <c r="V46" s="26"/>
      <c r="W46" s="26"/>
      <c r="X46" s="26"/>
      <c r="Y46" s="26"/>
      <c r="Z46" s="26"/>
      <c r="AA46" s="26"/>
      <c r="AB46" s="26"/>
      <c r="AC46" s="26"/>
      <c r="AD46" s="26"/>
      <c r="AE46" s="28">
        <f t="shared" si="241"/>
        <v>0</v>
      </c>
      <c r="AG46" s="26"/>
      <c r="AH46" s="26"/>
      <c r="AI46" s="26"/>
      <c r="AJ46" s="26"/>
      <c r="AK46" s="26"/>
      <c r="AL46" s="26"/>
      <c r="AM46" s="26"/>
      <c r="AN46" s="26"/>
      <c r="AO46" s="26"/>
      <c r="AP46" s="26"/>
      <c r="AQ46" s="26"/>
      <c r="AR46" s="26"/>
      <c r="AS46" s="28">
        <f t="shared" si="236"/>
        <v>0</v>
      </c>
      <c r="AU46" s="26"/>
      <c r="AV46" s="26"/>
      <c r="AW46" s="26"/>
      <c r="AX46" s="26"/>
      <c r="AY46" s="26"/>
      <c r="AZ46" s="26"/>
      <c r="BA46" s="26"/>
      <c r="BB46" s="26"/>
      <c r="BC46" s="26"/>
      <c r="BD46" s="26"/>
      <c r="BE46" s="26"/>
      <c r="BF46" s="26"/>
      <c r="BG46" s="28">
        <f t="shared" si="237"/>
        <v>0</v>
      </c>
      <c r="BI46" s="26"/>
      <c r="BJ46" s="26"/>
      <c r="BK46" s="26"/>
      <c r="BL46" s="26"/>
      <c r="BM46" s="26"/>
      <c r="BN46" s="26"/>
      <c r="BO46" s="26"/>
      <c r="BP46" s="26"/>
      <c r="BQ46" s="26"/>
      <c r="BR46" s="26"/>
      <c r="BS46" s="26"/>
      <c r="BT46" s="26"/>
      <c r="BU46" s="28">
        <f t="shared" si="238"/>
        <v>0</v>
      </c>
      <c r="BW46" s="26"/>
      <c r="BX46" s="26"/>
      <c r="BY46" s="26"/>
      <c r="BZ46" s="26"/>
      <c r="CA46" s="26"/>
      <c r="CB46" s="26"/>
      <c r="CC46" s="26"/>
      <c r="CD46" s="26"/>
      <c r="CE46" s="26"/>
      <c r="CF46" s="26"/>
      <c r="CG46" s="26"/>
      <c r="CH46" s="26"/>
      <c r="CI46" s="28">
        <f t="shared" si="239"/>
        <v>0</v>
      </c>
    </row>
    <row r="47" spans="3:87" x14ac:dyDescent="0.3">
      <c r="C47" s="25" t="s">
        <v>29</v>
      </c>
      <c r="E47" s="26">
        <v>0</v>
      </c>
      <c r="F47" s="26">
        <v>0</v>
      </c>
      <c r="G47" s="26">
        <v>0</v>
      </c>
      <c r="H47" s="26">
        <v>600</v>
      </c>
      <c r="I47" s="26">
        <v>1400</v>
      </c>
      <c r="J47" s="26">
        <v>1300</v>
      </c>
      <c r="K47" s="26">
        <v>1500</v>
      </c>
      <c r="L47" s="26">
        <v>200</v>
      </c>
      <c r="M47" s="26">
        <v>1300</v>
      </c>
      <c r="N47" s="26">
        <v>1500</v>
      </c>
      <c r="O47" s="26">
        <v>1400</v>
      </c>
      <c r="P47" s="26">
        <v>1000</v>
      </c>
      <c r="Q47" s="28">
        <f t="shared" si="240"/>
        <v>10200</v>
      </c>
      <c r="S47" s="26"/>
      <c r="T47" s="26"/>
      <c r="U47" s="26"/>
      <c r="V47" s="26"/>
      <c r="W47" s="26"/>
      <c r="X47" s="26"/>
      <c r="Y47" s="26"/>
      <c r="Z47" s="26"/>
      <c r="AA47" s="26"/>
      <c r="AB47" s="26"/>
      <c r="AC47" s="26"/>
      <c r="AD47" s="26"/>
      <c r="AE47" s="28">
        <f t="shared" si="241"/>
        <v>0</v>
      </c>
      <c r="AG47" s="26"/>
      <c r="AH47" s="26"/>
      <c r="AI47" s="26"/>
      <c r="AJ47" s="26"/>
      <c r="AK47" s="26"/>
      <c r="AL47" s="26"/>
      <c r="AM47" s="26"/>
      <c r="AN47" s="26"/>
      <c r="AO47" s="26"/>
      <c r="AP47" s="26"/>
      <c r="AQ47" s="26"/>
      <c r="AR47" s="26"/>
      <c r="AS47" s="28">
        <f t="shared" si="236"/>
        <v>0</v>
      </c>
      <c r="AU47" s="26"/>
      <c r="AV47" s="26"/>
      <c r="AW47" s="26"/>
      <c r="AX47" s="26"/>
      <c r="AY47" s="26"/>
      <c r="AZ47" s="26"/>
      <c r="BA47" s="26"/>
      <c r="BB47" s="26"/>
      <c r="BC47" s="26"/>
      <c r="BD47" s="26"/>
      <c r="BE47" s="26"/>
      <c r="BF47" s="26"/>
      <c r="BG47" s="28">
        <f t="shared" si="237"/>
        <v>0</v>
      </c>
      <c r="BI47" s="26"/>
      <c r="BJ47" s="26"/>
      <c r="BK47" s="26"/>
      <c r="BL47" s="26"/>
      <c r="BM47" s="26"/>
      <c r="BN47" s="26"/>
      <c r="BO47" s="26"/>
      <c r="BP47" s="26"/>
      <c r="BQ47" s="26"/>
      <c r="BR47" s="26"/>
      <c r="BS47" s="26"/>
      <c r="BT47" s="26"/>
      <c r="BU47" s="28">
        <f t="shared" si="238"/>
        <v>0</v>
      </c>
      <c r="BW47" s="26"/>
      <c r="BX47" s="26"/>
      <c r="BY47" s="26"/>
      <c r="BZ47" s="26"/>
      <c r="CA47" s="26"/>
      <c r="CB47" s="26"/>
      <c r="CC47" s="26"/>
      <c r="CD47" s="26"/>
      <c r="CE47" s="26"/>
      <c r="CF47" s="26"/>
      <c r="CG47" s="26"/>
      <c r="CH47" s="26"/>
      <c r="CI47" s="28">
        <f t="shared" si="239"/>
        <v>0</v>
      </c>
    </row>
    <row r="48" spans="3:87" x14ac:dyDescent="0.3">
      <c r="C48" s="25" t="s">
        <v>30</v>
      </c>
      <c r="E48" s="26">
        <v>200</v>
      </c>
      <c r="F48" s="26">
        <v>100</v>
      </c>
      <c r="G48" s="26">
        <v>0</v>
      </c>
      <c r="H48" s="26">
        <v>100</v>
      </c>
      <c r="I48" s="26">
        <v>100</v>
      </c>
      <c r="J48" s="26">
        <v>100</v>
      </c>
      <c r="K48" s="26">
        <v>100</v>
      </c>
      <c r="L48" s="26">
        <v>100</v>
      </c>
      <c r="M48" s="26">
        <v>100</v>
      </c>
      <c r="N48" s="26">
        <v>100</v>
      </c>
      <c r="O48" s="26">
        <v>100</v>
      </c>
      <c r="P48" s="26">
        <v>100</v>
      </c>
      <c r="Q48" s="28">
        <f t="shared" si="240"/>
        <v>1200</v>
      </c>
      <c r="S48" s="26"/>
      <c r="T48" s="26"/>
      <c r="U48" s="26"/>
      <c r="V48" s="26"/>
      <c r="W48" s="26"/>
      <c r="X48" s="26"/>
      <c r="Y48" s="26"/>
      <c r="Z48" s="26"/>
      <c r="AA48" s="26"/>
      <c r="AB48" s="26"/>
      <c r="AC48" s="26"/>
      <c r="AD48" s="26"/>
      <c r="AE48" s="28">
        <f t="shared" si="241"/>
        <v>0</v>
      </c>
      <c r="AG48" s="26"/>
      <c r="AH48" s="26"/>
      <c r="AI48" s="26"/>
      <c r="AJ48" s="26"/>
      <c r="AK48" s="26"/>
      <c r="AL48" s="26"/>
      <c r="AM48" s="26"/>
      <c r="AN48" s="26"/>
      <c r="AO48" s="26"/>
      <c r="AP48" s="26"/>
      <c r="AQ48" s="26"/>
      <c r="AR48" s="26"/>
      <c r="AS48" s="28">
        <f t="shared" si="236"/>
        <v>0</v>
      </c>
      <c r="AU48" s="26"/>
      <c r="AV48" s="26"/>
      <c r="AW48" s="26"/>
      <c r="AX48" s="26"/>
      <c r="AY48" s="26"/>
      <c r="AZ48" s="26"/>
      <c r="BA48" s="26"/>
      <c r="BB48" s="26"/>
      <c r="BC48" s="26"/>
      <c r="BD48" s="26"/>
      <c r="BE48" s="26"/>
      <c r="BF48" s="26"/>
      <c r="BG48" s="28">
        <f t="shared" si="237"/>
        <v>0</v>
      </c>
      <c r="BI48" s="26"/>
      <c r="BJ48" s="26"/>
      <c r="BK48" s="26"/>
      <c r="BL48" s="26"/>
      <c r="BM48" s="26"/>
      <c r="BN48" s="26"/>
      <c r="BO48" s="26"/>
      <c r="BP48" s="26"/>
      <c r="BQ48" s="26"/>
      <c r="BR48" s="26"/>
      <c r="BS48" s="26"/>
      <c r="BT48" s="26"/>
      <c r="BU48" s="28">
        <f t="shared" si="238"/>
        <v>0</v>
      </c>
      <c r="BW48" s="26"/>
      <c r="BX48" s="26"/>
      <c r="BY48" s="26"/>
      <c r="BZ48" s="26"/>
      <c r="CA48" s="26"/>
      <c r="CB48" s="26"/>
      <c r="CC48" s="26"/>
      <c r="CD48" s="26"/>
      <c r="CE48" s="26"/>
      <c r="CF48" s="26"/>
      <c r="CG48" s="26"/>
      <c r="CH48" s="26"/>
      <c r="CI48" s="28">
        <f t="shared" si="239"/>
        <v>0</v>
      </c>
    </row>
    <row r="49" spans="3:87" hidden="1" x14ac:dyDescent="0.3">
      <c r="C49" s="25" t="s">
        <v>21</v>
      </c>
      <c r="E49" s="26"/>
      <c r="F49" s="26"/>
      <c r="G49" s="26"/>
      <c r="H49" s="26"/>
      <c r="I49" s="26"/>
      <c r="J49" s="26"/>
      <c r="K49" s="26"/>
      <c r="L49" s="26"/>
      <c r="M49" s="26"/>
      <c r="N49" s="26"/>
      <c r="O49" s="26"/>
      <c r="P49" s="26"/>
      <c r="Q49" s="28">
        <f t="shared" ref="Q49:Q54" si="242">SUM(E49:P49)</f>
        <v>0</v>
      </c>
      <c r="S49" s="26"/>
      <c r="T49" s="26"/>
      <c r="U49" s="26"/>
      <c r="V49" s="26"/>
      <c r="W49" s="26"/>
      <c r="X49" s="26"/>
      <c r="Y49" s="26"/>
      <c r="Z49" s="26"/>
      <c r="AA49" s="26"/>
      <c r="AB49" s="26"/>
      <c r="AC49" s="26"/>
      <c r="AD49" s="26"/>
      <c r="AE49" s="28">
        <f t="shared" ref="AE49:AE54" si="243">SUM(S49:AD49)</f>
        <v>0</v>
      </c>
      <c r="AG49" s="26"/>
      <c r="AH49" s="26"/>
      <c r="AI49" s="26"/>
      <c r="AJ49" s="26"/>
      <c r="AK49" s="26"/>
      <c r="AL49" s="26"/>
      <c r="AM49" s="26"/>
      <c r="AN49" s="26"/>
      <c r="AO49" s="26"/>
      <c r="AP49" s="26"/>
      <c r="AQ49" s="26"/>
      <c r="AR49" s="26"/>
      <c r="AS49" s="28">
        <f t="shared" ref="AS49:AS54" si="244">SUM(AG49:AR49)</f>
        <v>0</v>
      </c>
      <c r="AU49" s="26"/>
      <c r="AV49" s="26"/>
      <c r="AW49" s="26"/>
      <c r="AX49" s="26"/>
      <c r="AY49" s="26"/>
      <c r="AZ49" s="26"/>
      <c r="BA49" s="26"/>
      <c r="BB49" s="26"/>
      <c r="BC49" s="26"/>
      <c r="BD49" s="26"/>
      <c r="BE49" s="26"/>
      <c r="BF49" s="26"/>
      <c r="BG49" s="28">
        <f t="shared" ref="BG49:BG54" si="245">SUM(AU49:BF49)</f>
        <v>0</v>
      </c>
      <c r="BI49" s="26"/>
      <c r="BJ49" s="26"/>
      <c r="BK49" s="26"/>
      <c r="BL49" s="26"/>
      <c r="BM49" s="26"/>
      <c r="BN49" s="26"/>
      <c r="BO49" s="26"/>
      <c r="BP49" s="26"/>
      <c r="BQ49" s="26"/>
      <c r="BR49" s="26"/>
      <c r="BS49" s="26"/>
      <c r="BT49" s="26"/>
      <c r="BU49" s="28">
        <f t="shared" ref="BU49:BU54" si="246">SUM(BI49:BT49)</f>
        <v>0</v>
      </c>
      <c r="BW49" s="26"/>
      <c r="BX49" s="26"/>
      <c r="BY49" s="26"/>
      <c r="BZ49" s="26"/>
      <c r="CA49" s="26"/>
      <c r="CB49" s="26"/>
      <c r="CC49" s="26"/>
      <c r="CD49" s="26"/>
      <c r="CE49" s="26"/>
      <c r="CF49" s="26"/>
      <c r="CG49" s="26"/>
      <c r="CH49" s="26"/>
      <c r="CI49" s="28">
        <f t="shared" ref="CI49:CI54" si="247">SUM(BW49:CH49)</f>
        <v>0</v>
      </c>
    </row>
    <row r="50" spans="3:87" hidden="1" x14ac:dyDescent="0.3">
      <c r="C50" s="25" t="s">
        <v>21</v>
      </c>
      <c r="E50" s="26"/>
      <c r="F50" s="26"/>
      <c r="G50" s="26"/>
      <c r="H50" s="26"/>
      <c r="I50" s="26"/>
      <c r="J50" s="26"/>
      <c r="K50" s="26"/>
      <c r="L50" s="26"/>
      <c r="M50" s="26"/>
      <c r="N50" s="26"/>
      <c r="O50" s="26"/>
      <c r="P50" s="26"/>
      <c r="Q50" s="28">
        <f t="shared" si="242"/>
        <v>0</v>
      </c>
      <c r="S50" s="26"/>
      <c r="T50" s="26"/>
      <c r="U50" s="26"/>
      <c r="V50" s="26"/>
      <c r="W50" s="26"/>
      <c r="X50" s="26"/>
      <c r="Y50" s="26"/>
      <c r="Z50" s="26"/>
      <c r="AA50" s="26"/>
      <c r="AB50" s="26"/>
      <c r="AC50" s="26"/>
      <c r="AD50" s="26"/>
      <c r="AE50" s="28">
        <f t="shared" si="243"/>
        <v>0</v>
      </c>
      <c r="AG50" s="26"/>
      <c r="AH50" s="26"/>
      <c r="AI50" s="26"/>
      <c r="AJ50" s="26"/>
      <c r="AK50" s="26"/>
      <c r="AL50" s="26"/>
      <c r="AM50" s="26"/>
      <c r="AN50" s="26"/>
      <c r="AO50" s="26"/>
      <c r="AP50" s="26"/>
      <c r="AQ50" s="26"/>
      <c r="AR50" s="26"/>
      <c r="AS50" s="28">
        <f t="shared" si="244"/>
        <v>0</v>
      </c>
      <c r="AU50" s="26"/>
      <c r="AV50" s="26"/>
      <c r="AW50" s="26"/>
      <c r="AX50" s="26"/>
      <c r="AY50" s="26"/>
      <c r="AZ50" s="26"/>
      <c r="BA50" s="26"/>
      <c r="BB50" s="26"/>
      <c r="BC50" s="26"/>
      <c r="BD50" s="26"/>
      <c r="BE50" s="26"/>
      <c r="BF50" s="26"/>
      <c r="BG50" s="28">
        <f t="shared" si="245"/>
        <v>0</v>
      </c>
      <c r="BI50" s="26"/>
      <c r="BJ50" s="26"/>
      <c r="BK50" s="26"/>
      <c r="BL50" s="26"/>
      <c r="BM50" s="26"/>
      <c r="BN50" s="26"/>
      <c r="BO50" s="26"/>
      <c r="BP50" s="26"/>
      <c r="BQ50" s="26"/>
      <c r="BR50" s="26"/>
      <c r="BS50" s="26"/>
      <c r="BT50" s="26"/>
      <c r="BU50" s="28">
        <f t="shared" si="246"/>
        <v>0</v>
      </c>
      <c r="BW50" s="26"/>
      <c r="BX50" s="26"/>
      <c r="BY50" s="26"/>
      <c r="BZ50" s="26"/>
      <c r="CA50" s="26"/>
      <c r="CB50" s="26"/>
      <c r="CC50" s="26"/>
      <c r="CD50" s="26"/>
      <c r="CE50" s="26"/>
      <c r="CF50" s="26"/>
      <c r="CG50" s="26"/>
      <c r="CH50" s="26"/>
      <c r="CI50" s="28">
        <f t="shared" si="247"/>
        <v>0</v>
      </c>
    </row>
    <row r="51" spans="3:87" hidden="1" x14ac:dyDescent="0.3">
      <c r="C51" s="25" t="s">
        <v>21</v>
      </c>
      <c r="E51" s="26"/>
      <c r="F51" s="26"/>
      <c r="G51" s="26"/>
      <c r="H51" s="26"/>
      <c r="I51" s="26"/>
      <c r="J51" s="26"/>
      <c r="K51" s="26"/>
      <c r="L51" s="26"/>
      <c r="M51" s="26"/>
      <c r="N51" s="26"/>
      <c r="O51" s="26"/>
      <c r="P51" s="26"/>
      <c r="Q51" s="28">
        <f t="shared" si="242"/>
        <v>0</v>
      </c>
      <c r="S51" s="26"/>
      <c r="T51" s="26"/>
      <c r="U51" s="26"/>
      <c r="V51" s="26"/>
      <c r="W51" s="26"/>
      <c r="X51" s="26"/>
      <c r="Y51" s="26"/>
      <c r="Z51" s="26"/>
      <c r="AA51" s="26"/>
      <c r="AB51" s="26"/>
      <c r="AC51" s="26"/>
      <c r="AD51" s="26"/>
      <c r="AE51" s="28">
        <f t="shared" si="243"/>
        <v>0</v>
      </c>
      <c r="AG51" s="26"/>
      <c r="AH51" s="26"/>
      <c r="AI51" s="26"/>
      <c r="AJ51" s="26"/>
      <c r="AK51" s="26"/>
      <c r="AL51" s="26"/>
      <c r="AM51" s="26"/>
      <c r="AN51" s="26"/>
      <c r="AO51" s="26"/>
      <c r="AP51" s="26"/>
      <c r="AQ51" s="26"/>
      <c r="AR51" s="26"/>
      <c r="AS51" s="28">
        <f t="shared" si="244"/>
        <v>0</v>
      </c>
      <c r="AU51" s="26"/>
      <c r="AV51" s="26"/>
      <c r="AW51" s="26"/>
      <c r="AX51" s="26"/>
      <c r="AY51" s="26"/>
      <c r="AZ51" s="26"/>
      <c r="BA51" s="26"/>
      <c r="BB51" s="26"/>
      <c r="BC51" s="26"/>
      <c r="BD51" s="26"/>
      <c r="BE51" s="26"/>
      <c r="BF51" s="26"/>
      <c r="BG51" s="28">
        <f t="shared" si="245"/>
        <v>0</v>
      </c>
      <c r="BI51" s="26"/>
      <c r="BJ51" s="26"/>
      <c r="BK51" s="26"/>
      <c r="BL51" s="26"/>
      <c r="BM51" s="26"/>
      <c r="BN51" s="26"/>
      <c r="BO51" s="26"/>
      <c r="BP51" s="26"/>
      <c r="BQ51" s="26"/>
      <c r="BR51" s="26"/>
      <c r="BS51" s="26"/>
      <c r="BT51" s="26"/>
      <c r="BU51" s="28">
        <f t="shared" si="246"/>
        <v>0</v>
      </c>
      <c r="BW51" s="26"/>
      <c r="BX51" s="26"/>
      <c r="BY51" s="26"/>
      <c r="BZ51" s="26"/>
      <c r="CA51" s="26"/>
      <c r="CB51" s="26"/>
      <c r="CC51" s="26"/>
      <c r="CD51" s="26"/>
      <c r="CE51" s="26"/>
      <c r="CF51" s="26"/>
      <c r="CG51" s="26"/>
      <c r="CH51" s="26"/>
      <c r="CI51" s="28">
        <f t="shared" si="247"/>
        <v>0</v>
      </c>
    </row>
    <row r="52" spans="3:87" hidden="1" x14ac:dyDescent="0.3">
      <c r="C52" s="25" t="s">
        <v>21</v>
      </c>
      <c r="E52" s="26"/>
      <c r="F52" s="26"/>
      <c r="G52" s="26"/>
      <c r="H52" s="26"/>
      <c r="I52" s="26"/>
      <c r="J52" s="26"/>
      <c r="K52" s="26"/>
      <c r="L52" s="26"/>
      <c r="M52" s="26"/>
      <c r="N52" s="26"/>
      <c r="O52" s="26"/>
      <c r="P52" s="26"/>
      <c r="Q52" s="28">
        <f t="shared" si="242"/>
        <v>0</v>
      </c>
      <c r="S52" s="26"/>
      <c r="T52" s="26"/>
      <c r="U52" s="26"/>
      <c r="V52" s="26"/>
      <c r="W52" s="26"/>
      <c r="X52" s="26"/>
      <c r="Y52" s="26"/>
      <c r="Z52" s="26"/>
      <c r="AA52" s="26"/>
      <c r="AB52" s="26"/>
      <c r="AC52" s="26"/>
      <c r="AD52" s="26"/>
      <c r="AE52" s="28">
        <f t="shared" si="243"/>
        <v>0</v>
      </c>
      <c r="AG52" s="26"/>
      <c r="AH52" s="26"/>
      <c r="AI52" s="26"/>
      <c r="AJ52" s="26"/>
      <c r="AK52" s="26"/>
      <c r="AL52" s="26"/>
      <c r="AM52" s="26"/>
      <c r="AN52" s="26"/>
      <c r="AO52" s="26"/>
      <c r="AP52" s="26"/>
      <c r="AQ52" s="26"/>
      <c r="AR52" s="26"/>
      <c r="AS52" s="28">
        <f t="shared" si="244"/>
        <v>0</v>
      </c>
      <c r="AU52" s="26"/>
      <c r="AV52" s="26"/>
      <c r="AW52" s="26"/>
      <c r="AX52" s="26"/>
      <c r="AY52" s="26"/>
      <c r="AZ52" s="26"/>
      <c r="BA52" s="26"/>
      <c r="BB52" s="26"/>
      <c r="BC52" s="26"/>
      <c r="BD52" s="26"/>
      <c r="BE52" s="26"/>
      <c r="BF52" s="26"/>
      <c r="BG52" s="28">
        <f t="shared" si="245"/>
        <v>0</v>
      </c>
      <c r="BI52" s="26"/>
      <c r="BJ52" s="26"/>
      <c r="BK52" s="26"/>
      <c r="BL52" s="26"/>
      <c r="BM52" s="26"/>
      <c r="BN52" s="26"/>
      <c r="BO52" s="26"/>
      <c r="BP52" s="26"/>
      <c r="BQ52" s="26"/>
      <c r="BR52" s="26"/>
      <c r="BS52" s="26"/>
      <c r="BT52" s="26"/>
      <c r="BU52" s="28">
        <f t="shared" si="246"/>
        <v>0</v>
      </c>
      <c r="BW52" s="26"/>
      <c r="BX52" s="26"/>
      <c r="BY52" s="26"/>
      <c r="BZ52" s="26"/>
      <c r="CA52" s="26"/>
      <c r="CB52" s="26"/>
      <c r="CC52" s="26"/>
      <c r="CD52" s="26"/>
      <c r="CE52" s="26"/>
      <c r="CF52" s="26"/>
      <c r="CG52" s="26"/>
      <c r="CH52" s="26"/>
      <c r="CI52" s="28">
        <f t="shared" si="247"/>
        <v>0</v>
      </c>
    </row>
    <row r="53" spans="3:87" hidden="1" x14ac:dyDescent="0.3">
      <c r="C53" s="25" t="s">
        <v>21</v>
      </c>
      <c r="E53" s="26"/>
      <c r="F53" s="26"/>
      <c r="G53" s="26"/>
      <c r="H53" s="26"/>
      <c r="I53" s="26"/>
      <c r="J53" s="26"/>
      <c r="K53" s="26"/>
      <c r="L53" s="26"/>
      <c r="M53" s="26"/>
      <c r="N53" s="26"/>
      <c r="O53" s="26"/>
      <c r="P53" s="26"/>
      <c r="Q53" s="28">
        <f t="shared" si="242"/>
        <v>0</v>
      </c>
      <c r="S53" s="26"/>
      <c r="T53" s="26"/>
      <c r="U53" s="26"/>
      <c r="V53" s="26"/>
      <c r="W53" s="26"/>
      <c r="X53" s="26"/>
      <c r="Y53" s="26"/>
      <c r="Z53" s="26"/>
      <c r="AA53" s="26"/>
      <c r="AB53" s="26"/>
      <c r="AC53" s="26"/>
      <c r="AD53" s="26"/>
      <c r="AE53" s="28">
        <f t="shared" si="243"/>
        <v>0</v>
      </c>
      <c r="AG53" s="26"/>
      <c r="AH53" s="26"/>
      <c r="AI53" s="26"/>
      <c r="AJ53" s="26"/>
      <c r="AK53" s="26"/>
      <c r="AL53" s="26"/>
      <c r="AM53" s="26"/>
      <c r="AN53" s="26"/>
      <c r="AO53" s="26"/>
      <c r="AP53" s="26"/>
      <c r="AQ53" s="26"/>
      <c r="AR53" s="26"/>
      <c r="AS53" s="28">
        <f t="shared" si="244"/>
        <v>0</v>
      </c>
      <c r="AU53" s="26"/>
      <c r="AV53" s="26"/>
      <c r="AW53" s="26"/>
      <c r="AX53" s="26"/>
      <c r="AY53" s="26"/>
      <c r="AZ53" s="26"/>
      <c r="BA53" s="26"/>
      <c r="BB53" s="26"/>
      <c r="BC53" s="26"/>
      <c r="BD53" s="26"/>
      <c r="BE53" s="26"/>
      <c r="BF53" s="26"/>
      <c r="BG53" s="28">
        <f t="shared" si="245"/>
        <v>0</v>
      </c>
      <c r="BI53" s="26"/>
      <c r="BJ53" s="26"/>
      <c r="BK53" s="26"/>
      <c r="BL53" s="26"/>
      <c r="BM53" s="26"/>
      <c r="BN53" s="26"/>
      <c r="BO53" s="26"/>
      <c r="BP53" s="26"/>
      <c r="BQ53" s="26"/>
      <c r="BR53" s="26"/>
      <c r="BS53" s="26"/>
      <c r="BT53" s="26"/>
      <c r="BU53" s="28">
        <f t="shared" si="246"/>
        <v>0</v>
      </c>
      <c r="BW53" s="26"/>
      <c r="BX53" s="26"/>
      <c r="BY53" s="26"/>
      <c r="BZ53" s="26"/>
      <c r="CA53" s="26"/>
      <c r="CB53" s="26"/>
      <c r="CC53" s="26"/>
      <c r="CD53" s="26"/>
      <c r="CE53" s="26"/>
      <c r="CF53" s="26"/>
      <c r="CG53" s="26"/>
      <c r="CH53" s="26"/>
      <c r="CI53" s="28">
        <f t="shared" si="247"/>
        <v>0</v>
      </c>
    </row>
    <row r="54" spans="3:87" hidden="1" x14ac:dyDescent="0.3">
      <c r="C54" s="25" t="s">
        <v>21</v>
      </c>
      <c r="E54" s="26"/>
      <c r="F54" s="26"/>
      <c r="G54" s="26"/>
      <c r="H54" s="26"/>
      <c r="I54" s="26"/>
      <c r="J54" s="26"/>
      <c r="K54" s="26"/>
      <c r="L54" s="26"/>
      <c r="M54" s="26"/>
      <c r="N54" s="26"/>
      <c r="O54" s="26"/>
      <c r="P54" s="26"/>
      <c r="Q54" s="28">
        <f t="shared" si="242"/>
        <v>0</v>
      </c>
      <c r="S54" s="26"/>
      <c r="T54" s="26"/>
      <c r="U54" s="26"/>
      <c r="V54" s="26"/>
      <c r="W54" s="26"/>
      <c r="X54" s="26"/>
      <c r="Y54" s="26"/>
      <c r="Z54" s="26"/>
      <c r="AA54" s="26"/>
      <c r="AB54" s="26"/>
      <c r="AC54" s="26"/>
      <c r="AD54" s="26"/>
      <c r="AE54" s="28">
        <f t="shared" si="243"/>
        <v>0</v>
      </c>
      <c r="AG54" s="26"/>
      <c r="AH54" s="26"/>
      <c r="AI54" s="26"/>
      <c r="AJ54" s="26"/>
      <c r="AK54" s="26"/>
      <c r="AL54" s="26"/>
      <c r="AM54" s="26"/>
      <c r="AN54" s="26"/>
      <c r="AO54" s="26"/>
      <c r="AP54" s="26"/>
      <c r="AQ54" s="26"/>
      <c r="AR54" s="26"/>
      <c r="AS54" s="28">
        <f t="shared" si="244"/>
        <v>0</v>
      </c>
      <c r="AU54" s="26"/>
      <c r="AV54" s="26"/>
      <c r="AW54" s="26"/>
      <c r="AX54" s="26"/>
      <c r="AY54" s="26"/>
      <c r="AZ54" s="26"/>
      <c r="BA54" s="26"/>
      <c r="BB54" s="26"/>
      <c r="BC54" s="26"/>
      <c r="BD54" s="26"/>
      <c r="BE54" s="26"/>
      <c r="BF54" s="26"/>
      <c r="BG54" s="28">
        <f t="shared" si="245"/>
        <v>0</v>
      </c>
      <c r="BI54" s="26"/>
      <c r="BJ54" s="26"/>
      <c r="BK54" s="26"/>
      <c r="BL54" s="26"/>
      <c r="BM54" s="26"/>
      <c r="BN54" s="26"/>
      <c r="BO54" s="26"/>
      <c r="BP54" s="26"/>
      <c r="BQ54" s="26"/>
      <c r="BR54" s="26"/>
      <c r="BS54" s="26"/>
      <c r="BT54" s="26"/>
      <c r="BU54" s="28">
        <f t="shared" si="246"/>
        <v>0</v>
      </c>
      <c r="BW54" s="26"/>
      <c r="BX54" s="26"/>
      <c r="BY54" s="26"/>
      <c r="BZ54" s="26"/>
      <c r="CA54" s="26"/>
      <c r="CB54" s="26"/>
      <c r="CC54" s="26"/>
      <c r="CD54" s="26"/>
      <c r="CE54" s="26"/>
      <c r="CF54" s="26"/>
      <c r="CG54" s="26"/>
      <c r="CH54" s="26"/>
      <c r="CI54" s="28">
        <f t="shared" si="247"/>
        <v>0</v>
      </c>
    </row>
    <row r="55" spans="3:87" hidden="1" x14ac:dyDescent="0.3">
      <c r="C55" s="25" t="s">
        <v>21</v>
      </c>
      <c r="E55" s="26"/>
      <c r="F55" s="26"/>
      <c r="G55" s="26"/>
      <c r="H55" s="26"/>
      <c r="I55" s="26"/>
      <c r="J55" s="26"/>
      <c r="K55" s="26"/>
      <c r="L55" s="26"/>
      <c r="M55" s="26"/>
      <c r="N55" s="26"/>
      <c r="O55" s="26"/>
      <c r="P55" s="26"/>
      <c r="Q55" s="28">
        <f t="shared" si="240"/>
        <v>0</v>
      </c>
      <c r="S55" s="26"/>
      <c r="T55" s="26"/>
      <c r="U55" s="26"/>
      <c r="V55" s="26"/>
      <c r="W55" s="26"/>
      <c r="X55" s="26"/>
      <c r="Y55" s="26"/>
      <c r="Z55" s="26"/>
      <c r="AA55" s="26"/>
      <c r="AB55" s="26"/>
      <c r="AC55" s="26"/>
      <c r="AD55" s="26"/>
      <c r="AE55" s="28">
        <f t="shared" si="241"/>
        <v>0</v>
      </c>
      <c r="AG55" s="26"/>
      <c r="AH55" s="26"/>
      <c r="AI55" s="26"/>
      <c r="AJ55" s="26"/>
      <c r="AK55" s="26"/>
      <c r="AL55" s="26"/>
      <c r="AM55" s="26"/>
      <c r="AN55" s="26"/>
      <c r="AO55" s="26"/>
      <c r="AP55" s="26"/>
      <c r="AQ55" s="26"/>
      <c r="AR55" s="26"/>
      <c r="AS55" s="28">
        <f t="shared" si="236"/>
        <v>0</v>
      </c>
      <c r="AU55" s="26"/>
      <c r="AV55" s="26"/>
      <c r="AW55" s="26"/>
      <c r="AX55" s="26"/>
      <c r="AY55" s="26"/>
      <c r="AZ55" s="26"/>
      <c r="BA55" s="26"/>
      <c r="BB55" s="26"/>
      <c r="BC55" s="26"/>
      <c r="BD55" s="26"/>
      <c r="BE55" s="26"/>
      <c r="BF55" s="26"/>
      <c r="BG55" s="28">
        <f t="shared" si="237"/>
        <v>0</v>
      </c>
      <c r="BI55" s="26"/>
      <c r="BJ55" s="26"/>
      <c r="BK55" s="26"/>
      <c r="BL55" s="26"/>
      <c r="BM55" s="26"/>
      <c r="BN55" s="26"/>
      <c r="BO55" s="26"/>
      <c r="BP55" s="26"/>
      <c r="BQ55" s="26"/>
      <c r="BR55" s="26"/>
      <c r="BS55" s="26"/>
      <c r="BT55" s="26"/>
      <c r="BU55" s="28">
        <f t="shared" si="238"/>
        <v>0</v>
      </c>
      <c r="BW55" s="26"/>
      <c r="BX55" s="26"/>
      <c r="BY55" s="26"/>
      <c r="BZ55" s="26"/>
      <c r="CA55" s="26"/>
      <c r="CB55" s="26"/>
      <c r="CC55" s="26"/>
      <c r="CD55" s="26"/>
      <c r="CE55" s="26"/>
      <c r="CF55" s="26"/>
      <c r="CG55" s="26"/>
      <c r="CH55" s="26"/>
      <c r="CI55" s="28">
        <f t="shared" si="239"/>
        <v>0</v>
      </c>
    </row>
    <row r="56" spans="3:87" hidden="1" x14ac:dyDescent="0.3">
      <c r="C56" s="25" t="s">
        <v>21</v>
      </c>
      <c r="E56" s="26"/>
      <c r="F56" s="26"/>
      <c r="G56" s="26"/>
      <c r="H56" s="26"/>
      <c r="I56" s="26"/>
      <c r="J56" s="26"/>
      <c r="K56" s="26"/>
      <c r="L56" s="26"/>
      <c r="M56" s="26"/>
      <c r="N56" s="26"/>
      <c r="O56" s="26"/>
      <c r="P56" s="26"/>
      <c r="Q56" s="28">
        <f t="shared" si="240"/>
        <v>0</v>
      </c>
      <c r="S56" s="26"/>
      <c r="T56" s="26"/>
      <c r="U56" s="26"/>
      <c r="V56" s="26"/>
      <c r="W56" s="26"/>
      <c r="X56" s="26"/>
      <c r="Y56" s="26"/>
      <c r="Z56" s="26"/>
      <c r="AA56" s="26"/>
      <c r="AB56" s="26"/>
      <c r="AC56" s="26"/>
      <c r="AD56" s="26"/>
      <c r="AE56" s="28">
        <f t="shared" si="241"/>
        <v>0</v>
      </c>
      <c r="AG56" s="26"/>
      <c r="AH56" s="26"/>
      <c r="AI56" s="26"/>
      <c r="AJ56" s="26"/>
      <c r="AK56" s="26"/>
      <c r="AL56" s="26"/>
      <c r="AM56" s="26"/>
      <c r="AN56" s="26"/>
      <c r="AO56" s="26"/>
      <c r="AP56" s="26"/>
      <c r="AQ56" s="26"/>
      <c r="AR56" s="26"/>
      <c r="AS56" s="28">
        <f t="shared" si="236"/>
        <v>0</v>
      </c>
      <c r="AU56" s="26"/>
      <c r="AV56" s="26"/>
      <c r="AW56" s="26"/>
      <c r="AX56" s="26"/>
      <c r="AY56" s="26"/>
      <c r="AZ56" s="26"/>
      <c r="BA56" s="26"/>
      <c r="BB56" s="26"/>
      <c r="BC56" s="26"/>
      <c r="BD56" s="26"/>
      <c r="BE56" s="26"/>
      <c r="BF56" s="26"/>
      <c r="BG56" s="28">
        <f t="shared" si="237"/>
        <v>0</v>
      </c>
      <c r="BI56" s="26"/>
      <c r="BJ56" s="26"/>
      <c r="BK56" s="26"/>
      <c r="BL56" s="26"/>
      <c r="BM56" s="26"/>
      <c r="BN56" s="26"/>
      <c r="BO56" s="26"/>
      <c r="BP56" s="26"/>
      <c r="BQ56" s="26"/>
      <c r="BR56" s="26"/>
      <c r="BS56" s="26"/>
      <c r="BT56" s="26"/>
      <c r="BU56" s="28">
        <f t="shared" si="238"/>
        <v>0</v>
      </c>
      <c r="BW56" s="26"/>
      <c r="BX56" s="26"/>
      <c r="BY56" s="26"/>
      <c r="BZ56" s="26"/>
      <c r="CA56" s="26"/>
      <c r="CB56" s="26"/>
      <c r="CC56" s="26"/>
      <c r="CD56" s="26"/>
      <c r="CE56" s="26"/>
      <c r="CF56" s="26"/>
      <c r="CG56" s="26"/>
      <c r="CH56" s="26"/>
      <c r="CI56" s="28">
        <f t="shared" si="239"/>
        <v>0</v>
      </c>
    </row>
    <row r="57" spans="3:87" hidden="1" x14ac:dyDescent="0.3">
      <c r="C57" s="25" t="s">
        <v>21</v>
      </c>
      <c r="E57" s="26"/>
      <c r="F57" s="26"/>
      <c r="G57" s="26"/>
      <c r="H57" s="26"/>
      <c r="I57" s="26"/>
      <c r="J57" s="26"/>
      <c r="K57" s="26"/>
      <c r="L57" s="26"/>
      <c r="M57" s="26"/>
      <c r="N57" s="26"/>
      <c r="O57" s="26"/>
      <c r="P57" s="26"/>
      <c r="Q57" s="28">
        <f t="shared" si="240"/>
        <v>0</v>
      </c>
      <c r="S57" s="26"/>
      <c r="T57" s="26"/>
      <c r="U57" s="26"/>
      <c r="V57" s="26"/>
      <c r="W57" s="26"/>
      <c r="X57" s="26"/>
      <c r="Y57" s="26"/>
      <c r="Z57" s="26"/>
      <c r="AA57" s="26"/>
      <c r="AB57" s="26"/>
      <c r="AC57" s="26"/>
      <c r="AD57" s="26"/>
      <c r="AE57" s="28">
        <f t="shared" si="241"/>
        <v>0</v>
      </c>
      <c r="AG57" s="26"/>
      <c r="AH57" s="26"/>
      <c r="AI57" s="26"/>
      <c r="AJ57" s="26"/>
      <c r="AK57" s="26"/>
      <c r="AL57" s="26"/>
      <c r="AM57" s="26"/>
      <c r="AN57" s="26"/>
      <c r="AO57" s="26"/>
      <c r="AP57" s="26"/>
      <c r="AQ57" s="26"/>
      <c r="AR57" s="26"/>
      <c r="AS57" s="28">
        <f t="shared" si="236"/>
        <v>0</v>
      </c>
      <c r="AU57" s="26"/>
      <c r="AV57" s="26"/>
      <c r="AW57" s="26"/>
      <c r="AX57" s="26"/>
      <c r="AY57" s="26"/>
      <c r="AZ57" s="26"/>
      <c r="BA57" s="26"/>
      <c r="BB57" s="26"/>
      <c r="BC57" s="26"/>
      <c r="BD57" s="26"/>
      <c r="BE57" s="26"/>
      <c r="BF57" s="26"/>
      <c r="BG57" s="28">
        <f t="shared" si="237"/>
        <v>0</v>
      </c>
      <c r="BI57" s="26"/>
      <c r="BJ57" s="26"/>
      <c r="BK57" s="26"/>
      <c r="BL57" s="26"/>
      <c r="BM57" s="26"/>
      <c r="BN57" s="26"/>
      <c r="BO57" s="26"/>
      <c r="BP57" s="26"/>
      <c r="BQ57" s="26"/>
      <c r="BR57" s="26"/>
      <c r="BS57" s="26"/>
      <c r="BT57" s="26"/>
      <c r="BU57" s="28">
        <f t="shared" si="238"/>
        <v>0</v>
      </c>
      <c r="BW57" s="26"/>
      <c r="BX57" s="26"/>
      <c r="BY57" s="26"/>
      <c r="BZ57" s="26"/>
      <c r="CA57" s="26"/>
      <c r="CB57" s="26"/>
      <c r="CC57" s="26"/>
      <c r="CD57" s="26"/>
      <c r="CE57" s="26"/>
      <c r="CF57" s="26"/>
      <c r="CG57" s="26"/>
      <c r="CH57" s="26"/>
      <c r="CI57" s="28">
        <f t="shared" si="239"/>
        <v>0</v>
      </c>
    </row>
    <row r="58" spans="3:87" hidden="1" x14ac:dyDescent="0.3">
      <c r="C58" s="25" t="s">
        <v>21</v>
      </c>
      <c r="E58" s="26"/>
      <c r="F58" s="26"/>
      <c r="G58" s="26"/>
      <c r="H58" s="26"/>
      <c r="I58" s="26"/>
      <c r="J58" s="26"/>
      <c r="K58" s="26"/>
      <c r="L58" s="26"/>
      <c r="M58" s="26"/>
      <c r="N58" s="26"/>
      <c r="O58" s="26"/>
      <c r="P58" s="26"/>
      <c r="Q58" s="28">
        <f t="shared" si="240"/>
        <v>0</v>
      </c>
      <c r="S58" s="26"/>
      <c r="T58" s="26"/>
      <c r="U58" s="26"/>
      <c r="V58" s="26"/>
      <c r="W58" s="26"/>
      <c r="X58" s="26"/>
      <c r="Y58" s="26"/>
      <c r="Z58" s="26"/>
      <c r="AA58" s="26"/>
      <c r="AB58" s="26"/>
      <c r="AC58" s="26"/>
      <c r="AD58" s="26"/>
      <c r="AE58" s="28">
        <f t="shared" si="241"/>
        <v>0</v>
      </c>
      <c r="AG58" s="26"/>
      <c r="AH58" s="26"/>
      <c r="AI58" s="26"/>
      <c r="AJ58" s="26"/>
      <c r="AK58" s="26"/>
      <c r="AL58" s="26"/>
      <c r="AM58" s="26"/>
      <c r="AN58" s="26"/>
      <c r="AO58" s="26"/>
      <c r="AP58" s="26"/>
      <c r="AQ58" s="26"/>
      <c r="AR58" s="26"/>
      <c r="AS58" s="28">
        <f t="shared" si="236"/>
        <v>0</v>
      </c>
      <c r="AU58" s="26"/>
      <c r="AV58" s="26"/>
      <c r="AW58" s="26"/>
      <c r="AX58" s="26"/>
      <c r="AY58" s="26"/>
      <c r="AZ58" s="26"/>
      <c r="BA58" s="26"/>
      <c r="BB58" s="26"/>
      <c r="BC58" s="26"/>
      <c r="BD58" s="26"/>
      <c r="BE58" s="26"/>
      <c r="BF58" s="26"/>
      <c r="BG58" s="28">
        <f t="shared" si="237"/>
        <v>0</v>
      </c>
      <c r="BI58" s="26"/>
      <c r="BJ58" s="26"/>
      <c r="BK58" s="26"/>
      <c r="BL58" s="26"/>
      <c r="BM58" s="26"/>
      <c r="BN58" s="26"/>
      <c r="BO58" s="26"/>
      <c r="BP58" s="26"/>
      <c r="BQ58" s="26"/>
      <c r="BR58" s="26"/>
      <c r="BS58" s="26"/>
      <c r="BT58" s="26"/>
      <c r="BU58" s="28">
        <f t="shared" si="238"/>
        <v>0</v>
      </c>
      <c r="BW58" s="26"/>
      <c r="BX58" s="26"/>
      <c r="BY58" s="26"/>
      <c r="BZ58" s="26"/>
      <c r="CA58" s="26"/>
      <c r="CB58" s="26"/>
      <c r="CC58" s="26"/>
      <c r="CD58" s="26"/>
      <c r="CE58" s="26"/>
      <c r="CF58" s="26"/>
      <c r="CG58" s="26"/>
      <c r="CH58" s="26"/>
      <c r="CI58" s="28">
        <f t="shared" si="239"/>
        <v>0</v>
      </c>
    </row>
    <row r="59" spans="3:87" x14ac:dyDescent="0.3">
      <c r="C59" s="20" t="s">
        <v>8</v>
      </c>
      <c r="E59" s="27" cm="1">
        <f t="array" aca="1" ref="E59" ca="1">SUM(INDIRECT(ADDRESS(savings_min_row,COLUMN()) &amp; ":" &amp; ADDRESS(savings_max_row,COLUMN())))</f>
        <v>1750</v>
      </c>
      <c r="F59" s="27" cm="1">
        <f t="array" aca="1" ref="F59" ca="1">SUM(INDIRECT(ADDRESS(savings_min_row,COLUMN()) &amp; ":" &amp; ADDRESS(savings_max_row,COLUMN())))</f>
        <v>1650</v>
      </c>
      <c r="G59" s="27" cm="1">
        <f t="array" aca="1" ref="G59" ca="1">SUM(INDIRECT(ADDRESS(savings_min_row,COLUMN()) &amp; ":" &amp; ADDRESS(savings_max_row,COLUMN())))</f>
        <v>1550</v>
      </c>
      <c r="H59" s="27" cm="1">
        <f t="array" aca="1" ref="H59" ca="1">SUM(INDIRECT(ADDRESS(savings_min_row,COLUMN()) &amp; ":" &amp; ADDRESS(savings_max_row,COLUMN())))</f>
        <v>1850</v>
      </c>
      <c r="I59" s="27" cm="1">
        <f t="array" aca="1" ref="I59" ca="1">SUM(INDIRECT(ADDRESS(savings_min_row,COLUMN()) &amp; ":" &amp; ADDRESS(savings_max_row,COLUMN())))</f>
        <v>2650</v>
      </c>
      <c r="J59" s="27" cm="1">
        <f t="array" aca="1" ref="J59" ca="1">SUM(INDIRECT(ADDRESS(savings_min_row,COLUMN()) &amp; ":" &amp; ADDRESS(savings_max_row,COLUMN())))</f>
        <v>2550</v>
      </c>
      <c r="K59" s="27" cm="1">
        <f t="array" aca="1" ref="K59" ca="1">SUM(INDIRECT(ADDRESS(savings_min_row,COLUMN()) &amp; ":" &amp; ADDRESS(savings_max_row,COLUMN())))</f>
        <v>2750</v>
      </c>
      <c r="L59" s="27" cm="1">
        <f t="array" aca="1" ref="L59" ca="1">SUM(INDIRECT(ADDRESS(savings_min_row,COLUMN()) &amp; ":" &amp; ADDRESS(savings_max_row,COLUMN())))</f>
        <v>1450</v>
      </c>
      <c r="M59" s="27" cm="1">
        <f t="array" aca="1" ref="M59" ca="1">SUM(INDIRECT(ADDRESS(savings_min_row,COLUMN()) &amp; ":" &amp; ADDRESS(savings_max_row,COLUMN())))</f>
        <v>2550</v>
      </c>
      <c r="N59" s="27" cm="1">
        <f t="array" aca="1" ref="N59" ca="1">SUM(INDIRECT(ADDRESS(savings_min_row,COLUMN()) &amp; ":" &amp; ADDRESS(savings_max_row,COLUMN())))</f>
        <v>2750</v>
      </c>
      <c r="O59" s="27" cm="1">
        <f t="array" aca="1" ref="O59" ca="1">SUM(INDIRECT(ADDRESS(savings_min_row,COLUMN()) &amp; ":" &amp; ADDRESS(savings_max_row,COLUMN())))</f>
        <v>2650</v>
      </c>
      <c r="P59" s="27" cm="1">
        <f t="array" aca="1" ref="P59" ca="1">SUM(INDIRECT(ADDRESS(savings_min_row,COLUMN()) &amp; ":" &amp; ADDRESS(savings_max_row,COLUMN())))</f>
        <v>2250</v>
      </c>
      <c r="Q59" s="27" cm="1">
        <f t="array" aca="1" ref="Q59" ca="1">SUM(INDIRECT(ADDRESS(savings_min_row,COLUMN()) &amp; ":" &amp; ADDRESS(savings_max_row,COLUMN())))</f>
        <v>26400</v>
      </c>
      <c r="S59" s="27" cm="1">
        <f t="array" aca="1" ref="S59" ca="1">SUM(INDIRECT(ADDRESS(savings_min_row,COLUMN()) &amp; ":" &amp; ADDRESS(savings_max_row,COLUMN())))</f>
        <v>0</v>
      </c>
      <c r="T59" s="27" cm="1">
        <f t="array" aca="1" ref="T59" ca="1">SUM(INDIRECT(ADDRESS(savings_min_row,COLUMN()) &amp; ":" &amp; ADDRESS(savings_max_row,COLUMN())))</f>
        <v>0</v>
      </c>
      <c r="U59" s="27" cm="1">
        <f t="array" aca="1" ref="U59" ca="1">SUM(INDIRECT(ADDRESS(savings_min_row,COLUMN()) &amp; ":" &amp; ADDRESS(savings_max_row,COLUMN())))</f>
        <v>0</v>
      </c>
      <c r="V59" s="27" cm="1">
        <f t="array" aca="1" ref="V59" ca="1">SUM(INDIRECT(ADDRESS(savings_min_row,COLUMN()) &amp; ":" &amp; ADDRESS(savings_max_row,COLUMN())))</f>
        <v>0</v>
      </c>
      <c r="W59" s="27" cm="1">
        <f t="array" aca="1" ref="W59" ca="1">SUM(INDIRECT(ADDRESS(savings_min_row,COLUMN()) &amp; ":" &amp; ADDRESS(savings_max_row,COLUMN())))</f>
        <v>0</v>
      </c>
      <c r="X59" s="27" cm="1">
        <f t="array" aca="1" ref="X59" ca="1">SUM(INDIRECT(ADDRESS(savings_min_row,COLUMN()) &amp; ":" &amp; ADDRESS(savings_max_row,COLUMN())))</f>
        <v>0</v>
      </c>
      <c r="Y59" s="27" cm="1">
        <f t="array" aca="1" ref="Y59" ca="1">SUM(INDIRECT(ADDRESS(savings_min_row,COLUMN()) &amp; ":" &amp; ADDRESS(savings_max_row,COLUMN())))</f>
        <v>0</v>
      </c>
      <c r="Z59" s="27" cm="1">
        <f t="array" aca="1" ref="Z59" ca="1">SUM(INDIRECT(ADDRESS(savings_min_row,COLUMN()) &amp; ":" &amp; ADDRESS(savings_max_row,COLUMN())))</f>
        <v>0</v>
      </c>
      <c r="AA59" s="27" cm="1">
        <f t="array" aca="1" ref="AA59" ca="1">SUM(INDIRECT(ADDRESS(savings_min_row,COLUMN()) &amp; ":" &amp; ADDRESS(savings_max_row,COLUMN())))</f>
        <v>0</v>
      </c>
      <c r="AB59" s="27" cm="1">
        <f t="array" aca="1" ref="AB59" ca="1">SUM(INDIRECT(ADDRESS(savings_min_row,COLUMN()) &amp; ":" &amp; ADDRESS(savings_max_row,COLUMN())))</f>
        <v>0</v>
      </c>
      <c r="AC59" s="27" cm="1">
        <f t="array" aca="1" ref="AC59" ca="1">SUM(INDIRECT(ADDRESS(savings_min_row,COLUMN()) &amp; ":" &amp; ADDRESS(savings_max_row,COLUMN())))</f>
        <v>0</v>
      </c>
      <c r="AD59" s="27" cm="1">
        <f t="array" aca="1" ref="AD59" ca="1">SUM(INDIRECT(ADDRESS(savings_min_row,COLUMN()) &amp; ":" &amp; ADDRESS(savings_max_row,COLUMN())))</f>
        <v>0</v>
      </c>
      <c r="AE59" s="27" cm="1">
        <f t="array" aca="1" ref="AE59" ca="1">SUM(INDIRECT(ADDRESS(savings_min_row,COLUMN()) &amp; ":" &amp; ADDRESS(savings_max_row,COLUMN())))</f>
        <v>0</v>
      </c>
      <c r="AG59" s="27" cm="1">
        <f t="array" aca="1" ref="AG59" ca="1">SUM(INDIRECT(ADDRESS(savings_min_row,COLUMN()) &amp; ":" &amp; ADDRESS(savings_max_row,COLUMN())))</f>
        <v>0</v>
      </c>
      <c r="AH59" s="27" cm="1">
        <f t="array" aca="1" ref="AH59" ca="1">SUM(INDIRECT(ADDRESS(savings_min_row,COLUMN()) &amp; ":" &amp; ADDRESS(savings_max_row,COLUMN())))</f>
        <v>0</v>
      </c>
      <c r="AI59" s="27" cm="1">
        <f t="array" aca="1" ref="AI59" ca="1">SUM(INDIRECT(ADDRESS(savings_min_row,COLUMN()) &amp; ":" &amp; ADDRESS(savings_max_row,COLUMN())))</f>
        <v>0</v>
      </c>
      <c r="AJ59" s="27" cm="1">
        <f t="array" aca="1" ref="AJ59" ca="1">SUM(INDIRECT(ADDRESS(savings_min_row,COLUMN()) &amp; ":" &amp; ADDRESS(savings_max_row,COLUMN())))</f>
        <v>0</v>
      </c>
      <c r="AK59" s="27" cm="1">
        <f t="array" aca="1" ref="AK59" ca="1">SUM(INDIRECT(ADDRESS(savings_min_row,COLUMN()) &amp; ":" &amp; ADDRESS(savings_max_row,COLUMN())))</f>
        <v>0</v>
      </c>
      <c r="AL59" s="27" cm="1">
        <f t="array" aca="1" ref="AL59" ca="1">SUM(INDIRECT(ADDRESS(savings_min_row,COLUMN()) &amp; ":" &amp; ADDRESS(savings_max_row,COLUMN())))</f>
        <v>0</v>
      </c>
      <c r="AM59" s="27" cm="1">
        <f t="array" aca="1" ref="AM59" ca="1">SUM(INDIRECT(ADDRESS(savings_min_row,COLUMN()) &amp; ":" &amp; ADDRESS(savings_max_row,COLUMN())))</f>
        <v>0</v>
      </c>
      <c r="AN59" s="27" cm="1">
        <f t="array" aca="1" ref="AN59" ca="1">SUM(INDIRECT(ADDRESS(savings_min_row,COLUMN()) &amp; ":" &amp; ADDRESS(savings_max_row,COLUMN())))</f>
        <v>0</v>
      </c>
      <c r="AO59" s="27" cm="1">
        <f t="array" aca="1" ref="AO59" ca="1">SUM(INDIRECT(ADDRESS(savings_min_row,COLUMN()) &amp; ":" &amp; ADDRESS(savings_max_row,COLUMN())))</f>
        <v>0</v>
      </c>
      <c r="AP59" s="27" cm="1">
        <f t="array" aca="1" ref="AP59" ca="1">SUM(INDIRECT(ADDRESS(savings_min_row,COLUMN()) &amp; ":" &amp; ADDRESS(savings_max_row,COLUMN())))</f>
        <v>0</v>
      </c>
      <c r="AQ59" s="27" cm="1">
        <f t="array" aca="1" ref="AQ59" ca="1">SUM(INDIRECT(ADDRESS(savings_min_row,COLUMN()) &amp; ":" &amp; ADDRESS(savings_max_row,COLUMN())))</f>
        <v>0</v>
      </c>
      <c r="AR59" s="27" cm="1">
        <f t="array" aca="1" ref="AR59" ca="1">SUM(INDIRECT(ADDRESS(savings_min_row,COLUMN()) &amp; ":" &amp; ADDRESS(savings_max_row,COLUMN())))</f>
        <v>0</v>
      </c>
      <c r="AS59" s="27" cm="1">
        <f t="array" aca="1" ref="AS59" ca="1">SUM(INDIRECT(ADDRESS(savings_min_row,COLUMN()) &amp; ":" &amp; ADDRESS(savings_max_row,COLUMN())))</f>
        <v>0</v>
      </c>
      <c r="AU59" s="27" cm="1">
        <f t="array" aca="1" ref="AU59" ca="1">SUM(INDIRECT(ADDRESS(savings_min_row,COLUMN()) &amp; ":" &amp; ADDRESS(savings_max_row,COLUMN())))</f>
        <v>0</v>
      </c>
      <c r="AV59" s="27" cm="1">
        <f t="array" aca="1" ref="AV59" ca="1">SUM(INDIRECT(ADDRESS(savings_min_row,COLUMN()) &amp; ":" &amp; ADDRESS(savings_max_row,COLUMN())))</f>
        <v>0</v>
      </c>
      <c r="AW59" s="27" cm="1">
        <f t="array" aca="1" ref="AW59" ca="1">SUM(INDIRECT(ADDRESS(savings_min_row,COLUMN()) &amp; ":" &amp; ADDRESS(savings_max_row,COLUMN())))</f>
        <v>0</v>
      </c>
      <c r="AX59" s="27" cm="1">
        <f t="array" aca="1" ref="AX59" ca="1">SUM(INDIRECT(ADDRESS(savings_min_row,COLUMN()) &amp; ":" &amp; ADDRESS(savings_max_row,COLUMN())))</f>
        <v>0</v>
      </c>
      <c r="AY59" s="27" cm="1">
        <f t="array" aca="1" ref="AY59" ca="1">SUM(INDIRECT(ADDRESS(savings_min_row,COLUMN()) &amp; ":" &amp; ADDRESS(savings_max_row,COLUMN())))</f>
        <v>0</v>
      </c>
      <c r="AZ59" s="27" cm="1">
        <f t="array" aca="1" ref="AZ59" ca="1">SUM(INDIRECT(ADDRESS(savings_min_row,COLUMN()) &amp; ":" &amp; ADDRESS(savings_max_row,COLUMN())))</f>
        <v>0</v>
      </c>
      <c r="BA59" s="27" cm="1">
        <f t="array" aca="1" ref="BA59" ca="1">SUM(INDIRECT(ADDRESS(savings_min_row,COLUMN()) &amp; ":" &amp; ADDRESS(savings_max_row,COLUMN())))</f>
        <v>0</v>
      </c>
      <c r="BB59" s="27" cm="1">
        <f t="array" aca="1" ref="BB59" ca="1">SUM(INDIRECT(ADDRESS(savings_min_row,COLUMN()) &amp; ":" &amp; ADDRESS(savings_max_row,COLUMN())))</f>
        <v>0</v>
      </c>
      <c r="BC59" s="27" cm="1">
        <f t="array" aca="1" ref="BC59" ca="1">SUM(INDIRECT(ADDRESS(savings_min_row,COLUMN()) &amp; ":" &amp; ADDRESS(savings_max_row,COLUMN())))</f>
        <v>0</v>
      </c>
      <c r="BD59" s="27" cm="1">
        <f t="array" aca="1" ref="BD59" ca="1">SUM(INDIRECT(ADDRESS(savings_min_row,COLUMN()) &amp; ":" &amp; ADDRESS(savings_max_row,COLUMN())))</f>
        <v>0</v>
      </c>
      <c r="BE59" s="27" cm="1">
        <f t="array" aca="1" ref="BE59" ca="1">SUM(INDIRECT(ADDRESS(savings_min_row,COLUMN()) &amp; ":" &amp; ADDRESS(savings_max_row,COLUMN())))</f>
        <v>0</v>
      </c>
      <c r="BF59" s="27" cm="1">
        <f t="array" aca="1" ref="BF59" ca="1">SUM(INDIRECT(ADDRESS(savings_min_row,COLUMN()) &amp; ":" &amp; ADDRESS(savings_max_row,COLUMN())))</f>
        <v>0</v>
      </c>
      <c r="BG59" s="27" cm="1">
        <f t="array" aca="1" ref="BG59" ca="1">SUM(INDIRECT(ADDRESS(savings_min_row,COLUMN()) &amp; ":" &amp; ADDRESS(savings_max_row,COLUMN())))</f>
        <v>0</v>
      </c>
      <c r="BI59" s="27" cm="1">
        <f t="array" aca="1" ref="BI59" ca="1">SUM(INDIRECT(ADDRESS(savings_min_row,COLUMN()) &amp; ":" &amp; ADDRESS(savings_max_row,COLUMN())))</f>
        <v>0</v>
      </c>
      <c r="BJ59" s="27" cm="1">
        <f t="array" aca="1" ref="BJ59" ca="1">SUM(INDIRECT(ADDRESS(savings_min_row,COLUMN()) &amp; ":" &amp; ADDRESS(savings_max_row,COLUMN())))</f>
        <v>0</v>
      </c>
      <c r="BK59" s="27" cm="1">
        <f t="array" aca="1" ref="BK59" ca="1">SUM(INDIRECT(ADDRESS(savings_min_row,COLUMN()) &amp; ":" &amp; ADDRESS(savings_max_row,COLUMN())))</f>
        <v>0</v>
      </c>
      <c r="BL59" s="27" cm="1">
        <f t="array" aca="1" ref="BL59" ca="1">SUM(INDIRECT(ADDRESS(savings_min_row,COLUMN()) &amp; ":" &amp; ADDRESS(savings_max_row,COLUMN())))</f>
        <v>0</v>
      </c>
      <c r="BM59" s="27" cm="1">
        <f t="array" aca="1" ref="BM59" ca="1">SUM(INDIRECT(ADDRESS(savings_min_row,COLUMN()) &amp; ":" &amp; ADDRESS(savings_max_row,COLUMN())))</f>
        <v>0</v>
      </c>
      <c r="BN59" s="27" cm="1">
        <f t="array" aca="1" ref="BN59" ca="1">SUM(INDIRECT(ADDRESS(savings_min_row,COLUMN()) &amp; ":" &amp; ADDRESS(savings_max_row,COLUMN())))</f>
        <v>0</v>
      </c>
      <c r="BO59" s="27" cm="1">
        <f t="array" aca="1" ref="BO59" ca="1">SUM(INDIRECT(ADDRESS(savings_min_row,COLUMN()) &amp; ":" &amp; ADDRESS(savings_max_row,COLUMN())))</f>
        <v>0</v>
      </c>
      <c r="BP59" s="27" cm="1">
        <f t="array" aca="1" ref="BP59" ca="1">SUM(INDIRECT(ADDRESS(savings_min_row,COLUMN()) &amp; ":" &amp; ADDRESS(savings_max_row,COLUMN())))</f>
        <v>0</v>
      </c>
      <c r="BQ59" s="27" cm="1">
        <f t="array" aca="1" ref="BQ59" ca="1">SUM(INDIRECT(ADDRESS(savings_min_row,COLUMN()) &amp; ":" &amp; ADDRESS(savings_max_row,COLUMN())))</f>
        <v>0</v>
      </c>
      <c r="BR59" s="27" cm="1">
        <f t="array" aca="1" ref="BR59" ca="1">SUM(INDIRECT(ADDRESS(savings_min_row,COLUMN()) &amp; ":" &amp; ADDRESS(savings_max_row,COLUMN())))</f>
        <v>0</v>
      </c>
      <c r="BS59" s="27" cm="1">
        <f t="array" aca="1" ref="BS59" ca="1">SUM(INDIRECT(ADDRESS(savings_min_row,COLUMN()) &amp; ":" &amp; ADDRESS(savings_max_row,COLUMN())))</f>
        <v>0</v>
      </c>
      <c r="BT59" s="27" cm="1">
        <f t="array" aca="1" ref="BT59" ca="1">SUM(INDIRECT(ADDRESS(savings_min_row,COLUMN()) &amp; ":" &amp; ADDRESS(savings_max_row,COLUMN())))</f>
        <v>0</v>
      </c>
      <c r="BU59" s="27" cm="1">
        <f t="array" aca="1" ref="BU59" ca="1">SUM(INDIRECT(ADDRESS(savings_min_row,COLUMN()) &amp; ":" &amp; ADDRESS(savings_max_row,COLUMN())))</f>
        <v>0</v>
      </c>
      <c r="BW59" s="27" cm="1">
        <f t="array" aca="1" ref="BW59" ca="1">SUM(INDIRECT(ADDRESS(savings_min_row,COLUMN()) &amp; ":" &amp; ADDRESS(savings_max_row,COLUMN())))</f>
        <v>0</v>
      </c>
      <c r="BX59" s="27" cm="1">
        <f t="array" aca="1" ref="BX59" ca="1">SUM(INDIRECT(ADDRESS(savings_min_row,COLUMN()) &amp; ":" &amp; ADDRESS(savings_max_row,COLUMN())))</f>
        <v>0</v>
      </c>
      <c r="BY59" s="27" cm="1">
        <f t="array" aca="1" ref="BY59" ca="1">SUM(INDIRECT(ADDRESS(savings_min_row,COLUMN()) &amp; ":" &amp; ADDRESS(savings_max_row,COLUMN())))</f>
        <v>0</v>
      </c>
      <c r="BZ59" s="27" cm="1">
        <f t="array" aca="1" ref="BZ59" ca="1">SUM(INDIRECT(ADDRESS(savings_min_row,COLUMN()) &amp; ":" &amp; ADDRESS(savings_max_row,COLUMN())))</f>
        <v>0</v>
      </c>
      <c r="CA59" s="27" cm="1">
        <f t="array" aca="1" ref="CA59" ca="1">SUM(INDIRECT(ADDRESS(savings_min_row,COLUMN()) &amp; ":" &amp; ADDRESS(savings_max_row,COLUMN())))</f>
        <v>0</v>
      </c>
      <c r="CB59" s="27" cm="1">
        <f t="array" aca="1" ref="CB59" ca="1">SUM(INDIRECT(ADDRESS(savings_min_row,COLUMN()) &amp; ":" &amp; ADDRESS(savings_max_row,COLUMN())))</f>
        <v>0</v>
      </c>
      <c r="CC59" s="27" cm="1">
        <f t="array" aca="1" ref="CC59" ca="1">SUM(INDIRECT(ADDRESS(savings_min_row,COLUMN()) &amp; ":" &amp; ADDRESS(savings_max_row,COLUMN())))</f>
        <v>0</v>
      </c>
      <c r="CD59" s="27" cm="1">
        <f t="array" aca="1" ref="CD59" ca="1">SUM(INDIRECT(ADDRESS(savings_min_row,COLUMN()) &amp; ":" &amp; ADDRESS(savings_max_row,COLUMN())))</f>
        <v>0</v>
      </c>
      <c r="CE59" s="27" cm="1">
        <f t="array" aca="1" ref="CE59" ca="1">SUM(INDIRECT(ADDRESS(savings_min_row,COLUMN()) &amp; ":" &amp; ADDRESS(savings_max_row,COLUMN())))</f>
        <v>0</v>
      </c>
      <c r="CF59" s="27" cm="1">
        <f t="array" aca="1" ref="CF59" ca="1">SUM(INDIRECT(ADDRESS(savings_min_row,COLUMN()) &amp; ":" &amp; ADDRESS(savings_max_row,COLUMN())))</f>
        <v>0</v>
      </c>
      <c r="CG59" s="27" cm="1">
        <f t="array" aca="1" ref="CG59" ca="1">SUM(INDIRECT(ADDRESS(savings_min_row,COLUMN()) &amp; ":" &amp; ADDRESS(savings_max_row,COLUMN())))</f>
        <v>0</v>
      </c>
      <c r="CH59" s="27" cm="1">
        <f t="array" aca="1" ref="CH59" ca="1">SUM(INDIRECT(ADDRESS(savings_min_row,COLUMN()) &amp; ":" &amp; ADDRESS(savings_max_row,COLUMN())))</f>
        <v>0</v>
      </c>
      <c r="CI59" s="27" cm="1">
        <f t="array" aca="1" ref="CI59" ca="1">SUM(INDIRECT(ADDRESS(savings_min_row,COLUMN()) &amp; ":" &amp; ADDRESS(savings_max_row,COLUMN())))</f>
        <v>0</v>
      </c>
    </row>
  </sheetData>
  <mergeCells count="7">
    <mergeCell ref="AG5:AS5"/>
    <mergeCell ref="AU5:BG5"/>
    <mergeCell ref="BI5:BU5"/>
    <mergeCell ref="BW5:CI5"/>
    <mergeCell ref="E5:Q5"/>
    <mergeCell ref="C1:E3"/>
    <mergeCell ref="S5:AE5"/>
  </mergeCells>
  <conditionalFormatting sqref="S11:AE21 AG11:AS21 AU11:BG21 BI11:BU21 BW11:CI21 E11:Q21 C11:C21">
    <cfRule type="expression" dxfId="33" priority="8">
      <formula>ROW(A11)&lt;=income_max_row</formula>
    </cfRule>
    <cfRule type="expression" priority="11">
      <formula>ROW</formula>
    </cfRule>
  </conditionalFormatting>
  <conditionalFormatting sqref="C25:C40 S25:AE40 AG25:AS40 AU25:BG40 BI25:BU40 BW25:CI40 E25:Q40">
    <cfRule type="expression" dxfId="32" priority="6">
      <formula>ROW(A25)&lt;=expenses_max_row</formula>
    </cfRule>
    <cfRule type="expression" priority="7">
      <formula>ROW</formula>
    </cfRule>
  </conditionalFormatting>
  <conditionalFormatting sqref="C44:C58 S44:AE58 AG44:AS58 AU44:BG58 BI44:BU58 BW44:CI58 E44:Q58">
    <cfRule type="expression" dxfId="31" priority="4">
      <formula>ROW(A44)&lt;=savings_max_row</formula>
    </cfRule>
    <cfRule type="expression" priority="5">
      <formula>ROW</formula>
    </cfRule>
  </conditionalFormatting>
  <conditionalFormatting sqref="E6:Q7 S6:AE7 AG6:AS7 AU6:BG7 BI6:BU7 BW6:CI7">
    <cfRule type="expression" dxfId="30" priority="1" stopIfTrue="1">
      <formula>AND(E$22=0, E$41=0, E$59=0)</formula>
    </cfRule>
    <cfRule type="expression" dxfId="29" priority="2" stopIfTrue="1">
      <formula>E$7=0</formula>
    </cfRule>
    <cfRule type="expression" dxfId="28" priority="3">
      <formula>E$7&lt;0</formula>
    </cfRule>
  </conditionalFormatting>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D85E-BE90-4752-8493-2E974CD9B4F6}">
  <dimension ref="A1:W70"/>
  <sheetViews>
    <sheetView showGridLines="0" zoomScale="90" zoomScaleNormal="90" workbookViewId="0">
      <pane ySplit="11" topLeftCell="A12" activePane="bottomLeft" state="frozen"/>
      <selection pane="bottomLeft" activeCell="P65" sqref="P65"/>
    </sheetView>
  </sheetViews>
  <sheetFormatPr defaultRowHeight="14.4" x14ac:dyDescent="0.3"/>
  <cols>
    <col min="1" max="1" width="4.5546875" customWidth="1"/>
    <col min="2" max="2" width="4.33203125" customWidth="1"/>
    <col min="3" max="4" width="13.21875" customWidth="1"/>
    <col min="5" max="5" width="31.6640625" customWidth="1"/>
    <col min="6" max="6" width="16.5546875" customWidth="1"/>
    <col min="7" max="7" width="22.5546875" customWidth="1"/>
    <col min="8" max="8" width="16.109375" customWidth="1"/>
    <col min="9" max="9" width="18.88671875" customWidth="1"/>
  </cols>
  <sheetData>
    <row r="1" spans="1:23" x14ac:dyDescent="0.3">
      <c r="A1" s="1"/>
      <c r="B1" s="1"/>
      <c r="C1" s="2" t="s">
        <v>31</v>
      </c>
      <c r="D1" s="2"/>
      <c r="E1" s="2"/>
      <c r="F1" s="2"/>
      <c r="G1" s="2"/>
      <c r="H1" s="2"/>
      <c r="I1" s="1"/>
      <c r="J1" s="1"/>
      <c r="K1" s="1"/>
      <c r="L1" s="1"/>
      <c r="M1" s="1"/>
      <c r="N1" s="1"/>
      <c r="O1" s="1"/>
      <c r="P1" s="1"/>
      <c r="Q1" s="1"/>
      <c r="R1" s="1"/>
      <c r="S1" s="1"/>
      <c r="T1" s="1"/>
      <c r="U1" s="1"/>
      <c r="V1" s="1"/>
      <c r="W1" s="1"/>
    </row>
    <row r="2" spans="1:23" x14ac:dyDescent="0.3">
      <c r="A2" s="1"/>
      <c r="B2" s="1"/>
      <c r="C2" s="2"/>
      <c r="D2" s="2"/>
      <c r="E2" s="2"/>
      <c r="F2" s="2"/>
      <c r="G2" s="2"/>
      <c r="H2" s="2"/>
      <c r="I2" s="1"/>
      <c r="J2" s="1"/>
      <c r="K2" s="1"/>
      <c r="L2" s="1"/>
      <c r="M2" s="1"/>
      <c r="N2" s="1"/>
      <c r="O2" s="1"/>
      <c r="P2" s="1"/>
      <c r="Q2" s="1"/>
      <c r="R2" s="1"/>
      <c r="S2" s="1"/>
      <c r="T2" s="1"/>
      <c r="U2" s="1"/>
      <c r="V2" s="1"/>
      <c r="W2" s="1"/>
    </row>
    <row r="3" spans="1:23" x14ac:dyDescent="0.3">
      <c r="A3" s="1"/>
      <c r="B3" s="1"/>
      <c r="C3" s="2"/>
      <c r="D3" s="2"/>
      <c r="E3" s="2"/>
      <c r="F3" s="2"/>
      <c r="G3" s="2"/>
      <c r="H3" s="2"/>
      <c r="I3" s="1"/>
      <c r="J3" s="1"/>
      <c r="K3" s="1"/>
      <c r="L3" s="1"/>
      <c r="M3" s="1"/>
      <c r="N3" s="1"/>
      <c r="O3" s="1"/>
      <c r="P3" s="1"/>
      <c r="Q3" s="1"/>
      <c r="R3" s="1"/>
      <c r="S3" s="1"/>
      <c r="T3" s="1"/>
      <c r="U3" s="1"/>
      <c r="V3" s="1"/>
      <c r="W3" s="1"/>
    </row>
    <row r="11" spans="1:23" x14ac:dyDescent="0.3">
      <c r="C11" s="38" t="s">
        <v>32</v>
      </c>
      <c r="D11" s="38" t="s">
        <v>33</v>
      </c>
      <c r="E11" s="38" t="s">
        <v>34</v>
      </c>
      <c r="F11" s="38" t="s">
        <v>35</v>
      </c>
      <c r="G11" s="38" t="s">
        <v>36</v>
      </c>
      <c r="H11" s="42" t="s">
        <v>37</v>
      </c>
      <c r="I11" s="42" t="s">
        <v>38</v>
      </c>
    </row>
    <row r="12" spans="1:23" x14ac:dyDescent="0.3">
      <c r="C12" s="39">
        <v>45285</v>
      </c>
      <c r="D12" s="19" t="s">
        <v>6</v>
      </c>
      <c r="E12" s="19" t="s">
        <v>9</v>
      </c>
      <c r="F12" s="40">
        <v>3500</v>
      </c>
      <c r="G12" s="41"/>
      <c r="H12" s="43" cm="1">
        <f t="array" ref="H12">SUMPRODUCT(Tracking[Amount], --(Tracking[Date]&lt;=Tracking[[#This Row],[Date]]), (Tracking[Type] &lt;&gt; "Income") * (-1) + (Tracking[Type] = "Income"))</f>
        <v>3500</v>
      </c>
      <c r="I12" s="46">
        <f>IF(AND(Tracking[[#This Row],[Type]]="Income", shift_late_income_status="Active", DAY(Tracking[[#This Row],[Date]])&gt;=shift_late_income_starting_day), DATE(YEAR(Tracking[[#This Row],[Date]]), MONTH(Tracking[[#This Row],[Date]])+1, 1), Tracking[[#This Row],[Date]])</f>
        <v>45292</v>
      </c>
      <c r="K12" s="69"/>
    </row>
    <row r="13" spans="1:23" x14ac:dyDescent="0.3">
      <c r="C13" s="39">
        <v>45293</v>
      </c>
      <c r="D13" s="19" t="s">
        <v>12</v>
      </c>
      <c r="E13" s="19" t="s">
        <v>13</v>
      </c>
      <c r="F13" s="40">
        <v>1200</v>
      </c>
      <c r="G13" s="41"/>
      <c r="H13" s="43" cm="1">
        <f t="array" ref="H13">SUMPRODUCT(Tracking[Amount], --(Tracking[Date]&lt;=Tracking[[#This Row],[Date]]), (Tracking[Type] &lt;&gt; "Income") * (-1) + (Tracking[Type] = "Income"))</f>
        <v>2300</v>
      </c>
      <c r="I13" s="46">
        <f>IF(AND(Tracking[[#This Row],[Type]]="Income", shift_late_income_status="Active", DAY(Tracking[[#This Row],[Date]])&gt;=shift_late_income_starting_day), DATE(YEAR(Tracking[[#This Row],[Date]]), MONTH(Tracking[[#This Row],[Date]])+1, 1), Tracking[[#This Row],[Date]])</f>
        <v>45293</v>
      </c>
    </row>
    <row r="14" spans="1:23" x14ac:dyDescent="0.3">
      <c r="C14" s="39">
        <v>45294</v>
      </c>
      <c r="D14" s="19" t="s">
        <v>12</v>
      </c>
      <c r="E14" s="19" t="s">
        <v>25</v>
      </c>
      <c r="F14" s="40">
        <v>150</v>
      </c>
      <c r="G14" s="41"/>
      <c r="H14" s="43" cm="1">
        <f t="array" ref="H14">SUMPRODUCT(Tracking[Amount], --(Tracking[Date]&lt;=Tracking[[#This Row],[Date]]), (Tracking[Type] &lt;&gt; "Income") * (-1) + (Tracking[Type] = "Income"))</f>
        <v>2150</v>
      </c>
      <c r="I14" s="46">
        <f>IF(AND(Tracking[[#This Row],[Type]]="Income", shift_late_income_status="Active", DAY(Tracking[[#This Row],[Date]])&gt;=shift_late_income_starting_day), DATE(YEAR(Tracking[[#This Row],[Date]]), MONTH(Tracking[[#This Row],[Date]])+1, 1), Tracking[[#This Row],[Date]])</f>
        <v>45294</v>
      </c>
    </row>
    <row r="15" spans="1:23" x14ac:dyDescent="0.3">
      <c r="C15" s="39">
        <v>45295</v>
      </c>
      <c r="D15" s="19" t="s">
        <v>17</v>
      </c>
      <c r="E15" s="19" t="s">
        <v>18</v>
      </c>
      <c r="F15" s="40">
        <v>1000</v>
      </c>
      <c r="G15" s="41"/>
      <c r="H15" s="43" cm="1">
        <f t="array" ref="H15">SUMPRODUCT(Tracking[Amount], --(Tracking[Date]&lt;=Tracking[[#This Row],[Date]]), (Tracking[Type] &lt;&gt; "Income") * (-1) + (Tracking[Type] = "Income"))</f>
        <v>1150</v>
      </c>
      <c r="I15" s="46">
        <f>IF(AND(Tracking[[#This Row],[Type]]="Income", shift_late_income_status="Active", DAY(Tracking[[#This Row],[Date]])&gt;=shift_late_income_starting_day), DATE(YEAR(Tracking[[#This Row],[Date]]), MONTH(Tracking[[#This Row],[Date]])+1, 1), Tracking[[#This Row],[Date]])</f>
        <v>45295</v>
      </c>
    </row>
    <row r="16" spans="1:23" x14ac:dyDescent="0.3">
      <c r="C16" s="39">
        <v>45316</v>
      </c>
      <c r="D16" s="19" t="s">
        <v>6</v>
      </c>
      <c r="E16" s="19" t="s">
        <v>9</v>
      </c>
      <c r="F16" s="40">
        <v>3500</v>
      </c>
      <c r="G16" s="41"/>
      <c r="H16" s="43" cm="1">
        <f t="array" ref="H16">SUMPRODUCT(Tracking[Amount], --(Tracking[Date]&lt;=Tracking[[#This Row],[Date]]), (Tracking[Type] &lt;&gt; "Income") * (-1) + (Tracking[Type] = "Income"))</f>
        <v>4780</v>
      </c>
      <c r="I16" s="46">
        <f>IF(AND(Tracking[[#This Row],[Type]]="Income", shift_late_income_status="Active", DAY(Tracking[[#This Row],[Date]])&gt;=shift_late_income_starting_day), DATE(YEAR(Tracking[[#This Row],[Date]]), MONTH(Tracking[[#This Row],[Date]])+1, 1), Tracking[[#This Row],[Date]])</f>
        <v>45323</v>
      </c>
    </row>
    <row r="17" spans="3:9" x14ac:dyDescent="0.3">
      <c r="C17" s="39">
        <v>45323</v>
      </c>
      <c r="D17" s="19" t="s">
        <v>12</v>
      </c>
      <c r="E17" s="19" t="s">
        <v>13</v>
      </c>
      <c r="F17" s="40">
        <v>1200</v>
      </c>
      <c r="G17" s="41"/>
      <c r="H17" s="43" cm="1">
        <f t="array" ref="H17">SUMPRODUCT(Tracking[Amount], --(Tracking[Date]&lt;=Tracking[[#This Row],[Date]]), (Tracking[Type] &lt;&gt; "Income") * (-1) + (Tracking[Type] = "Income"))</f>
        <v>2300</v>
      </c>
      <c r="I17" s="46">
        <f>IF(AND(Tracking[[#This Row],[Type]]="Income", shift_late_income_status="Active", DAY(Tracking[[#This Row],[Date]])&gt;=shift_late_income_starting_day), DATE(YEAR(Tracking[[#This Row],[Date]]), MONTH(Tracking[[#This Row],[Date]])+1, 1), Tracking[[#This Row],[Date]])</f>
        <v>45323</v>
      </c>
    </row>
    <row r="18" spans="3:9" x14ac:dyDescent="0.3">
      <c r="C18" s="39">
        <v>45324</v>
      </c>
      <c r="D18" s="19" t="s">
        <v>12</v>
      </c>
      <c r="E18" s="19" t="s">
        <v>14</v>
      </c>
      <c r="F18" s="40">
        <v>300</v>
      </c>
      <c r="G18" s="41"/>
      <c r="H18" s="43" cm="1">
        <f t="array" ref="H18">SUMPRODUCT(Tracking[Amount], --(Tracking[Date]&lt;=Tracking[[#This Row],[Date]]), (Tracking[Type] &lt;&gt; "Income") * (-1) + (Tracking[Type] = "Income"))</f>
        <v>2000</v>
      </c>
      <c r="I18" s="46">
        <f>IF(AND(Tracking[[#This Row],[Type]]="Income", shift_late_income_status="Active", DAY(Tracking[[#This Row],[Date]])&gt;=shift_late_income_starting_day), DATE(YEAR(Tracking[[#This Row],[Date]]), MONTH(Tracking[[#This Row],[Date]])+1, 1), Tracking[[#This Row],[Date]])</f>
        <v>45324</v>
      </c>
    </row>
    <row r="19" spans="3:9" x14ac:dyDescent="0.3">
      <c r="C19" s="39">
        <v>45327</v>
      </c>
      <c r="D19" s="19" t="s">
        <v>6</v>
      </c>
      <c r="E19" s="19" t="s">
        <v>10</v>
      </c>
      <c r="F19" s="40">
        <v>500</v>
      </c>
      <c r="G19" s="41"/>
      <c r="H19" s="43" cm="1">
        <f t="array" ref="H19">SUMPRODUCT(Tracking[Amount], --(Tracking[Date]&lt;=Tracking[[#This Row],[Date]]), (Tracking[Type] &lt;&gt; "Income") * (-1) + (Tracking[Type] = "Income"))</f>
        <v>2500</v>
      </c>
      <c r="I19" s="46">
        <f>IF(AND(Tracking[[#This Row],[Type]]="Income", shift_late_income_status="Active", DAY(Tracking[[#This Row],[Date]])&gt;=shift_late_income_starting_day), DATE(YEAR(Tracking[[#This Row],[Date]]), MONTH(Tracking[[#This Row],[Date]])+1, 1), Tracking[[#This Row],[Date]])</f>
        <v>45327</v>
      </c>
    </row>
    <row r="20" spans="3:9" x14ac:dyDescent="0.3">
      <c r="C20" s="39">
        <v>45296</v>
      </c>
      <c r="D20" s="19" t="s">
        <v>12</v>
      </c>
      <c r="E20" s="19" t="s">
        <v>14</v>
      </c>
      <c r="F20" s="40">
        <v>300</v>
      </c>
      <c r="G20" s="41"/>
      <c r="H20" s="43" cm="1">
        <f t="array" ref="H20">SUMPRODUCT(Tracking[Amount], --(Tracking[Date]&lt;=Tracking[[#This Row],[Date]]), (Tracking[Type] &lt;&gt; "Income") * (-1) + (Tracking[Type] = "Income"))</f>
        <v>850</v>
      </c>
      <c r="I20" s="46">
        <f>IF(AND(Tracking[[#This Row],[Type]]="Income", shift_late_income_status="Active", DAY(Tracking[[#This Row],[Date]])&gt;=shift_late_income_starting_day), DATE(YEAR(Tracking[[#This Row],[Date]]), MONTH(Tracking[[#This Row],[Date]])+1, 1), Tracking[[#This Row],[Date]])</f>
        <v>45296</v>
      </c>
    </row>
    <row r="21" spans="3:9" x14ac:dyDescent="0.3">
      <c r="C21" s="39">
        <v>45298</v>
      </c>
      <c r="D21" s="19" t="s">
        <v>12</v>
      </c>
      <c r="E21" s="19" t="s">
        <v>15</v>
      </c>
      <c r="F21" s="40">
        <v>120</v>
      </c>
      <c r="G21" s="41"/>
      <c r="H21" s="43" cm="1">
        <f t="array" ref="H21">SUMPRODUCT(Tracking[Amount], --(Tracking[Date]&lt;=Tracking[[#This Row],[Date]]), (Tracking[Type] &lt;&gt; "Income") * (-1) + (Tracking[Type] = "Income"))</f>
        <v>730</v>
      </c>
      <c r="I21" s="46">
        <f>IF(AND(Tracking[[#This Row],[Type]]="Income", shift_late_income_status="Active", DAY(Tracking[[#This Row],[Date]])&gt;=shift_late_income_starting_day), DATE(YEAR(Tracking[[#This Row],[Date]]), MONTH(Tracking[[#This Row],[Date]])+1, 1), Tracking[[#This Row],[Date]])</f>
        <v>45298</v>
      </c>
    </row>
    <row r="22" spans="3:9" x14ac:dyDescent="0.3">
      <c r="C22" s="39">
        <v>45300</v>
      </c>
      <c r="D22" s="19" t="s">
        <v>12</v>
      </c>
      <c r="E22" s="19" t="s">
        <v>23</v>
      </c>
      <c r="F22" s="40">
        <v>80</v>
      </c>
      <c r="G22" s="41"/>
      <c r="H22" s="43" cm="1">
        <f t="array" ref="H22">SUMPRODUCT(Tracking[Amount], --(Tracking[Date]&lt;=Tracking[[#This Row],[Date]]), (Tracking[Type] &lt;&gt; "Income") * (-1) + (Tracking[Type] = "Income"))</f>
        <v>650</v>
      </c>
      <c r="I22" s="46">
        <f>IF(AND(Tracking[[#This Row],[Type]]="Income", shift_late_income_status="Active", DAY(Tracking[[#This Row],[Date]])&gt;=shift_late_income_starting_day), DATE(YEAR(Tracking[[#This Row],[Date]]), MONTH(Tracking[[#This Row],[Date]])+1, 1), Tracking[[#This Row],[Date]])</f>
        <v>45300</v>
      </c>
    </row>
    <row r="23" spans="3:9" x14ac:dyDescent="0.3">
      <c r="C23" s="39">
        <v>45301</v>
      </c>
      <c r="D23" s="19" t="s">
        <v>12</v>
      </c>
      <c r="E23" s="19" t="s">
        <v>28</v>
      </c>
      <c r="F23" s="40">
        <v>120</v>
      </c>
      <c r="G23" s="41"/>
      <c r="H23" s="43" cm="1">
        <f t="array" ref="H23">SUMPRODUCT(Tracking[Amount], --(Tracking[Date]&lt;=Tracking[[#This Row],[Date]]), (Tracking[Type] &lt;&gt; "Income") * (-1) + (Tracking[Type] = "Income"))</f>
        <v>680</v>
      </c>
      <c r="I23" s="46">
        <f>IF(AND(Tracking[[#This Row],[Type]]="Income", shift_late_income_status="Active", DAY(Tracking[[#This Row],[Date]])&gt;=shift_late_income_starting_day), DATE(YEAR(Tracking[[#This Row],[Date]]), MONTH(Tracking[[#This Row],[Date]])+1, 1), Tracking[[#This Row],[Date]])</f>
        <v>45301</v>
      </c>
    </row>
    <row r="24" spans="3:9" x14ac:dyDescent="0.3">
      <c r="C24" s="39">
        <v>45301</v>
      </c>
      <c r="D24" s="19" t="s">
        <v>6</v>
      </c>
      <c r="E24" s="19" t="s">
        <v>11</v>
      </c>
      <c r="F24" s="40">
        <v>150</v>
      </c>
      <c r="G24" s="41"/>
      <c r="H24" s="43" cm="1">
        <f t="array" ref="H24">SUMPRODUCT(Tracking[Amount], --(Tracking[Date]&lt;=Tracking[[#This Row],[Date]]), (Tracking[Type] &lt;&gt; "Income") * (-1) + (Tracking[Type] = "Income"))</f>
        <v>680</v>
      </c>
      <c r="I24" s="46">
        <f>IF(AND(Tracking[[#This Row],[Type]]="Income", shift_late_income_status="Active", DAY(Tracking[[#This Row],[Date]])&gt;=shift_late_income_starting_day), DATE(YEAR(Tracking[[#This Row],[Date]]), MONTH(Tracking[[#This Row],[Date]])+1, 1), Tracking[[#This Row],[Date]])</f>
        <v>45301</v>
      </c>
    </row>
    <row r="25" spans="3:9" x14ac:dyDescent="0.3">
      <c r="C25" s="39">
        <v>45303</v>
      </c>
      <c r="D25" s="19" t="s">
        <v>12</v>
      </c>
      <c r="E25" s="19" t="s">
        <v>27</v>
      </c>
      <c r="F25" s="40">
        <v>50</v>
      </c>
      <c r="G25" s="41"/>
      <c r="H25" s="43" cm="1">
        <f t="array" ref="H25">SUMPRODUCT(Tracking[Amount], --(Tracking[Date]&lt;=Tracking[[#This Row],[Date]]), (Tracking[Type] &lt;&gt; "Income") * (-1) + (Tracking[Type] = "Income"))</f>
        <v>630</v>
      </c>
      <c r="I25" s="46">
        <f>IF(AND(Tracking[[#This Row],[Type]]="Income", shift_late_income_status="Active", DAY(Tracking[[#This Row],[Date]])&gt;=shift_late_income_starting_day), DATE(YEAR(Tracking[[#This Row],[Date]]), MONTH(Tracking[[#This Row],[Date]])+1, 1), Tracking[[#This Row],[Date]])</f>
        <v>45303</v>
      </c>
    </row>
    <row r="26" spans="3:9" x14ac:dyDescent="0.3">
      <c r="C26" s="39">
        <v>45304</v>
      </c>
      <c r="D26" s="19" t="s">
        <v>12</v>
      </c>
      <c r="E26" s="19" t="s">
        <v>26</v>
      </c>
      <c r="F26" s="40">
        <v>70</v>
      </c>
      <c r="G26" s="41"/>
      <c r="H26" s="43" cm="1">
        <f t="array" ref="H26">SUMPRODUCT(Tracking[Amount], --(Tracking[Date]&lt;=Tracking[[#This Row],[Date]]), (Tracking[Type] &lt;&gt; "Income") * (-1) + (Tracking[Type] = "Income"))</f>
        <v>560</v>
      </c>
      <c r="I26" s="46">
        <f>IF(AND(Tracking[[#This Row],[Type]]="Income", shift_late_income_status="Active", DAY(Tracking[[#This Row],[Date]])&gt;=shift_late_income_starting_day), DATE(YEAR(Tracking[[#This Row],[Date]]), MONTH(Tracking[[#This Row],[Date]])+1, 1), Tracking[[#This Row],[Date]])</f>
        <v>45304</v>
      </c>
    </row>
    <row r="27" spans="3:9" x14ac:dyDescent="0.3">
      <c r="C27" s="39">
        <v>45305</v>
      </c>
      <c r="D27" s="19" t="s">
        <v>12</v>
      </c>
      <c r="E27" s="19" t="s">
        <v>15</v>
      </c>
      <c r="F27" s="40">
        <v>80</v>
      </c>
      <c r="G27" s="41"/>
      <c r="H27" s="43" cm="1">
        <f t="array" ref="H27">SUMPRODUCT(Tracking[Amount], --(Tracking[Date]&lt;=Tracking[[#This Row],[Date]]), (Tracking[Type] &lt;&gt; "Income") * (-1) + (Tracking[Type] = "Income"))</f>
        <v>480</v>
      </c>
      <c r="I27" s="46">
        <f>IF(AND(Tracking[[#This Row],[Type]]="Income", shift_late_income_status="Active", DAY(Tracking[[#This Row],[Date]])&gt;=shift_late_income_starting_day), DATE(YEAR(Tracking[[#This Row],[Date]]), MONTH(Tracking[[#This Row],[Date]])+1, 1), Tracking[[#This Row],[Date]])</f>
        <v>45305</v>
      </c>
    </row>
    <row r="28" spans="3:9" x14ac:dyDescent="0.3">
      <c r="C28" s="39">
        <v>45306</v>
      </c>
      <c r="D28" s="19" t="s">
        <v>6</v>
      </c>
      <c r="E28" s="19" t="s">
        <v>10</v>
      </c>
      <c r="F28" s="40">
        <v>1200</v>
      </c>
      <c r="G28" s="41"/>
      <c r="H28" s="43" cm="1">
        <f t="array" ref="H28">SUMPRODUCT(Tracking[Amount], --(Tracking[Date]&lt;=Tracking[[#This Row],[Date]]), (Tracking[Type] &lt;&gt; "Income") * (-1) + (Tracking[Type] = "Income"))</f>
        <v>1680</v>
      </c>
      <c r="I28" s="46">
        <f>IF(AND(Tracking[[#This Row],[Type]]="Income", shift_late_income_status="Active", DAY(Tracking[[#This Row],[Date]])&gt;=shift_late_income_starting_day), DATE(YEAR(Tracking[[#This Row],[Date]]), MONTH(Tracking[[#This Row],[Date]])+1, 1), Tracking[[#This Row],[Date]])</f>
        <v>45306</v>
      </c>
    </row>
    <row r="29" spans="3:9" x14ac:dyDescent="0.3">
      <c r="C29" s="39">
        <v>45308</v>
      </c>
      <c r="D29" s="19" t="s">
        <v>12</v>
      </c>
      <c r="E29" s="19" t="s">
        <v>28</v>
      </c>
      <c r="F29" s="40">
        <v>100</v>
      </c>
      <c r="G29" s="41"/>
      <c r="H29" s="43" cm="1">
        <f t="array" ref="H29">SUMPRODUCT(Tracking[Amount], --(Tracking[Date]&lt;=Tracking[[#This Row],[Date]]), (Tracking[Type] &lt;&gt; "Income") * (-1) + (Tracking[Type] = "Income"))</f>
        <v>1580</v>
      </c>
      <c r="I29" s="46">
        <f>IF(AND(Tracking[[#This Row],[Type]]="Income", shift_late_income_status="Active", DAY(Tracking[[#This Row],[Date]])&gt;=shift_late_income_starting_day), DATE(YEAR(Tracking[[#This Row],[Date]]), MONTH(Tracking[[#This Row],[Date]])+1, 1), Tracking[[#This Row],[Date]])</f>
        <v>45308</v>
      </c>
    </row>
    <row r="30" spans="3:9" x14ac:dyDescent="0.3">
      <c r="C30" s="39">
        <v>45309</v>
      </c>
      <c r="D30" s="19" t="s">
        <v>12</v>
      </c>
      <c r="E30" s="19" t="s">
        <v>25</v>
      </c>
      <c r="F30" s="40">
        <v>70</v>
      </c>
      <c r="G30" s="41"/>
      <c r="H30" s="43" cm="1">
        <f t="array" ref="H30">SUMPRODUCT(Tracking[Amount], --(Tracking[Date]&lt;=Tracking[[#This Row],[Date]]), (Tracking[Type] &lt;&gt; "Income") * (-1) + (Tracking[Type] = "Income"))</f>
        <v>1510</v>
      </c>
      <c r="I30" s="46">
        <f>IF(AND(Tracking[[#This Row],[Type]]="Income", shift_late_income_status="Active", DAY(Tracking[[#This Row],[Date]])&gt;=shift_late_income_starting_day), DATE(YEAR(Tracking[[#This Row],[Date]]), MONTH(Tracking[[#This Row],[Date]])+1, 1), Tracking[[#This Row],[Date]])</f>
        <v>45309</v>
      </c>
    </row>
    <row r="31" spans="3:9" x14ac:dyDescent="0.3">
      <c r="C31" s="39">
        <v>45310</v>
      </c>
      <c r="D31" s="19" t="s">
        <v>12</v>
      </c>
      <c r="E31" s="19" t="s">
        <v>26</v>
      </c>
      <c r="F31" s="40">
        <v>60</v>
      </c>
      <c r="G31" s="41"/>
      <c r="H31" s="43" cm="1">
        <f t="array" ref="H31">SUMPRODUCT(Tracking[Amount], --(Tracking[Date]&lt;=Tracking[[#This Row],[Date]]), (Tracking[Type] &lt;&gt; "Income") * (-1) + (Tracking[Type] = "Income"))</f>
        <v>1450</v>
      </c>
      <c r="I31" s="46">
        <f>IF(AND(Tracking[[#This Row],[Type]]="Income", shift_late_income_status="Active", DAY(Tracking[[#This Row],[Date]])&gt;=shift_late_income_starting_day), DATE(YEAR(Tracking[[#This Row],[Date]]), MONTH(Tracking[[#This Row],[Date]])+1, 1), Tracking[[#This Row],[Date]])</f>
        <v>45310</v>
      </c>
    </row>
    <row r="32" spans="3:9" x14ac:dyDescent="0.3">
      <c r="C32" s="39">
        <v>45312</v>
      </c>
      <c r="D32" s="19" t="s">
        <v>12</v>
      </c>
      <c r="E32" s="19" t="s">
        <v>28</v>
      </c>
      <c r="F32" s="40">
        <v>30</v>
      </c>
      <c r="G32" s="41"/>
      <c r="H32" s="43" cm="1">
        <f t="array" ref="H32">SUMPRODUCT(Tracking[Amount], --(Tracking[Date]&lt;=Tracking[[#This Row],[Date]]), (Tracking[Type] &lt;&gt; "Income") * (-1) + (Tracking[Type] = "Income"))</f>
        <v>1420</v>
      </c>
      <c r="I32" s="46">
        <f>IF(AND(Tracking[[#This Row],[Type]]="Income", shift_late_income_status="Active", DAY(Tracking[[#This Row],[Date]])&gt;=shift_late_income_starting_day), DATE(YEAR(Tracking[[#This Row],[Date]]), MONTH(Tracking[[#This Row],[Date]])+1, 1), Tracking[[#This Row],[Date]])</f>
        <v>45312</v>
      </c>
    </row>
    <row r="33" spans="3:9" x14ac:dyDescent="0.3">
      <c r="C33" s="39">
        <v>45313</v>
      </c>
      <c r="D33" s="19" t="s">
        <v>12</v>
      </c>
      <c r="E33" s="19" t="s">
        <v>23</v>
      </c>
      <c r="F33" s="40">
        <v>100</v>
      </c>
      <c r="G33" s="41"/>
      <c r="H33" s="43" cm="1">
        <f t="array" ref="H33">SUMPRODUCT(Tracking[Amount], --(Tracking[Date]&lt;=Tracking[[#This Row],[Date]]), (Tracking[Type] &lt;&gt; "Income") * (-1) + (Tracking[Type] = "Income"))</f>
        <v>1320</v>
      </c>
      <c r="I33" s="46">
        <f>IF(AND(Tracking[[#This Row],[Type]]="Income", shift_late_income_status="Active", DAY(Tracking[[#This Row],[Date]])&gt;=shift_late_income_starting_day), DATE(YEAR(Tracking[[#This Row],[Date]]), MONTH(Tracking[[#This Row],[Date]])+1, 1), Tracking[[#This Row],[Date]])</f>
        <v>45313</v>
      </c>
    </row>
    <row r="34" spans="3:9" x14ac:dyDescent="0.3">
      <c r="C34" s="39">
        <v>45315</v>
      </c>
      <c r="D34" s="19" t="s">
        <v>12</v>
      </c>
      <c r="E34" s="19" t="s">
        <v>26</v>
      </c>
      <c r="F34" s="40">
        <v>40</v>
      </c>
      <c r="G34" s="41"/>
      <c r="H34" s="43" cm="1">
        <f t="array" ref="H34">SUMPRODUCT(Tracking[Amount], --(Tracking[Date]&lt;=Tracking[[#This Row],[Date]]), (Tracking[Type] &lt;&gt; "Income") * (-1) + (Tracking[Type] = "Income"))</f>
        <v>1280</v>
      </c>
      <c r="I34" s="46">
        <f>IF(AND(Tracking[[#This Row],[Type]]="Income", shift_late_income_status="Active", DAY(Tracking[[#This Row],[Date]])&gt;=shift_late_income_starting_day), DATE(YEAR(Tracking[[#This Row],[Date]]), MONTH(Tracking[[#This Row],[Date]])+1, 1), Tracking[[#This Row],[Date]])</f>
        <v>45315</v>
      </c>
    </row>
    <row r="35" spans="3:9" x14ac:dyDescent="0.3">
      <c r="C35" s="39">
        <v>45317</v>
      </c>
      <c r="D35" s="19" t="s">
        <v>12</v>
      </c>
      <c r="E35" s="19" t="s">
        <v>15</v>
      </c>
      <c r="F35" s="40">
        <v>120</v>
      </c>
      <c r="G35" s="41"/>
      <c r="H35" s="43" cm="1">
        <f t="array" ref="H35">SUMPRODUCT(Tracking[Amount], --(Tracking[Date]&lt;=Tracking[[#This Row],[Date]]), (Tracking[Type] &lt;&gt; "Income") * (-1) + (Tracking[Type] = "Income"))</f>
        <v>4660</v>
      </c>
      <c r="I35" s="46">
        <f>IF(AND(Tracking[[#This Row],[Type]]="Income", shift_late_income_status="Active", DAY(Tracking[[#This Row],[Date]])&gt;=shift_late_income_starting_day), DATE(YEAR(Tracking[[#This Row],[Date]]), MONTH(Tracking[[#This Row],[Date]])+1, 1), Tracking[[#This Row],[Date]])</f>
        <v>45317</v>
      </c>
    </row>
    <row r="36" spans="3:9" x14ac:dyDescent="0.3">
      <c r="C36" s="39">
        <v>45319</v>
      </c>
      <c r="D36" s="19" t="s">
        <v>12</v>
      </c>
      <c r="E36" s="19" t="s">
        <v>28</v>
      </c>
      <c r="F36" s="40">
        <v>110</v>
      </c>
      <c r="G36" s="41"/>
      <c r="H36" s="43" cm="1">
        <f t="array" ref="H36">SUMPRODUCT(Tracking[Amount], --(Tracking[Date]&lt;=Tracking[[#This Row],[Date]]), (Tracking[Type] &lt;&gt; "Income") * (-1) + (Tracking[Type] = "Income"))</f>
        <v>4550</v>
      </c>
      <c r="I36" s="46">
        <f>IF(AND(Tracking[[#This Row],[Type]]="Income", shift_late_income_status="Active", DAY(Tracking[[#This Row],[Date]])&gt;=shift_late_income_starting_day), DATE(YEAR(Tracking[[#This Row],[Date]]), MONTH(Tracking[[#This Row],[Date]])+1, 1), Tracking[[#This Row],[Date]])</f>
        <v>45319</v>
      </c>
    </row>
    <row r="37" spans="3:9" x14ac:dyDescent="0.3">
      <c r="C37" s="39">
        <v>45322</v>
      </c>
      <c r="D37" s="19" t="s">
        <v>17</v>
      </c>
      <c r="E37" s="19" t="s">
        <v>19</v>
      </c>
      <c r="F37" s="40">
        <v>400</v>
      </c>
      <c r="G37" s="41"/>
      <c r="H37" s="43" cm="1">
        <f t="array" ref="H37">SUMPRODUCT(Tracking[Amount], --(Tracking[Date]&lt;=Tracking[[#This Row],[Date]]), (Tracking[Type] &lt;&gt; "Income") * (-1) + (Tracking[Type] = "Income"))</f>
        <v>3500</v>
      </c>
      <c r="I37" s="46">
        <f>IF(AND(Tracking[[#This Row],[Type]]="Income", shift_late_income_status="Active", DAY(Tracking[[#This Row],[Date]])&gt;=shift_late_income_starting_day), DATE(YEAR(Tracking[[#This Row],[Date]]), MONTH(Tracking[[#This Row],[Date]])+1, 1), Tracking[[#This Row],[Date]])</f>
        <v>45322</v>
      </c>
    </row>
    <row r="38" spans="3:9" x14ac:dyDescent="0.3">
      <c r="C38" s="39">
        <v>45322</v>
      </c>
      <c r="D38" s="19" t="s">
        <v>17</v>
      </c>
      <c r="E38" s="19" t="s">
        <v>20</v>
      </c>
      <c r="F38" s="40">
        <v>250</v>
      </c>
      <c r="G38" s="41"/>
      <c r="H38" s="43" cm="1">
        <f t="array" ref="H38">SUMPRODUCT(Tracking[Amount], --(Tracking[Date]&lt;=Tracking[[#This Row],[Date]]), (Tracking[Type] &lt;&gt; "Income") * (-1) + (Tracking[Type] = "Income"))</f>
        <v>3500</v>
      </c>
      <c r="I38" s="46">
        <f>IF(AND(Tracking[[#This Row],[Type]]="Income", shift_late_income_status="Active", DAY(Tracking[[#This Row],[Date]])&gt;=shift_late_income_starting_day), DATE(YEAR(Tracking[[#This Row],[Date]]), MONTH(Tracking[[#This Row],[Date]])+1, 1), Tracking[[#This Row],[Date]])</f>
        <v>45322</v>
      </c>
    </row>
    <row r="39" spans="3:9" x14ac:dyDescent="0.3">
      <c r="C39" s="39">
        <v>45322</v>
      </c>
      <c r="D39" s="19" t="s">
        <v>17</v>
      </c>
      <c r="E39" s="19" t="s">
        <v>30</v>
      </c>
      <c r="F39" s="40">
        <v>400</v>
      </c>
      <c r="G39" s="41"/>
      <c r="H39" s="43" cm="1">
        <f t="array" ref="H39">SUMPRODUCT(Tracking[Amount], --(Tracking[Date]&lt;=Tracking[[#This Row],[Date]]), (Tracking[Type] &lt;&gt; "Income") * (-1) + (Tracking[Type] = "Income"))</f>
        <v>3500</v>
      </c>
      <c r="I39" s="46">
        <f>IF(AND(Tracking[[#This Row],[Type]]="Income", shift_late_income_status="Active", DAY(Tracking[[#This Row],[Date]])&gt;=shift_late_income_starting_day), DATE(YEAR(Tracking[[#This Row],[Date]]), MONTH(Tracking[[#This Row],[Date]])+1, 1), Tracking[[#This Row],[Date]])</f>
        <v>45322</v>
      </c>
    </row>
    <row r="40" spans="3:9" x14ac:dyDescent="0.3">
      <c r="C40" s="39">
        <v>45329</v>
      </c>
      <c r="D40" s="19" t="s">
        <v>12</v>
      </c>
      <c r="E40" s="19" t="s">
        <v>15</v>
      </c>
      <c r="F40" s="40">
        <v>200</v>
      </c>
      <c r="G40" s="41"/>
      <c r="H40" s="43" cm="1">
        <f t="array" ref="H40">SUMPRODUCT(Tracking[Amount], --(Tracking[Date]&lt;=Tracking[[#This Row],[Date]]), (Tracking[Type] &lt;&gt; "Income") * (-1) + (Tracking[Type] = "Income"))</f>
        <v>2300</v>
      </c>
      <c r="I40" s="46">
        <f>IF(AND(Tracking[[#This Row],[Type]]="Income", shift_late_income_status="Active", DAY(Tracking[[#This Row],[Date]])&gt;=shift_late_income_starting_day), DATE(YEAR(Tracking[[#This Row],[Date]]), MONTH(Tracking[[#This Row],[Date]])+1, 1), Tracking[[#This Row],[Date]])</f>
        <v>45329</v>
      </c>
    </row>
    <row r="41" spans="3:9" x14ac:dyDescent="0.3">
      <c r="C41" s="39">
        <v>45330</v>
      </c>
      <c r="D41" s="19" t="s">
        <v>12</v>
      </c>
      <c r="E41" s="19" t="s">
        <v>23</v>
      </c>
      <c r="F41" s="40">
        <v>100</v>
      </c>
      <c r="G41" s="41"/>
      <c r="H41" s="43" cm="1">
        <f t="array" ref="H41">SUMPRODUCT(Tracking[Amount], --(Tracking[Date]&lt;=Tracking[[#This Row],[Date]]), (Tracking[Type] &lt;&gt; "Income") * (-1) + (Tracking[Type] = "Income"))</f>
        <v>2200</v>
      </c>
      <c r="I41" s="46">
        <f>IF(AND(Tracking[[#This Row],[Type]]="Income", shift_late_income_status="Active", DAY(Tracking[[#This Row],[Date]])&gt;=shift_late_income_starting_day), DATE(YEAR(Tracking[[#This Row],[Date]]), MONTH(Tracking[[#This Row],[Date]])+1, 1), Tracking[[#This Row],[Date]])</f>
        <v>45330</v>
      </c>
    </row>
    <row r="42" spans="3:9" x14ac:dyDescent="0.3">
      <c r="C42" s="39">
        <v>45331</v>
      </c>
      <c r="D42" s="19" t="s">
        <v>17</v>
      </c>
      <c r="E42" s="19" t="s">
        <v>20</v>
      </c>
      <c r="F42" s="40">
        <v>500</v>
      </c>
      <c r="G42" s="41"/>
      <c r="H42" s="43" cm="1">
        <f t="array" ref="H42">SUMPRODUCT(Tracking[Amount], --(Tracking[Date]&lt;=Tracking[[#This Row],[Date]]), (Tracking[Type] &lt;&gt; "Income") * (-1) + (Tracking[Type] = "Income"))</f>
        <v>1700</v>
      </c>
      <c r="I42" s="46">
        <f>IF(AND(Tracking[[#This Row],[Type]]="Income", shift_late_income_status="Active", DAY(Tracking[[#This Row],[Date]])&gt;=shift_late_income_starting_day), DATE(YEAR(Tracking[[#This Row],[Date]]), MONTH(Tracking[[#This Row],[Date]])+1, 1), Tracking[[#This Row],[Date]])</f>
        <v>45331</v>
      </c>
    </row>
    <row r="43" spans="3:9" x14ac:dyDescent="0.3">
      <c r="C43" s="39">
        <v>45332</v>
      </c>
      <c r="D43" s="19" t="s">
        <v>12</v>
      </c>
      <c r="E43" s="19" t="s">
        <v>25</v>
      </c>
      <c r="F43" s="40">
        <v>60</v>
      </c>
      <c r="G43" s="41"/>
      <c r="H43" s="43" cm="1">
        <f t="array" ref="H43">SUMPRODUCT(Tracking[Amount], --(Tracking[Date]&lt;=Tracking[[#This Row],[Date]]), (Tracking[Type] &lt;&gt; "Income") * (-1) + (Tracking[Type] = "Income"))</f>
        <v>1640</v>
      </c>
      <c r="I43" s="46">
        <f>IF(AND(Tracking[[#This Row],[Type]]="Income", shift_late_income_status="Active", DAY(Tracking[[#This Row],[Date]])&gt;=shift_late_income_starting_day), DATE(YEAR(Tracking[[#This Row],[Date]]), MONTH(Tracking[[#This Row],[Date]])+1, 1), Tracking[[#This Row],[Date]])</f>
        <v>45332</v>
      </c>
    </row>
    <row r="44" spans="3:9" x14ac:dyDescent="0.3">
      <c r="C44" s="39">
        <v>45333</v>
      </c>
      <c r="D44" s="19" t="s">
        <v>12</v>
      </c>
      <c r="E44" s="19" t="s">
        <v>26</v>
      </c>
      <c r="F44" s="40">
        <v>70</v>
      </c>
      <c r="G44" s="41"/>
      <c r="H44" s="43" cm="1">
        <f t="array" ref="H44">SUMPRODUCT(Tracking[Amount], --(Tracking[Date]&lt;=Tracking[[#This Row],[Date]]), (Tracking[Type] &lt;&gt; "Income") * (-1) + (Tracking[Type] = "Income"))</f>
        <v>1570</v>
      </c>
      <c r="I44" s="46">
        <f>IF(AND(Tracking[[#This Row],[Type]]="Income", shift_late_income_status="Active", DAY(Tracking[[#This Row],[Date]])&gt;=shift_late_income_starting_day), DATE(YEAR(Tracking[[#This Row],[Date]]), MONTH(Tracking[[#This Row],[Date]])+1, 1), Tracking[[#This Row],[Date]])</f>
        <v>45333</v>
      </c>
    </row>
    <row r="45" spans="3:9" x14ac:dyDescent="0.3">
      <c r="C45" s="39">
        <v>45335</v>
      </c>
      <c r="D45" s="19" t="s">
        <v>12</v>
      </c>
      <c r="E45" s="19" t="s">
        <v>28</v>
      </c>
      <c r="F45" s="40">
        <v>140</v>
      </c>
      <c r="G45" s="41"/>
      <c r="H45" s="43" cm="1">
        <f t="array" ref="H45">SUMPRODUCT(Tracking[Amount], --(Tracking[Date]&lt;=Tracking[[#This Row],[Date]]), (Tracking[Type] &lt;&gt; "Income") * (-1) + (Tracking[Type] = "Income"))</f>
        <v>1430</v>
      </c>
      <c r="I45" s="46">
        <f>IF(AND(Tracking[[#This Row],[Type]]="Income", shift_late_income_status="Active", DAY(Tracking[[#This Row],[Date]])&gt;=shift_late_income_starting_day), DATE(YEAR(Tracking[[#This Row],[Date]]), MONTH(Tracking[[#This Row],[Date]])+1, 1), Tracking[[#This Row],[Date]])</f>
        <v>45335</v>
      </c>
    </row>
    <row r="46" spans="3:9" x14ac:dyDescent="0.3">
      <c r="C46" s="39">
        <v>45336</v>
      </c>
      <c r="D46" s="19" t="s">
        <v>12</v>
      </c>
      <c r="E46" s="19" t="s">
        <v>15</v>
      </c>
      <c r="F46" s="40">
        <v>80</v>
      </c>
      <c r="G46" s="41"/>
      <c r="H46" s="43" cm="1">
        <f t="array" ref="H46">SUMPRODUCT(Tracking[Amount], --(Tracking[Date]&lt;=Tracking[[#This Row],[Date]]), (Tracking[Type] &lt;&gt; "Income") * (-1) + (Tracking[Type] = "Income"))</f>
        <v>1400</v>
      </c>
      <c r="I46" s="46">
        <f>IF(AND(Tracking[[#This Row],[Type]]="Income", shift_late_income_status="Active", DAY(Tracking[[#This Row],[Date]])&gt;=shift_late_income_starting_day), DATE(YEAR(Tracking[[#This Row],[Date]]), MONTH(Tracking[[#This Row],[Date]])+1, 1), Tracking[[#This Row],[Date]])</f>
        <v>45336</v>
      </c>
    </row>
    <row r="47" spans="3:9" x14ac:dyDescent="0.3">
      <c r="C47" s="39">
        <v>45336</v>
      </c>
      <c r="D47" s="19" t="s">
        <v>6</v>
      </c>
      <c r="E47" s="19" t="s">
        <v>11</v>
      </c>
      <c r="F47" s="40">
        <v>50</v>
      </c>
      <c r="G47" s="41"/>
      <c r="H47" s="43" cm="1">
        <f t="array" ref="H47">SUMPRODUCT(Tracking[Amount], --(Tracking[Date]&lt;=Tracking[[#This Row],[Date]]), (Tracking[Type] &lt;&gt; "Income") * (-1) + (Tracking[Type] = "Income"))</f>
        <v>1400</v>
      </c>
      <c r="I47" s="46">
        <f>IF(AND(Tracking[[#This Row],[Type]]="Income", shift_late_income_status="Active", DAY(Tracking[[#This Row],[Date]])&gt;=shift_late_income_starting_day), DATE(YEAR(Tracking[[#This Row],[Date]]), MONTH(Tracking[[#This Row],[Date]])+1, 1), Tracking[[#This Row],[Date]])</f>
        <v>45336</v>
      </c>
    </row>
    <row r="48" spans="3:9" x14ac:dyDescent="0.3">
      <c r="C48" s="39">
        <v>45338</v>
      </c>
      <c r="D48" s="19" t="s">
        <v>12</v>
      </c>
      <c r="E48" s="19" t="s">
        <v>27</v>
      </c>
      <c r="F48" s="40">
        <v>70</v>
      </c>
      <c r="G48" s="41"/>
      <c r="H48" s="43" cm="1">
        <f t="array" ref="H48">SUMPRODUCT(Tracking[Amount], --(Tracking[Date]&lt;=Tracking[[#This Row],[Date]]), (Tracking[Type] &lt;&gt; "Income") * (-1) + (Tracking[Type] = "Income"))</f>
        <v>1330</v>
      </c>
      <c r="I48" s="46">
        <f>IF(AND(Tracking[[#This Row],[Type]]="Income", shift_late_income_status="Active", DAY(Tracking[[#This Row],[Date]])&gt;=shift_late_income_starting_day), DATE(YEAR(Tracking[[#This Row],[Date]]), MONTH(Tracking[[#This Row],[Date]])+1, 1), Tracking[[#This Row],[Date]])</f>
        <v>45338</v>
      </c>
    </row>
    <row r="49" spans="3:9" x14ac:dyDescent="0.3">
      <c r="C49" s="39">
        <v>45339</v>
      </c>
      <c r="D49" s="19" t="s">
        <v>12</v>
      </c>
      <c r="E49" s="19" t="s">
        <v>23</v>
      </c>
      <c r="F49" s="40">
        <v>150</v>
      </c>
      <c r="G49" s="41"/>
      <c r="H49" s="43" cm="1">
        <f t="array" ref="H49">SUMPRODUCT(Tracking[Amount], --(Tracking[Date]&lt;=Tracking[[#This Row],[Date]]), (Tracking[Type] &lt;&gt; "Income") * (-1) + (Tracking[Type] = "Income"))</f>
        <v>1180</v>
      </c>
      <c r="I49" s="46">
        <f>IF(AND(Tracking[[#This Row],[Type]]="Income", shift_late_income_status="Active", DAY(Tracking[[#This Row],[Date]])&gt;=shift_late_income_starting_day), DATE(YEAR(Tracking[[#This Row],[Date]]), MONTH(Tracking[[#This Row],[Date]])+1, 1), Tracking[[#This Row],[Date]])</f>
        <v>45339</v>
      </c>
    </row>
    <row r="50" spans="3:9" x14ac:dyDescent="0.3">
      <c r="C50" s="39">
        <v>45340</v>
      </c>
      <c r="D50" s="19" t="s">
        <v>12</v>
      </c>
      <c r="E50" s="19" t="s">
        <v>28</v>
      </c>
      <c r="F50" s="40">
        <v>60</v>
      </c>
      <c r="G50" s="41"/>
      <c r="H50" s="43" cm="1">
        <f t="array" ref="H50">SUMPRODUCT(Tracking[Amount], --(Tracking[Date]&lt;=Tracking[[#This Row],[Date]]), (Tracking[Type] &lt;&gt; "Income") * (-1) + (Tracking[Type] = "Income"))</f>
        <v>1120</v>
      </c>
      <c r="I50" s="46">
        <f>IF(AND(Tracking[[#This Row],[Type]]="Income", shift_late_income_status="Active", DAY(Tracking[[#This Row],[Date]])&gt;=shift_late_income_starting_day), DATE(YEAR(Tracking[[#This Row],[Date]]), MONTH(Tracking[[#This Row],[Date]])+1, 1), Tracking[[#This Row],[Date]])</f>
        <v>45340</v>
      </c>
    </row>
    <row r="51" spans="3:9" x14ac:dyDescent="0.3">
      <c r="C51" s="39">
        <v>45342</v>
      </c>
      <c r="D51" s="19" t="s">
        <v>12</v>
      </c>
      <c r="E51" s="19" t="s">
        <v>26</v>
      </c>
      <c r="F51" s="40">
        <v>140</v>
      </c>
      <c r="G51" s="41"/>
      <c r="H51" s="43" cm="1">
        <f t="array" ref="H51">SUMPRODUCT(Tracking[Amount], --(Tracking[Date]&lt;=Tracking[[#This Row],[Date]]), (Tracking[Type] &lt;&gt; "Income") * (-1) + (Tracking[Type] = "Income"))</f>
        <v>980</v>
      </c>
      <c r="I51" s="46">
        <f>IF(AND(Tracking[[#This Row],[Type]]="Income", shift_late_income_status="Active", DAY(Tracking[[#This Row],[Date]])&gt;=shift_late_income_starting_day), DATE(YEAR(Tracking[[#This Row],[Date]]), MONTH(Tracking[[#This Row],[Date]])+1, 1), Tracking[[#This Row],[Date]])</f>
        <v>45342</v>
      </c>
    </row>
    <row r="52" spans="3:9" x14ac:dyDescent="0.3">
      <c r="C52" s="39">
        <v>45344</v>
      </c>
      <c r="D52" s="19" t="s">
        <v>12</v>
      </c>
      <c r="E52" s="19" t="s">
        <v>25</v>
      </c>
      <c r="F52" s="40">
        <v>80</v>
      </c>
      <c r="G52" s="41"/>
      <c r="H52" s="43" cm="1">
        <f t="array" ref="H52">SUMPRODUCT(Tracking[Amount], --(Tracking[Date]&lt;=Tracking[[#This Row],[Date]]), (Tracking[Type] &lt;&gt; "Income") * (-1) + (Tracking[Type] = "Income"))</f>
        <v>900</v>
      </c>
      <c r="I52" s="46">
        <f>IF(AND(Tracking[[#This Row],[Type]]="Income", shift_late_income_status="Active", DAY(Tracking[[#This Row],[Date]])&gt;=shift_late_income_starting_day), DATE(YEAR(Tracking[[#This Row],[Date]]), MONTH(Tracking[[#This Row],[Date]])+1, 1), Tracking[[#This Row],[Date]])</f>
        <v>45344</v>
      </c>
    </row>
    <row r="53" spans="3:9" x14ac:dyDescent="0.3">
      <c r="C53" s="39">
        <v>45346</v>
      </c>
      <c r="D53" s="19" t="s">
        <v>12</v>
      </c>
      <c r="E53" s="19" t="s">
        <v>15</v>
      </c>
      <c r="F53" s="40">
        <v>120</v>
      </c>
      <c r="G53" s="41"/>
      <c r="H53" s="43" cm="1">
        <f t="array" ref="H53">SUMPRODUCT(Tracking[Amount], --(Tracking[Date]&lt;=Tracking[[#This Row],[Date]]), (Tracking[Type] &lt;&gt; "Income") * (-1) + (Tracking[Type] = "Income"))</f>
        <v>780</v>
      </c>
      <c r="I53" s="46">
        <f>IF(AND(Tracking[[#This Row],[Type]]="Income", shift_late_income_status="Active", DAY(Tracking[[#This Row],[Date]])&gt;=shift_late_income_starting_day), DATE(YEAR(Tracking[[#This Row],[Date]]), MONTH(Tracking[[#This Row],[Date]])+1, 1), Tracking[[#This Row],[Date]])</f>
        <v>45346</v>
      </c>
    </row>
    <row r="54" spans="3:9" x14ac:dyDescent="0.3">
      <c r="C54" s="39">
        <v>45347</v>
      </c>
      <c r="D54" s="19" t="s">
        <v>12</v>
      </c>
      <c r="E54" s="19" t="s">
        <v>23</v>
      </c>
      <c r="F54" s="40">
        <v>130</v>
      </c>
      <c r="G54" s="41"/>
      <c r="H54" s="43" cm="1">
        <f t="array" ref="H54">SUMPRODUCT(Tracking[Amount], --(Tracking[Date]&lt;=Tracking[[#This Row],[Date]]), (Tracking[Type] &lt;&gt; "Income") * (-1) + (Tracking[Type] = "Income"))</f>
        <v>4150</v>
      </c>
      <c r="I54" s="46">
        <f>IF(AND(Tracking[[#This Row],[Type]]="Income", shift_late_income_status="Active", DAY(Tracking[[#This Row],[Date]])&gt;=shift_late_income_starting_day), DATE(YEAR(Tracking[[#This Row],[Date]]), MONTH(Tracking[[#This Row],[Date]])+1, 1), Tracking[[#This Row],[Date]])</f>
        <v>45347</v>
      </c>
    </row>
    <row r="55" spans="3:9" x14ac:dyDescent="0.3">
      <c r="C55" s="39">
        <v>45348</v>
      </c>
      <c r="D55" s="19" t="s">
        <v>12</v>
      </c>
      <c r="E55" s="19" t="s">
        <v>28</v>
      </c>
      <c r="F55" s="40">
        <v>50</v>
      </c>
      <c r="G55" s="41"/>
      <c r="H55" s="43" cm="1">
        <f t="array" ref="H55">SUMPRODUCT(Tracking[Amount], --(Tracking[Date]&lt;=Tracking[[#This Row],[Date]]), (Tracking[Type] &lt;&gt; "Income") * (-1) + (Tracking[Type] = "Income"))</f>
        <v>4100</v>
      </c>
      <c r="I55" s="46">
        <f>IF(AND(Tracking[[#This Row],[Type]]="Income", shift_late_income_status="Active", DAY(Tracking[[#This Row],[Date]])&gt;=shift_late_income_starting_day), DATE(YEAR(Tracking[[#This Row],[Date]]), MONTH(Tracking[[#This Row],[Date]])+1, 1), Tracking[[#This Row],[Date]])</f>
        <v>45348</v>
      </c>
    </row>
    <row r="56" spans="3:9" x14ac:dyDescent="0.3">
      <c r="C56" s="39">
        <v>45349</v>
      </c>
      <c r="D56" s="19" t="s">
        <v>12</v>
      </c>
      <c r="E56" s="19" t="s">
        <v>26</v>
      </c>
      <c r="F56" s="40">
        <v>60</v>
      </c>
      <c r="G56" s="41"/>
      <c r="H56" s="43" cm="1">
        <f t="array" ref="H56">SUMPRODUCT(Tracking[Amount], --(Tracking[Date]&lt;=Tracking[[#This Row],[Date]]), (Tracking[Type] &lt;&gt; "Income") * (-1) + (Tracking[Type] = "Income"))</f>
        <v>4040</v>
      </c>
      <c r="I56" s="46">
        <f>IF(AND(Tracking[[#This Row],[Type]]="Income", shift_late_income_status="Active", DAY(Tracking[[#This Row],[Date]])&gt;=shift_late_income_starting_day), DATE(YEAR(Tracking[[#This Row],[Date]]), MONTH(Tracking[[#This Row],[Date]])+1, 1), Tracking[[#This Row],[Date]])</f>
        <v>45349</v>
      </c>
    </row>
    <row r="57" spans="3:9" x14ac:dyDescent="0.3">
      <c r="C57" s="39">
        <v>45350</v>
      </c>
      <c r="D57" s="19" t="s">
        <v>17</v>
      </c>
      <c r="E57" s="19" t="s">
        <v>19</v>
      </c>
      <c r="F57" s="40">
        <v>400</v>
      </c>
      <c r="G57" s="41"/>
      <c r="H57" s="43" cm="1">
        <f t="array" ref="H57">SUMPRODUCT(Tracking[Amount], --(Tracking[Date]&lt;=Tracking[[#This Row],[Date]]), (Tracking[Type] &lt;&gt; "Income") * (-1) + (Tracking[Type] = "Income"))</f>
        <v>3500</v>
      </c>
      <c r="I57" s="46">
        <f>IF(AND(Tracking[[#This Row],[Type]]="Income", shift_late_income_status="Active", DAY(Tracking[[#This Row],[Date]])&gt;=shift_late_income_starting_day), DATE(YEAR(Tracking[[#This Row],[Date]]), MONTH(Tracking[[#This Row],[Date]])+1, 1), Tracking[[#This Row],[Date]])</f>
        <v>45350</v>
      </c>
    </row>
    <row r="58" spans="3:9" x14ac:dyDescent="0.3">
      <c r="C58" s="39">
        <v>45350</v>
      </c>
      <c r="D58" s="19" t="s">
        <v>17</v>
      </c>
      <c r="E58" s="19" t="s">
        <v>18</v>
      </c>
      <c r="F58" s="40">
        <v>140</v>
      </c>
      <c r="G58" s="41"/>
      <c r="H58" s="43" cm="1">
        <f t="array" ref="H58">SUMPRODUCT(Tracking[Amount], --(Tracking[Date]&lt;=Tracking[[#This Row],[Date]]), (Tracking[Type] &lt;&gt; "Income") * (-1) + (Tracking[Type] = "Income"))</f>
        <v>3500</v>
      </c>
      <c r="I58" s="46">
        <f>IF(AND(Tracking[[#This Row],[Type]]="Income", shift_late_income_status="Active", DAY(Tracking[[#This Row],[Date]])&gt;=shift_late_income_starting_day), DATE(YEAR(Tracking[[#This Row],[Date]]), MONTH(Tracking[[#This Row],[Date]])+1, 1), Tracking[[#This Row],[Date]])</f>
        <v>45350</v>
      </c>
    </row>
    <row r="59" spans="3:9" x14ac:dyDescent="0.3">
      <c r="C59" s="39">
        <v>45347</v>
      </c>
      <c r="D59" s="19" t="s">
        <v>6</v>
      </c>
      <c r="E59" s="19" t="s">
        <v>9</v>
      </c>
      <c r="F59" s="40">
        <v>3500</v>
      </c>
      <c r="G59" s="41"/>
      <c r="H59" s="43" cm="1">
        <f t="array" ref="H59">SUMPRODUCT(Tracking[Amount], --(Tracking[Date]&lt;=Tracking[[#This Row],[Date]]), (Tracking[Type] &lt;&gt; "Income") * (-1) + (Tracking[Type] = "Income"))</f>
        <v>4150</v>
      </c>
      <c r="I59" s="46">
        <f>IF(AND(Tracking[[#This Row],[Type]]="Income", shift_late_income_status="Active", DAY(Tracking[[#This Row],[Date]])&gt;=shift_late_income_starting_day), DATE(YEAR(Tracking[[#This Row],[Date]]), MONTH(Tracking[[#This Row],[Date]])+1, 1), Tracking[[#This Row],[Date]])</f>
        <v>45352</v>
      </c>
    </row>
    <row r="60" spans="3:9" x14ac:dyDescent="0.3">
      <c r="C60" s="39">
        <v>45352</v>
      </c>
      <c r="D60" s="19" t="s">
        <v>12</v>
      </c>
      <c r="E60" s="19" t="s">
        <v>13</v>
      </c>
      <c r="F60" s="40">
        <v>1200</v>
      </c>
      <c r="G60" s="41"/>
      <c r="H60" s="43" cm="1">
        <f t="array" ref="H60">SUMPRODUCT(Tracking[Amount], --(Tracking[Date]&lt;=Tracking[[#This Row],[Date]]), (Tracking[Type] &lt;&gt; "Income") * (-1) + (Tracking[Type] = "Income"))</f>
        <v>2300</v>
      </c>
      <c r="I60" s="46">
        <f>IF(AND(Tracking[[#This Row],[Type]]="Income", shift_late_income_status="Active", DAY(Tracking[[#This Row],[Date]])&gt;=shift_late_income_starting_day), DATE(YEAR(Tracking[[#This Row],[Date]]), MONTH(Tracking[[#This Row],[Date]])+1, 1), Tracking[[#This Row],[Date]])</f>
        <v>45352</v>
      </c>
    </row>
    <row r="61" spans="3:9" x14ac:dyDescent="0.3">
      <c r="C61" s="39">
        <v>45353</v>
      </c>
      <c r="D61" s="19" t="s">
        <v>12</v>
      </c>
      <c r="E61" s="19" t="s">
        <v>14</v>
      </c>
      <c r="F61" s="40">
        <v>300</v>
      </c>
      <c r="G61" s="41"/>
      <c r="H61" s="43" cm="1">
        <f t="array" ref="H61">SUMPRODUCT(Tracking[Amount], --(Tracking[Date]&lt;=Tracking[[#This Row],[Date]]), (Tracking[Type] &lt;&gt; "Income") * (-1) + (Tracking[Type] = "Income"))</f>
        <v>2000</v>
      </c>
      <c r="I61" s="46">
        <f>IF(AND(Tracking[[#This Row],[Type]]="Income", shift_late_income_status="Active", DAY(Tracking[[#This Row],[Date]])&gt;=shift_late_income_starting_day), DATE(YEAR(Tracking[[#This Row],[Date]]), MONTH(Tracking[[#This Row],[Date]])+1, 1), Tracking[[#This Row],[Date]])</f>
        <v>45353</v>
      </c>
    </row>
    <row r="62" spans="3:9" x14ac:dyDescent="0.3">
      <c r="C62" s="39">
        <v>45354</v>
      </c>
      <c r="D62" s="19" t="s">
        <v>12</v>
      </c>
      <c r="E62" s="19" t="s">
        <v>15</v>
      </c>
      <c r="F62" s="40">
        <v>60</v>
      </c>
      <c r="G62" s="41"/>
      <c r="H62" s="43" cm="1">
        <f t="array" ref="H62">SUMPRODUCT(Tracking[Amount], --(Tracking[Date]&lt;=Tracking[[#This Row],[Date]]), (Tracking[Type] &lt;&gt; "Income") * (-1) + (Tracking[Type] = "Income"))</f>
        <v>1940</v>
      </c>
      <c r="I62" s="46">
        <f>IF(AND(Tracking[[#This Row],[Type]]="Income", shift_late_income_status="Active", DAY(Tracking[[#This Row],[Date]])&gt;=shift_late_income_starting_day), DATE(YEAR(Tracking[[#This Row],[Date]]), MONTH(Tracking[[#This Row],[Date]])+1, 1), Tracking[[#This Row],[Date]])</f>
        <v>45354</v>
      </c>
    </row>
    <row r="63" spans="3:9" x14ac:dyDescent="0.3">
      <c r="C63" s="39">
        <v>45355</v>
      </c>
      <c r="D63" s="19" t="s">
        <v>12</v>
      </c>
      <c r="E63" s="19" t="s">
        <v>26</v>
      </c>
      <c r="F63" s="40">
        <v>30</v>
      </c>
      <c r="G63" s="41"/>
      <c r="H63" s="43" cm="1">
        <f t="array" ref="H63">SUMPRODUCT(Tracking[Amount], --(Tracking[Date]&lt;=Tracking[[#This Row],[Date]]), (Tracking[Type] &lt;&gt; "Income") * (-1) + (Tracking[Type] = "Income"))</f>
        <v>1910</v>
      </c>
      <c r="I63" s="46">
        <f>IF(AND(Tracking[[#This Row],[Type]]="Income", shift_late_income_status="Active", DAY(Tracking[[#This Row],[Date]])&gt;=shift_late_income_starting_day), DATE(YEAR(Tracking[[#This Row],[Date]]), MONTH(Tracking[[#This Row],[Date]])+1, 1), Tracking[[#This Row],[Date]])</f>
        <v>45355</v>
      </c>
    </row>
    <row r="64" spans="3:9" x14ac:dyDescent="0.3">
      <c r="C64" s="39">
        <v>45357</v>
      </c>
      <c r="D64" s="19" t="s">
        <v>12</v>
      </c>
      <c r="E64" s="19" t="s">
        <v>24</v>
      </c>
      <c r="F64" s="40">
        <v>150</v>
      </c>
      <c r="G64" s="41"/>
      <c r="H64" s="43" cm="1">
        <f t="array" ref="H64">SUMPRODUCT(Tracking[Amount], --(Tracking[Date]&lt;=Tracking[[#This Row],[Date]]), (Tracking[Type] &lt;&gt; "Income") * (-1) + (Tracking[Type] = "Income"))</f>
        <v>1760</v>
      </c>
      <c r="I64" s="46">
        <f>IF(AND(Tracking[[#This Row],[Type]]="Income", shift_late_income_status="Active", DAY(Tracking[[#This Row],[Date]])&gt;=shift_late_income_starting_day), DATE(YEAR(Tracking[[#This Row],[Date]]), MONTH(Tracking[[#This Row],[Date]])+1, 1), Tracking[[#This Row],[Date]])</f>
        <v>45357</v>
      </c>
    </row>
    <row r="65" spans="3:9" x14ac:dyDescent="0.3">
      <c r="C65" s="39">
        <v>45358</v>
      </c>
      <c r="D65" s="19" t="s">
        <v>12</v>
      </c>
      <c r="E65" s="19" t="s">
        <v>23</v>
      </c>
      <c r="F65" s="40">
        <v>50</v>
      </c>
      <c r="G65" s="41"/>
      <c r="H65" s="43" cm="1">
        <f t="array" ref="H65">SUMPRODUCT(Tracking[Amount], --(Tracking[Date]&lt;=Tracking[[#This Row],[Date]]), (Tracking[Type] &lt;&gt; "Income") * (-1) + (Tracking[Type] = "Income"))</f>
        <v>1710</v>
      </c>
      <c r="I65" s="46">
        <f>IF(AND(Tracking[[#This Row],[Type]]="Income", shift_late_income_status="Active", DAY(Tracking[[#This Row],[Date]])&gt;=shift_late_income_starting_day), DATE(YEAR(Tracking[[#This Row],[Date]]), MONTH(Tracking[[#This Row],[Date]])+1, 1), Tracking[[#This Row],[Date]])</f>
        <v>45358</v>
      </c>
    </row>
    <row r="66" spans="3:9" x14ac:dyDescent="0.3">
      <c r="C66" s="39">
        <v>45360</v>
      </c>
      <c r="D66" s="19" t="s">
        <v>12</v>
      </c>
      <c r="E66" s="19" t="s">
        <v>28</v>
      </c>
      <c r="F66" s="40">
        <v>120</v>
      </c>
      <c r="G66" s="41"/>
      <c r="H66" s="43" cm="1">
        <f t="array" ref="H66">SUMPRODUCT(Tracking[Amount], --(Tracking[Date]&lt;=Tracking[[#This Row],[Date]]), (Tracking[Type] &lt;&gt; "Income") * (-1) + (Tracking[Type] = "Income"))</f>
        <v>1590</v>
      </c>
      <c r="I66" s="46">
        <f>IF(AND(Tracking[[#This Row],[Type]]="Income", shift_late_income_status="Active", DAY(Tracking[[#This Row],[Date]])&gt;=shift_late_income_starting_day), DATE(YEAR(Tracking[[#This Row],[Date]]), MONTH(Tracking[[#This Row],[Date]])+1, 1), Tracking[[#This Row],[Date]])</f>
        <v>45360</v>
      </c>
    </row>
    <row r="67" spans="3:9" x14ac:dyDescent="0.3">
      <c r="C67" s="39">
        <v>45361</v>
      </c>
      <c r="D67" s="19" t="s">
        <v>6</v>
      </c>
      <c r="E67" s="19" t="s">
        <v>11</v>
      </c>
      <c r="F67" s="40">
        <v>100</v>
      </c>
      <c r="G67" s="41"/>
      <c r="H67" s="43" cm="1">
        <f t="array" ref="H67">SUMPRODUCT(Tracking[Amount], --(Tracking[Date]&lt;=Tracking[[#This Row],[Date]]), (Tracking[Type] &lt;&gt; "Income") * (-1) + (Tracking[Type] = "Income"))</f>
        <v>1690</v>
      </c>
      <c r="I67" s="46">
        <f>IF(AND(Tracking[[#This Row],[Type]]="Income", shift_late_income_status="Active", DAY(Tracking[[#This Row],[Date]])&gt;=shift_late_income_starting_day), DATE(YEAR(Tracking[[#This Row],[Date]]), MONTH(Tracking[[#This Row],[Date]])+1, 1), Tracking[[#This Row],[Date]])</f>
        <v>45361</v>
      </c>
    </row>
    <row r="68" spans="3:9" x14ac:dyDescent="0.3">
      <c r="C68" s="39">
        <v>45363</v>
      </c>
      <c r="D68" s="19" t="s">
        <v>12</v>
      </c>
      <c r="E68" s="19" t="s">
        <v>27</v>
      </c>
      <c r="F68" s="40">
        <v>50</v>
      </c>
      <c r="G68" s="41"/>
      <c r="H68" s="43" cm="1">
        <f t="array" ref="H68">SUMPRODUCT(Tracking[Amount], --(Tracking[Date]&lt;=Tracking[[#This Row],[Date]]), (Tracking[Type] &lt;&gt; "Income") * (-1) + (Tracking[Type] = "Income"))</f>
        <v>1640</v>
      </c>
      <c r="I68" s="46">
        <f>IF(AND(Tracking[[#This Row],[Type]]="Income", shift_late_income_status="Active", DAY(Tracking[[#This Row],[Date]])&gt;=shift_late_income_starting_day), DATE(YEAR(Tracking[[#This Row],[Date]]), MONTH(Tracking[[#This Row],[Date]])+1, 1), Tracking[[#This Row],[Date]])</f>
        <v>45363</v>
      </c>
    </row>
    <row r="69" spans="3:9" x14ac:dyDescent="0.3">
      <c r="C69" s="39">
        <v>45364</v>
      </c>
      <c r="D69" s="19" t="s">
        <v>12</v>
      </c>
      <c r="E69" s="19" t="s">
        <v>15</v>
      </c>
      <c r="F69" s="40">
        <v>120</v>
      </c>
      <c r="G69" s="41"/>
      <c r="H69" s="43" cm="1">
        <f t="array" ref="H69">SUMPRODUCT(Tracking[Amount], --(Tracking[Date]&lt;=Tracking[[#This Row],[Date]]), (Tracking[Type] &lt;&gt; "Income") * (-1) + (Tracking[Type] = "Income"))</f>
        <v>1520</v>
      </c>
      <c r="I69" s="46">
        <f>IF(AND(Tracking[[#This Row],[Type]]="Income", shift_late_income_status="Active", DAY(Tracking[[#This Row],[Date]])&gt;=shift_late_income_starting_day), DATE(YEAR(Tracking[[#This Row],[Date]]), MONTH(Tracking[[#This Row],[Date]])+1, 1), Tracking[[#This Row],[Date]])</f>
        <v>45364</v>
      </c>
    </row>
    <row r="70" spans="3:9" x14ac:dyDescent="0.3">
      <c r="C70" s="39">
        <v>45366</v>
      </c>
      <c r="D70" s="19" t="s">
        <v>6</v>
      </c>
      <c r="E70" s="19" t="s">
        <v>10</v>
      </c>
      <c r="F70" s="40">
        <v>1100</v>
      </c>
      <c r="G70" s="41"/>
      <c r="H70" s="43" cm="1">
        <f t="array" ref="H70">SUMPRODUCT(Tracking[Amount], --(Tracking[Date]&lt;=Tracking[[#This Row],[Date]]), (Tracking[Type] &lt;&gt; "Income") * (-1) + (Tracking[Type] = "Income"))</f>
        <v>2620</v>
      </c>
      <c r="I70" s="46">
        <f>IF(AND(Tracking[[#This Row],[Type]]="Income", shift_late_income_status="Active", DAY(Tracking[[#This Row],[Date]])&gt;=shift_late_income_starting_day), DATE(YEAR(Tracking[[#This Row],[Date]]), MONTH(Tracking[[#This Row],[Date]])+1, 1), Tracking[[#This Row],[Date]])</f>
        <v>45366</v>
      </c>
    </row>
  </sheetData>
  <mergeCells count="1">
    <mergeCell ref="C1:H3"/>
  </mergeCells>
  <conditionalFormatting sqref="E12:E70">
    <cfRule type="expression" dxfId="27" priority="3">
      <formula>ISNA(MATCH(E12, INDIRECT(D12), 0))</formula>
    </cfRule>
  </conditionalFormatting>
  <conditionalFormatting sqref="F12:F70">
    <cfRule type="expression" dxfId="26" priority="2">
      <formula>D12="Income"</formula>
    </cfRule>
  </conditionalFormatting>
  <conditionalFormatting sqref="I12:I70">
    <cfRule type="expression" dxfId="25" priority="1">
      <formula>AND(D12="Income", shift_late_income_status="Active", DAY(C12)&gt;=shift_late_income_starting_day)</formula>
    </cfRule>
  </conditionalFormatting>
  <dataValidations count="4">
    <dataValidation type="date" operator="greaterThan" allowBlank="1" showInputMessage="1" showErrorMessage="1" errorTitle="Invalid Date" error="Please enter a valid date." sqref="C12:C70" xr:uid="{D438CF59-2001-4EA9-AA63-C51ED089FE7B}">
      <formula1>1</formula1>
    </dataValidation>
    <dataValidation type="list" allowBlank="1" showInputMessage="1" showErrorMessage="1" errorTitle="Invalid Type" error="Please select a valid type from the dropdown list." sqref="D12:D70" xr:uid="{F254419C-C1AA-461B-9D24-FB33B7045237}">
      <formula1>"Income, Expenses, Savings"</formula1>
    </dataValidation>
    <dataValidation type="list" allowBlank="1" showInputMessage="1" showErrorMessage="1" errorTitle="Invalid Category" error="Please select a valid category from the dropdown list" sqref="E12:E70" xr:uid="{0CCC3497-1A4A-408B-B230-F32B99799213}">
      <formula1>INDIRECT(D12)</formula1>
    </dataValidation>
    <dataValidation type="custom" allowBlank="1" showInputMessage="1" showErrorMessage="1" errorTitle="Invalid Amount" error="Please enter a valid number." sqref="F12:F70" xr:uid="{D8279DEB-900D-452E-812A-E36B363BB4F8}">
      <formula1>ISNUMBER(F12)</formula1>
    </dataValidation>
  </dataValidation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D6D23-2D72-43EF-A569-CC9955C3C8AA}">
  <dimension ref="A1:AF101"/>
  <sheetViews>
    <sheetView showGridLines="0" topLeftCell="C14" zoomScale="90" zoomScaleNormal="90" workbookViewId="0">
      <selection activeCell="H26" sqref="H26"/>
    </sheetView>
  </sheetViews>
  <sheetFormatPr defaultRowHeight="14.4" x14ac:dyDescent="0.3"/>
  <cols>
    <col min="1" max="1" width="4.109375" customWidth="1"/>
    <col min="2" max="2" width="3.109375" customWidth="1"/>
    <col min="3" max="3" width="1.77734375" customWidth="1"/>
    <col min="4" max="4" width="23.44140625" customWidth="1"/>
    <col min="5" max="5" width="32" customWidth="1"/>
    <col min="6" max="6" width="13" customWidth="1"/>
    <col min="7" max="7" width="9" style="92" customWidth="1"/>
    <col min="8" max="8" width="23.44140625" customWidth="1"/>
    <col min="9" max="9" width="32" customWidth="1"/>
    <col min="10" max="10" width="14.33203125" customWidth="1"/>
    <col min="11" max="11" width="3.109375" style="8" customWidth="1"/>
    <col min="12" max="12" width="23.44140625" customWidth="1"/>
    <col min="13" max="13" width="23.88671875" customWidth="1"/>
    <col min="14" max="14" width="8.44140625" customWidth="1"/>
    <col min="15" max="15" width="23.44140625" customWidth="1"/>
    <col min="16" max="16" width="23.88671875" customWidth="1"/>
    <col min="17" max="17" width="8.44140625" customWidth="1"/>
    <col min="18" max="18" width="23.44140625" customWidth="1"/>
    <col min="19" max="19" width="23.88671875" customWidth="1"/>
  </cols>
  <sheetData>
    <row r="1" spans="1:32" x14ac:dyDescent="0.3">
      <c r="A1" s="47"/>
      <c r="B1" s="47"/>
      <c r="C1" s="48" t="s">
        <v>44</v>
      </c>
      <c r="D1" s="48"/>
      <c r="E1" s="48"/>
      <c r="F1" s="48"/>
      <c r="G1" s="48"/>
      <c r="H1" s="47"/>
      <c r="I1" s="47"/>
      <c r="J1" s="47"/>
      <c r="K1" s="95"/>
      <c r="L1" s="47"/>
      <c r="M1" s="47"/>
      <c r="N1" s="47"/>
      <c r="O1" s="47"/>
      <c r="P1" s="47"/>
      <c r="Q1" s="47"/>
      <c r="R1" s="47"/>
      <c r="S1" s="47"/>
      <c r="T1" s="47"/>
      <c r="U1" s="47"/>
      <c r="V1" s="47"/>
      <c r="W1" s="47"/>
      <c r="X1" s="47"/>
      <c r="Y1" s="47"/>
      <c r="Z1" s="47"/>
      <c r="AA1" s="47"/>
      <c r="AB1" s="47"/>
      <c r="AC1" s="47"/>
      <c r="AD1" s="47"/>
      <c r="AE1" s="47"/>
      <c r="AF1" s="47"/>
    </row>
    <row r="2" spans="1:32" x14ac:dyDescent="0.3">
      <c r="A2" s="47"/>
      <c r="B2" s="47"/>
      <c r="C2" s="48"/>
      <c r="D2" s="48"/>
      <c r="E2" s="48"/>
      <c r="F2" s="48"/>
      <c r="G2" s="48"/>
      <c r="H2" s="47"/>
      <c r="I2" s="47"/>
      <c r="J2" s="47"/>
      <c r="K2" s="95"/>
      <c r="L2" s="47"/>
      <c r="M2" s="47"/>
      <c r="N2" s="47"/>
      <c r="O2" s="47"/>
      <c r="P2" s="47"/>
      <c r="Q2" s="47"/>
      <c r="R2" s="47"/>
      <c r="S2" s="47"/>
      <c r="T2" s="47"/>
      <c r="U2" s="47"/>
      <c r="V2" s="47"/>
      <c r="W2" s="47"/>
      <c r="X2" s="47"/>
      <c r="Y2" s="47"/>
      <c r="Z2" s="47"/>
      <c r="AA2" s="47"/>
      <c r="AB2" s="47"/>
      <c r="AC2" s="47"/>
      <c r="AD2" s="47"/>
      <c r="AE2" s="47"/>
      <c r="AF2" s="47"/>
    </row>
    <row r="3" spans="1:32" x14ac:dyDescent="0.3">
      <c r="A3" s="47"/>
      <c r="B3" s="47"/>
      <c r="C3" s="48"/>
      <c r="D3" s="48"/>
      <c r="E3" s="48"/>
      <c r="F3" s="48"/>
      <c r="G3" s="48"/>
      <c r="H3" s="47"/>
      <c r="I3" s="47"/>
      <c r="J3" s="47"/>
      <c r="K3" s="95"/>
      <c r="L3" s="47"/>
      <c r="M3" s="47"/>
      <c r="N3" s="47"/>
      <c r="O3" s="47"/>
      <c r="P3" s="47"/>
      <c r="Q3" s="47"/>
      <c r="R3" s="47"/>
      <c r="S3" s="47"/>
      <c r="T3" s="47"/>
      <c r="U3" s="47"/>
      <c r="V3" s="47"/>
      <c r="W3" s="47"/>
      <c r="X3" s="47"/>
      <c r="Y3" s="47"/>
      <c r="Z3" s="47"/>
      <c r="AA3" s="47"/>
      <c r="AB3" s="47"/>
      <c r="AC3" s="47"/>
      <c r="AD3" s="47"/>
      <c r="AE3" s="47"/>
      <c r="AF3" s="47"/>
    </row>
    <row r="6" spans="1:32" x14ac:dyDescent="0.3">
      <c r="C6" s="49" t="s">
        <v>45</v>
      </c>
      <c r="D6" s="49"/>
      <c r="E6" s="49"/>
      <c r="F6" s="49"/>
    </row>
    <row r="8" spans="1:32" x14ac:dyDescent="0.3">
      <c r="D8" s="50" t="s">
        <v>46</v>
      </c>
      <c r="E8" s="51" cm="1">
        <f t="array" aca="1" ref="E8" ca="1">current_date</f>
        <v>45551</v>
      </c>
    </row>
    <row r="9" spans="1:32" x14ac:dyDescent="0.3">
      <c r="D9" s="50" t="s">
        <v>47</v>
      </c>
      <c r="E9" s="51">
        <f>MAX(Tracking[Date])</f>
        <v>45366</v>
      </c>
    </row>
    <row r="10" spans="1:32" x14ac:dyDescent="0.3">
      <c r="D10" s="50" t="s">
        <v>48</v>
      </c>
      <c r="E10" t="str">
        <f ca="1">IF(E9=0, "", "(" &amp; _xlfn.DAYS(E8,E9) &amp; " days ago)")</f>
        <v>(185 days ago)</v>
      </c>
    </row>
    <row r="11" spans="1:32" x14ac:dyDescent="0.3">
      <c r="D11" s="50" t="s">
        <v>49</v>
      </c>
      <c r="E11">
        <f>COUNT(Tracking[Date])</f>
        <v>59</v>
      </c>
    </row>
    <row r="12" spans="1:32" x14ac:dyDescent="0.3">
      <c r="D12" s="50" t="s">
        <v>50</v>
      </c>
      <c r="E12" t="str" cm="1">
        <f t="array" aca="1" ref="E12" ca="1">"(" &amp; SUMPRODUCT(--(YEAR(Tracking[Date])=YEAR(current_date))) &amp; " this year)"</f>
        <v>(58 this year)</v>
      </c>
    </row>
    <row r="13" spans="1:32" x14ac:dyDescent="0.3">
      <c r="D13" s="50" t="s">
        <v>51</v>
      </c>
      <c r="E13" s="52">
        <f>_xlfn.IFNA(INDEX(Tracking[Balance], MATCH(Calculations!E9, Tracking[Date], 0)), "-")</f>
        <v>2620</v>
      </c>
    </row>
    <row r="14" spans="1:32" x14ac:dyDescent="0.3">
      <c r="D14" s="50" t="s">
        <v>52</v>
      </c>
      <c r="E14" t="str">
        <f>IF(E13&gt;=0, "of tracked income left to be allocated", "allocated not covered by income")</f>
        <v>of tracked income left to be allocated</v>
      </c>
    </row>
    <row r="16" spans="1:32" x14ac:dyDescent="0.3">
      <c r="G16" s="93"/>
    </row>
    <row r="17" spans="3:14" x14ac:dyDescent="0.3">
      <c r="C17" s="63" t="s">
        <v>64</v>
      </c>
      <c r="D17" s="63"/>
      <c r="E17" s="63"/>
      <c r="F17" s="63"/>
      <c r="G17" s="94"/>
    </row>
    <row r="18" spans="3:14" x14ac:dyDescent="0.3">
      <c r="G18" s="93"/>
    </row>
    <row r="19" spans="3:14" x14ac:dyDescent="0.3">
      <c r="D19" s="50" t="s">
        <v>65</v>
      </c>
      <c r="E19" cm="1">
        <f t="array" aca="1" ref="E19" ca="1">IF('Budget Dashboard'!AQ6="Current Year", YEAR(current_date), 'Budget Dashboard'!AQ6)</f>
        <v>2024</v>
      </c>
    </row>
    <row r="20" spans="3:14" x14ac:dyDescent="0.3">
      <c r="D20" s="64" t="s">
        <v>66</v>
      </c>
      <c r="E20" s="123" cm="1">
        <f t="array" ref="E20">IF('Budget Dashboard'!AQ9="Total Year", "Total Year", IF('Budget Dashboard'!AQ9="Current Month", MONTH(current_date), MONTH('Budget Dashboard'!AQ9)))</f>
        <v>2</v>
      </c>
    </row>
    <row r="21" spans="3:14" x14ac:dyDescent="0.3">
      <c r="D21" s="65" t="s">
        <v>67</v>
      </c>
      <c r="E21" s="122" t="str">
        <f ca="1">IF(selected_period="Total Year", "Total Year", TEXT(DATE(selected_year, selected_period, 1), "mmmm"))</f>
        <v>February</v>
      </c>
    </row>
    <row r="22" spans="3:14" x14ac:dyDescent="0.3">
      <c r="D22" s="124" t="s">
        <v>108</v>
      </c>
      <c r="E22">
        <f ca="1">IF(selected_period="Total Year", DATE(selected_year, 12, 31) - DATE(selected_year-1, 12, 31), DAY(EOMONTH(DATE(selected_year, selected_period, 1), 0)))</f>
        <v>29</v>
      </c>
    </row>
    <row r="23" spans="3:14" x14ac:dyDescent="0.3">
      <c r="D23" s="124" t="s">
        <v>109</v>
      </c>
      <c r="E23" cm="1">
        <f t="array" aca="1" ref="E23" ca="1">IF(selected_year=YEAR(current_date), IF(selected_period="Total Year", current_date  - DATE(selected_year-1, 12, 31), IF(selected_period=MONTH(current_date), DAY(current_date), IF(selected_period&lt;MONTH(current_date), E22, 0))), IF(selected_year&lt;YEAR(current_date),E22, 0))</f>
        <v>29</v>
      </c>
    </row>
    <row r="24" spans="3:14" x14ac:dyDescent="0.3">
      <c r="D24" s="124" t="s">
        <v>110</v>
      </c>
      <c r="E24" s="74">
        <f ca="1">E23/E22</f>
        <v>1</v>
      </c>
    </row>
    <row r="25" spans="3:14" x14ac:dyDescent="0.3">
      <c r="D25" s="124" t="s">
        <v>111</v>
      </c>
      <c r="E25" s="69">
        <f ca="1">F41 - (J41+N41)</f>
        <v>0</v>
      </c>
    </row>
    <row r="26" spans="3:14" x14ac:dyDescent="0.3">
      <c r="D26" s="50" t="s">
        <v>52</v>
      </c>
      <c r="E26" t="str">
        <f ca="1">IF(E25&gt;=0, "of tracked income left to be allocated", "allocated not covered by income")</f>
        <v>of tracked income left to be allocated</v>
      </c>
    </row>
    <row r="27" spans="3:14" x14ac:dyDescent="0.3">
      <c r="D27" s="50" t="s">
        <v>112</v>
      </c>
      <c r="E27" s="74">
        <f ca="1">IFERROR(IF(savings_rate_calculation_type="% allocated to Savings", N41/F41, (F41-J41) / F41), "-")</f>
        <v>0.25679012345679014</v>
      </c>
    </row>
    <row r="32" spans="3:14" x14ac:dyDescent="0.3">
      <c r="D32" s="84" t="s">
        <v>90</v>
      </c>
      <c r="E32" s="83"/>
      <c r="F32" s="83"/>
      <c r="H32" s="83"/>
      <c r="I32" s="83"/>
      <c r="J32" s="83"/>
      <c r="L32" s="83"/>
      <c r="M32" s="83"/>
      <c r="N32" s="83"/>
    </row>
    <row r="34" spans="4:14" x14ac:dyDescent="0.3">
      <c r="D34" s="86" t="s">
        <v>6</v>
      </c>
      <c r="E34" s="86" t="s">
        <v>34</v>
      </c>
      <c r="F34" s="86" t="s">
        <v>35</v>
      </c>
      <c r="H34" s="86" t="s">
        <v>12</v>
      </c>
      <c r="I34" s="86" t="s">
        <v>34</v>
      </c>
      <c r="J34" s="86" t="s">
        <v>35</v>
      </c>
      <c r="L34" s="86" t="s">
        <v>12</v>
      </c>
      <c r="M34" s="86" t="s">
        <v>34</v>
      </c>
      <c r="N34" s="86" t="s">
        <v>35</v>
      </c>
    </row>
    <row r="35" spans="4:14" x14ac:dyDescent="0.3">
      <c r="D35" s="4">
        <v>1</v>
      </c>
      <c r="E35" s="4" t="str" cm="1">
        <f t="array" aca="1" ref="E35" ca="1">IF(F35= "", "", INDEX('Budget Dashboard'!$J:$J, MATCH(income_header_row + Calculations!D35, 'Budget Dashboard'!$X:$X, 0)))</f>
        <v>Employment (Net)</v>
      </c>
      <c r="F35" s="89" cm="1">
        <f t="array" aca="1" ref="F35" ca="1">IF(D35&gt;COUNTA(Income[]), "", IF(INDEX('Budget Dashboard'!$K:$K, MATCH(income_header_row + Calculations!D35, 'Budget Dashboard'!$X:$X, 0)) = 0, "", INDEX('Budget Dashboard'!$K:$K, MATCH(income_header_row + Calculations!D35, 'Budget Dashboard'!$X:$X, 0))))</f>
        <v>3500</v>
      </c>
      <c r="H35" s="4">
        <v>1</v>
      </c>
      <c r="I35" s="4" t="str" cm="1">
        <f t="array" aca="1" ref="I35" ca="1">IF(J35= "", "", INDEX('Budget Dashboard'!$J:$J, MATCH(expenses_header_row + Calculations!H35, 'Budget Dashboard'!$X:$X, 0)))</f>
        <v>Housing</v>
      </c>
      <c r="J35" s="89" cm="1">
        <f t="array" aca="1" ref="J35" ca="1">IF(H35&gt;COUNTA(Expenses[]), "", IF(INDEX('Budget Dashboard'!$K:$K, MATCH(expenses_header_row + Calculations!H35, 'Budget Dashboard'!$X:$X, 0)) = 0, "", INDEX('Budget Dashboard'!$K:$K, MATCH(expenses_header_row + Calculations!H35, 'Budget Dashboard'!$X:$X, 0))))</f>
        <v>1200</v>
      </c>
      <c r="L35" s="4">
        <v>1</v>
      </c>
      <c r="M35" s="4" t="str" cm="1">
        <f t="array" aca="1" ref="M35" ca="1">IF(N35= "", "", INDEX('Budget Dashboard'!$J:$J, MATCH(savings_header_row + Calculations!L35, 'Budget Dashboard'!$X:$X, 0)))</f>
        <v>Stock Portfolio</v>
      </c>
      <c r="N35" s="89" cm="1">
        <f t="array" aca="1" ref="N35" ca="1">IF(L35&gt;COUNTA(Savings[]), "", IF(INDEX('Budget Dashboard'!$K:$K, MATCH(savings_header_row + Calculations!L35, 'Budget Dashboard'!$X:$X, 0)) = 0, "", INDEX('Budget Dashboard'!$K:$K, MATCH(savings_header_row + Calculations!L35, 'Budget Dashboard'!$X:$X, 0))))</f>
        <v>500</v>
      </c>
    </row>
    <row r="36" spans="4:14" x14ac:dyDescent="0.3">
      <c r="D36" s="4">
        <v>2</v>
      </c>
      <c r="E36" s="4" t="str" cm="1">
        <f t="array" aca="1" ref="E36" ca="1">IF(F36= "", "", INDEX('Budget Dashboard'!$J:$J, MATCH(income_header_row + Calculations!D36, 'Budget Dashboard'!$X:$X, 0)))</f>
        <v>Side Hustle (Net)</v>
      </c>
      <c r="F36" s="89" cm="1">
        <f t="array" aca="1" ref="F36" ca="1">IF(D36&gt;COUNTA(Income[]), "", IF(INDEX('Budget Dashboard'!$K:$K, MATCH(income_header_row + Calculations!D36, 'Budget Dashboard'!$X:$X, 0)) = 0, "", INDEX('Budget Dashboard'!$K:$K, MATCH(income_header_row + Calculations!D36, 'Budget Dashboard'!$X:$X, 0))))</f>
        <v>500</v>
      </c>
      <c r="H36" s="4">
        <v>2</v>
      </c>
      <c r="I36" s="4" t="str" cm="1">
        <f t="array" aca="1" ref="I36" ca="1">IF(J36= "", "", INDEX('Budget Dashboard'!$J:$J, MATCH(expenses_header_row + Calculations!H36, 'Budget Dashboard'!$X:$X, 0)))</f>
        <v>Groceries</v>
      </c>
      <c r="J36" s="89" cm="1">
        <f t="array" aca="1" ref="J36" ca="1">IF(H36&gt;COUNTA(Expenses[]), "", IF(INDEX('Budget Dashboard'!$K:$K, MATCH(expenses_header_row + Calculations!H36, 'Budget Dashboard'!$X:$X, 0)) = 0, "", INDEX('Budget Dashboard'!$K:$K, MATCH(expenses_header_row + Calculations!H36, 'Budget Dashboard'!$X:$X, 0))))</f>
        <v>400</v>
      </c>
      <c r="L36" s="4">
        <v>2</v>
      </c>
      <c r="M36" s="4" t="str" cm="1">
        <f t="array" aca="1" ref="M36" ca="1">IF(N36= "", "", INDEX('Budget Dashboard'!$J:$J, MATCH(savings_header_row + Calculations!L36, 'Budget Dashboard'!$X:$X, 0)))</f>
        <v>Retirement Account</v>
      </c>
      <c r="N36" s="89" cm="1">
        <f t="array" aca="1" ref="N36" ca="1">IF(L36&gt;COUNTA(Savings[]), "", IF(INDEX('Budget Dashboard'!$K:$K, MATCH(savings_header_row + Calculations!L36, 'Budget Dashboard'!$X:$X, 0)) = 0, "", INDEX('Budget Dashboard'!$K:$K, MATCH(savings_header_row + Calculations!L36, 'Budget Dashboard'!$X:$X, 0))))</f>
        <v>400</v>
      </c>
    </row>
    <row r="37" spans="4:14" x14ac:dyDescent="0.3">
      <c r="D37" s="4">
        <v>3</v>
      </c>
      <c r="E37" s="4" t="str" cm="1">
        <f t="array" aca="1" ref="E37" ca="1">IF(F37= "", "", INDEX('Budget Dashboard'!$J:$J, MATCH(income_header_row + Calculations!D37, 'Budget Dashboard'!$X:$X, 0)))</f>
        <v>Dividents</v>
      </c>
      <c r="F37" s="89" cm="1">
        <f t="array" aca="1" ref="F37" ca="1">IF(D37&gt;COUNTA(Income[]), "", IF(INDEX('Budget Dashboard'!$K:$K, MATCH(income_header_row + Calculations!D37, 'Budget Dashboard'!$X:$X, 0)) = 0, "", INDEX('Budget Dashboard'!$K:$K, MATCH(income_header_row + Calculations!D37, 'Budget Dashboard'!$X:$X, 0))))</f>
        <v>50</v>
      </c>
      <c r="H37" s="4">
        <v>3</v>
      </c>
      <c r="I37" s="4" t="str" cm="1">
        <f t="array" aca="1" ref="I37" ca="1">IF(J37= "", "", INDEX('Budget Dashboard'!$J:$J, MATCH(expenses_header_row + Calculations!H37, 'Budget Dashboard'!$X:$X, 0)))</f>
        <v>Transportation</v>
      </c>
      <c r="J37" s="89" cm="1">
        <f t="array" aca="1" ref="J37" ca="1">IF(H37&gt;COUNTA(Expenses[]), "", IF(INDEX('Budget Dashboard'!$K:$K, MATCH(expenses_header_row + Calculations!H37, 'Budget Dashboard'!$X:$X, 0)) = 0, "", INDEX('Budget Dashboard'!$K:$K, MATCH(expenses_header_row + Calculations!H37, 'Budget Dashboard'!$X:$X, 0))))</f>
        <v>380</v>
      </c>
      <c r="L37" s="4">
        <v>3</v>
      </c>
      <c r="M37" s="4" t="str" cm="1">
        <f t="array" aca="1" ref="M37" ca="1">IF(N37= "", "", INDEX('Budget Dashboard'!$J:$J, MATCH(savings_header_row + Calculations!L37, 'Budget Dashboard'!$X:$X, 0)))</f>
        <v>Emergency Fund</v>
      </c>
      <c r="N37" s="89" cm="1">
        <f t="array" aca="1" ref="N37" ca="1">IF(L37&gt;COUNTA(Savings[]), "", IF(INDEX('Budget Dashboard'!$K:$K, MATCH(savings_header_row + Calculations!L37, 'Budget Dashboard'!$X:$X, 0)) = 0, "", INDEX('Budget Dashboard'!$K:$K, MATCH(savings_header_row + Calculations!L37, 'Budget Dashboard'!$X:$X, 0))))</f>
        <v>140</v>
      </c>
    </row>
    <row r="38" spans="4:14" x14ac:dyDescent="0.3">
      <c r="D38" s="4">
        <v>4</v>
      </c>
      <c r="E38" s="4" t="str" cm="1">
        <f t="array" ref="E38">IF(F38= "", "", INDEX('Budget Dashboard'!$J:$J, MATCH(income_header_row + Calculations!D38, 'Budget Dashboard'!$X:$X, 0)))</f>
        <v/>
      </c>
      <c r="F38" s="89" t="str" cm="1">
        <f t="array" ref="F38">IF(D38&gt;COUNTA(Income[]), "", IF(INDEX('Budget Dashboard'!$K:$K, MATCH(income_header_row + Calculations!D38, 'Budget Dashboard'!$X:$X, 0)) = 0, "", INDEX('Budget Dashboard'!$K:$K, MATCH(income_header_row + Calculations!D38, 'Budget Dashboard'!$X:$X, 0))))</f>
        <v/>
      </c>
      <c r="H38" s="4">
        <v>4</v>
      </c>
      <c r="I38" s="4" t="str" cm="1">
        <f t="array" aca="1" ref="I38" ca="1">IF(J38= "", "", INDEX('Budget Dashboard'!$J:$J, MATCH(expenses_header_row + Calculations!H38, 'Budget Dashboard'!$X:$X, 0)))</f>
        <v>Utlities</v>
      </c>
      <c r="J38" s="89" cm="1">
        <f t="array" aca="1" ref="J38" ca="1">IF(H38&gt;COUNTA(Expenses[]), "", IF(INDEX('Budget Dashboard'!$K:$K, MATCH(expenses_header_row + Calculations!H38, 'Budget Dashboard'!$X:$X, 0)) = 0, "", INDEX('Budget Dashboard'!$K:$K, MATCH(expenses_header_row + Calculations!H38, 'Budget Dashboard'!$X:$X, 0))))</f>
        <v>300</v>
      </c>
      <c r="L38" s="4">
        <v>4</v>
      </c>
      <c r="M38" s="4" t="str" cm="1">
        <f t="array" aca="1" ref="M38" ca="1">IF(N38= "", "", INDEX('Budget Dashboard'!$J:$J, MATCH(savings_header_row + Calculations!L38, 'Budget Dashboard'!$X:$X, 0)))</f>
        <v/>
      </c>
      <c r="N38" s="89" t="str" cm="1">
        <f t="array" aca="1" ref="N38" ca="1">IF(L38&gt;COUNTA(Savings[]), "", IF(INDEX('Budget Dashboard'!$K:$K, MATCH(savings_header_row + Calculations!L38, 'Budget Dashboard'!$X:$X, 0)) = 0, "", INDEX('Budget Dashboard'!$K:$K, MATCH(savings_header_row + Calculations!L38, 'Budget Dashboard'!$X:$X, 0))))</f>
        <v/>
      </c>
    </row>
    <row r="39" spans="4:14" x14ac:dyDescent="0.3">
      <c r="D39" s="4">
        <v>5</v>
      </c>
      <c r="E39" s="4" t="str" cm="1">
        <f t="array" ref="E39">IF(F39= "", "", INDEX('Budget Dashboard'!$J:$J, MATCH(income_header_row + Calculations!D39, 'Budget Dashboard'!$X:$X, 0)))</f>
        <v/>
      </c>
      <c r="F39" s="89" t="str" cm="1">
        <f t="array" ref="F39">IF(D39&gt;COUNTA(Income[]), "", IF(INDEX('Budget Dashboard'!$K:$K, MATCH(income_header_row + Calculations!D39, 'Budget Dashboard'!$X:$X, 0)) = 0, "", INDEX('Budget Dashboard'!$K:$K, MATCH(income_header_row + Calculations!D39, 'Budget Dashboard'!$X:$X, 0))))</f>
        <v/>
      </c>
      <c r="H39" s="4">
        <v>5</v>
      </c>
      <c r="I39" s="4" t="str" cm="1">
        <f t="array" aca="1" ref="I39" ca="1">IF(J39= "", "", INDEX('Budget Dashboard'!$J:$J, MATCH(expenses_header_row + Calculations!H39, 'Budget Dashboard'!$X:$X, 0)))</f>
        <v>Body Care &amp; Medicine</v>
      </c>
      <c r="J39" s="89" cm="1">
        <f t="array" aca="1" ref="J39" ca="1">IF(H39&gt;COUNTA(Expenses[]), "", IF(INDEX('Budget Dashboard'!$K:$K, MATCH(expenses_header_row + Calculations!H39, 'Budget Dashboard'!$X:$X, 0)) = 0, "", INDEX('Budget Dashboard'!$K:$K, MATCH(expenses_header_row + Calculations!H39, 'Budget Dashboard'!$X:$X, 0))))</f>
        <v>270</v>
      </c>
      <c r="L39" s="4">
        <v>5</v>
      </c>
      <c r="M39" s="4" t="str" cm="1">
        <f t="array" aca="1" ref="M39" ca="1">IF(N39= "", "", INDEX('Budget Dashboard'!$J:$J, MATCH(savings_header_row + Calculations!L39, 'Budget Dashboard'!$X:$X, 0)))</f>
        <v/>
      </c>
      <c r="N39" s="89" t="str" cm="1">
        <f t="array" aca="1" ref="N39" ca="1">IF(L39&gt;COUNTA(Savings[]), "", IF(INDEX('Budget Dashboard'!$K:$K, MATCH(savings_header_row + Calculations!L39, 'Budget Dashboard'!$X:$X, 0)) = 0, "", INDEX('Budget Dashboard'!$K:$K, MATCH(savings_header_row + Calculations!L39, 'Budget Dashboard'!$X:$X, 0))))</f>
        <v/>
      </c>
    </row>
    <row r="40" spans="4:14" ht="15" thickBot="1" x14ac:dyDescent="0.35">
      <c r="D40" s="87">
        <v>6</v>
      </c>
      <c r="E40" s="87" t="str">
        <f ca="1">IF(F40="", "", "Others")</f>
        <v/>
      </c>
      <c r="F40" s="90" t="str">
        <f ca="1">IF(F41-SUM(F35:F39)=0, "", F41-SUM(F35:F39))</f>
        <v/>
      </c>
      <c r="H40" s="87">
        <v>6</v>
      </c>
      <c r="I40" s="87" t="str">
        <f ca="1">IF(J40="", "", "Others")</f>
        <v>Others</v>
      </c>
      <c r="J40" s="90">
        <f ca="1">IF(J41-SUM(J35:J39)=0, "", J41-SUM(J35:J39))</f>
        <v>460</v>
      </c>
      <c r="L40" s="87">
        <v>6</v>
      </c>
      <c r="M40" s="87" t="str">
        <f ca="1">IF(N40="", "", "Others")</f>
        <v/>
      </c>
      <c r="N40" s="90" t="str">
        <f ca="1">IF(N41-SUM(N35:N39)=0, "", N41-SUM(N35:N39))</f>
        <v/>
      </c>
    </row>
    <row r="41" spans="4:14" ht="15" thickTop="1" x14ac:dyDescent="0.3">
      <c r="D41" s="4"/>
      <c r="E41" s="88" t="s">
        <v>8</v>
      </c>
      <c r="F41" s="91" cm="1">
        <f t="array" aca="1" ref="F41" ca="1">INDEX('Budget Dashboard'!$K:$K, MATCH(income_total_row, 'Budget Dashboard'!$X:$X, 0))</f>
        <v>4050</v>
      </c>
      <c r="H41" s="4"/>
      <c r="I41" s="88" t="s">
        <v>8</v>
      </c>
      <c r="J41" s="91" cm="1">
        <f t="array" aca="1" ref="J41" ca="1">INDEX('Budget Dashboard'!$K:$K, MATCH(expenses_total_row, 'Budget Dashboard'!$X:$X, 0))</f>
        <v>3010</v>
      </c>
      <c r="L41" s="4"/>
      <c r="M41" s="88" t="s">
        <v>8</v>
      </c>
      <c r="N41" s="91" cm="1">
        <f t="array" aca="1" ref="N41" ca="1">INDEX('Budget Dashboard'!$K:$K, MATCH(savings_total_row, 'Budget Dashboard'!$X:$X, 0))</f>
        <v>1040</v>
      </c>
    </row>
    <row r="46" spans="4:14" x14ac:dyDescent="0.3">
      <c r="D46" s="84" t="s">
        <v>90</v>
      </c>
      <c r="E46" s="83"/>
      <c r="F46" s="83"/>
      <c r="H46" s="83"/>
      <c r="I46" s="83"/>
      <c r="J46" s="83"/>
      <c r="L46" s="83"/>
      <c r="M46" s="83"/>
      <c r="N46" s="83"/>
    </row>
    <row r="48" spans="4:14" x14ac:dyDescent="0.3">
      <c r="D48" s="85" t="s">
        <v>103</v>
      </c>
      <c r="E48" t="b">
        <v>1</v>
      </c>
    </row>
    <row r="49" spans="4:21" x14ac:dyDescent="0.3">
      <c r="D49" s="85" t="s">
        <v>104</v>
      </c>
      <c r="E49" t="b">
        <v>1</v>
      </c>
    </row>
    <row r="50" spans="4:21" x14ac:dyDescent="0.3">
      <c r="D50" s="85" t="s">
        <v>105</v>
      </c>
      <c r="E50" t="b">
        <v>1</v>
      </c>
    </row>
    <row r="51" spans="4:21" x14ac:dyDescent="0.3">
      <c r="D51" s="85" t="s">
        <v>106</v>
      </c>
      <c r="E51" t="b">
        <v>1</v>
      </c>
    </row>
    <row r="52" spans="4:21" x14ac:dyDescent="0.3">
      <c r="L52" s="112"/>
      <c r="M52" s="112"/>
      <c r="N52" s="6" t="s">
        <v>96</v>
      </c>
      <c r="O52" s="6"/>
      <c r="P52" s="6"/>
      <c r="Q52" s="101" t="s">
        <v>107</v>
      </c>
      <c r="R52" s="101"/>
      <c r="S52" s="101"/>
      <c r="T52" s="114"/>
      <c r="U52" s="92"/>
    </row>
    <row r="53" spans="4:21" s="88" customFormat="1" x14ac:dyDescent="0.3">
      <c r="D53" s="102" t="s">
        <v>91</v>
      </c>
      <c r="E53" s="102" t="s">
        <v>33</v>
      </c>
      <c r="F53" s="102" t="s">
        <v>92</v>
      </c>
      <c r="G53" s="103" t="s">
        <v>93</v>
      </c>
      <c r="H53" s="102" t="s">
        <v>94</v>
      </c>
      <c r="I53" s="102" t="s">
        <v>95</v>
      </c>
      <c r="J53" s="102" t="s">
        <v>102</v>
      </c>
      <c r="K53" s="102"/>
      <c r="L53" s="102" t="s">
        <v>100</v>
      </c>
      <c r="M53" s="102" t="s">
        <v>101</v>
      </c>
      <c r="N53" s="102" t="s">
        <v>97</v>
      </c>
      <c r="O53" s="102" t="s">
        <v>98</v>
      </c>
      <c r="P53" s="102" t="s">
        <v>99</v>
      </c>
      <c r="Q53" s="102" t="s">
        <v>97</v>
      </c>
      <c r="R53" s="102" t="s">
        <v>98</v>
      </c>
      <c r="S53" s="102" t="s">
        <v>99</v>
      </c>
      <c r="T53" s="100"/>
      <c r="U53" s="100"/>
    </row>
    <row r="54" spans="4:21" s="115" customFormat="1" x14ac:dyDescent="0.3">
      <c r="D54" s="105">
        <f ca="1">DATE(selected_year, 1, 1)</f>
        <v>45292</v>
      </c>
      <c r="E54" s="116" t="s">
        <v>6</v>
      </c>
      <c r="F54" s="116">
        <f ca="1">MONTH(D54)</f>
        <v>1</v>
      </c>
      <c r="G54" s="117">
        <f ca="1">IF(selected_period="Total Year", 1, IF(selected_period=cc_month_number, 1, 0))</f>
        <v>0</v>
      </c>
      <c r="H54" s="116">
        <f>1*$E$48</f>
        <v>1</v>
      </c>
      <c r="I54" s="116">
        <f>1*$E$51</f>
        <v>1</v>
      </c>
      <c r="J54" s="118" cm="1">
        <f t="array" aca="1" ref="J54" ca="1">SUM(Tracking[Amount] * (Tracking[Type]=cc_type) * ( YEAR(Tracking[Effective Date]) = selected_year) * (MONTH(Tracking[Effective Date]) = cc_month_number))</f>
        <v>4850</v>
      </c>
      <c r="K54" s="116"/>
      <c r="L54" s="118" cm="1">
        <f t="array" aca="1" ref="L54" ca="1" xml:space="preserve"> INDEX('Budget Planning'!$E:$CI, income_total_row, MATCH(DATE(selected_year, cc_month_number, 1), 'Budget Planning'!$E$10:$CI$10, 0))</f>
        <v>4650</v>
      </c>
      <c r="M54" s="118">
        <f ca="1">cc_Budget-cc_Tracked</f>
        <v>-200</v>
      </c>
      <c r="N54" s="118">
        <f ca="1">cc_In_Focus * cc_Show_Type * MIN(cc_Tracked, cc_Budget)</f>
        <v>0</v>
      </c>
      <c r="O54" s="118">
        <f ca="1">cc_In_Focus * cc_Show_Type *cc_Show_Rem_Budget * IF(cc_Delta&gt;0, cc_Delta, 0)</f>
        <v>0</v>
      </c>
      <c r="P54" s="118">
        <f ca="1">cc_In_Focus * cc_Show_Type * IF(cc_Delta&lt;0, ABS(cc_Delta), 0)</f>
        <v>0</v>
      </c>
      <c r="Q54" s="118">
        <f ca="1">NOT(cc_In_Focus) * cc_Show_Type * MIN(cc_Tracked, cc_Budget)</f>
        <v>4650</v>
      </c>
      <c r="R54" s="118">
        <f ca="1">NOT(cc_In_Focus) * cc_Show_Type *cc_Show_Rem_Budget * IF(cc_Delta&gt;0, cc_Delta, 0)</f>
        <v>0</v>
      </c>
      <c r="S54" s="118">
        <f ca="1">NOT(cc_In_Focus) * cc_Show_Type * IF(cc_Delta&lt;0, ABS(cc_Delta), 0)</f>
        <v>200</v>
      </c>
      <c r="T54" s="117"/>
      <c r="U54" s="117"/>
    </row>
    <row r="55" spans="4:21" s="115" customFormat="1" x14ac:dyDescent="0.3">
      <c r="D55" s="105"/>
      <c r="E55" s="116" t="s">
        <v>12</v>
      </c>
      <c r="F55" s="116">
        <f ca="1">MONTH(D54)</f>
        <v>1</v>
      </c>
      <c r="G55" s="117">
        <f ca="1">IF(selected_period="Total Year", 1, IF(selected_period=cc_month_number, 1, 0))</f>
        <v>0</v>
      </c>
      <c r="H55" s="116">
        <f>1*$E$49</f>
        <v>1</v>
      </c>
      <c r="I55" s="116">
        <f t="shared" ref="I55:I56" si="0">1*$E$51</f>
        <v>1</v>
      </c>
      <c r="J55" s="118" cm="1">
        <f t="array" aca="1" ref="J55" ca="1">SUM(Tracking[Amount] * (Tracking[Type]=cc_type) * ( YEAR(Tracking[Effective Date]) = selected_year) * (MONTH(Tracking[Effective Date]) = cc_month_number))</f>
        <v>2800</v>
      </c>
      <c r="K55" s="116"/>
      <c r="L55" s="118" cm="1">
        <f t="array" aca="1" ref="L55" ca="1" xml:space="preserve"> INDEX('Budget Planning'!$E:$CI, expenses_total_row, MATCH(DATE(selected_year, cc_month_number, 1), 'Budget Planning'!$E$10:$CI$10, 0))</f>
        <v>2900</v>
      </c>
      <c r="M55" s="118">
        <f ca="1">cc_Budget-cc_Tracked</f>
        <v>100</v>
      </c>
      <c r="N55" s="118">
        <f ca="1">cc_In_Focus * cc_Show_Type * MIN(cc_Tracked, cc_Budget)</f>
        <v>0</v>
      </c>
      <c r="O55" s="118">
        <f ca="1">cc_In_Focus * cc_Show_Type *cc_Show_Rem_Budget * IF(cc_Delta&gt;0, cc_Delta, 0)</f>
        <v>0</v>
      </c>
      <c r="P55" s="118">
        <f ca="1">cc_In_Focus * cc_Show_Type * IF(cc_Delta&lt;0, ABS(cc_Delta), 0)</f>
        <v>0</v>
      </c>
      <c r="Q55" s="118">
        <f ca="1">NOT(cc_In_Focus) * cc_Show_Type * MIN(cc_Tracked, cc_Budget)</f>
        <v>2800</v>
      </c>
      <c r="R55" s="118">
        <f ca="1">NOT(cc_In_Focus) * cc_Show_Type *cc_Show_Rem_Budget * IF(cc_Delta&gt;0, cc_Delta, 0)</f>
        <v>100</v>
      </c>
      <c r="S55" s="118">
        <f ca="1">NOT(cc_In_Focus) * cc_Show_Type * IF(cc_Delta&lt;0, ABS(cc_Delta), 0)</f>
        <v>0</v>
      </c>
    </row>
    <row r="56" spans="4:21" s="115" customFormat="1" x14ac:dyDescent="0.3">
      <c r="D56" s="105"/>
      <c r="E56" s="116" t="s">
        <v>17</v>
      </c>
      <c r="F56" s="116">
        <f ca="1">MONTH(D54)</f>
        <v>1</v>
      </c>
      <c r="G56" s="117">
        <f ca="1">IF(selected_period="Total Year", 1, IF(selected_period=cc_month_number, 1, 0))</f>
        <v>0</v>
      </c>
      <c r="H56" s="116">
        <f>1*$E$50</f>
        <v>1</v>
      </c>
      <c r="I56" s="116">
        <f t="shared" si="0"/>
        <v>1</v>
      </c>
      <c r="J56" s="118" cm="1">
        <f t="array" aca="1" ref="J56" ca="1">SUM(Tracking[Amount] * (Tracking[Type]=cc_type) * ( YEAR(Tracking[Effective Date]) = selected_year) * (MONTH(Tracking[Effective Date]) = cc_month_number))</f>
        <v>2050</v>
      </c>
      <c r="K56" s="116"/>
      <c r="L56" s="118" cm="1">
        <f t="array" aca="1" ref="L56" ca="1" xml:space="preserve"> INDEX('Budget Planning'!$E:$CI, savings_total_row, MATCH(DATE(selected_year, cc_month_number, 1), 'Budget Planning'!$E$10:$CI$10, 0))</f>
        <v>1750</v>
      </c>
      <c r="M56" s="118">
        <f ca="1">cc_Budget-cc_Tracked</f>
        <v>-300</v>
      </c>
      <c r="N56" s="118">
        <f ca="1">cc_In_Focus * cc_Show_Type * MIN(cc_Tracked, cc_Budget)</f>
        <v>0</v>
      </c>
      <c r="O56" s="118">
        <f ca="1">cc_In_Focus * cc_Show_Type *cc_Show_Rem_Budget * IF(cc_Delta&gt;0, cc_Delta, 0)</f>
        <v>0</v>
      </c>
      <c r="P56" s="118">
        <f ca="1">cc_In_Focus * cc_Show_Type * IF(cc_Delta&lt;0, ABS(cc_Delta), 0)</f>
        <v>0</v>
      </c>
      <c r="Q56" s="118">
        <f ca="1">NOT(cc_In_Focus) * cc_Show_Type * MIN(cc_Tracked, cc_Budget)</f>
        <v>1750</v>
      </c>
      <c r="R56" s="118">
        <f ca="1">NOT(cc_In_Focus) * cc_Show_Type *cc_Show_Rem_Budget * IF(cc_Delta&gt;0, cc_Delta, 0)</f>
        <v>0</v>
      </c>
      <c r="S56" s="118">
        <f ca="1">NOT(cc_In_Focus) * cc_Show_Type * IF(cc_Delta&lt;0, ABS(cc_Delta), 0)</f>
        <v>300</v>
      </c>
    </row>
    <row r="57" spans="4:21" s="115" customFormat="1" x14ac:dyDescent="0.3">
      <c r="D57" s="106"/>
      <c r="E57" s="119"/>
      <c r="F57" s="119"/>
      <c r="G57" s="120"/>
      <c r="H57" s="119"/>
      <c r="I57" s="119"/>
      <c r="J57" s="121"/>
      <c r="K57" s="119"/>
      <c r="L57" s="121"/>
      <c r="M57" s="121"/>
      <c r="N57" s="119"/>
      <c r="O57" s="119"/>
      <c r="P57" s="119"/>
      <c r="Q57" s="119"/>
    </row>
    <row r="58" spans="4:21" s="4" customFormat="1" x14ac:dyDescent="0.3">
      <c r="D58" s="104">
        <f ca="1">DATE(selected_year, 2, 1)</f>
        <v>45323</v>
      </c>
      <c r="E58" s="107" t="s">
        <v>6</v>
      </c>
      <c r="F58" s="44">
        <f t="shared" ref="F58:F101" ca="1" si="1">MONTH(D58)</f>
        <v>2</v>
      </c>
      <c r="G58" s="108">
        <f ca="1">IF(selected_period="Total Year", 1, IF(selected_period=cc_month_number, 1, 0))</f>
        <v>1</v>
      </c>
      <c r="H58" s="44">
        <f t="shared" ref="H58" si="2">1*$E$48</f>
        <v>1</v>
      </c>
      <c r="I58" s="44">
        <f t="shared" ref="I58:I100" si="3">1*$E$51</f>
        <v>1</v>
      </c>
      <c r="J58" s="111" cm="1">
        <f t="array" aca="1" ref="J58" ca="1">SUM(Tracking[Amount] * (Tracking[Type]=cc_type) * ( YEAR(Tracking[Effective Date]) = selected_year) * (MONTH(Tracking[Effective Date]) = cc_month_number))</f>
        <v>4050</v>
      </c>
      <c r="K58" s="107"/>
      <c r="L58" s="111" cm="1">
        <f t="array" aca="1" ref="L58" ca="1" xml:space="preserve"> INDEX('Budget Planning'!$E:$CI, income_total_row, MATCH(DATE(selected_year, cc_month_number, 1), 'Budget Planning'!$E$10:$CI$10, 0))</f>
        <v>4550</v>
      </c>
      <c r="M58" s="111">
        <f ca="1">cc_Budget-cc_Tracked</f>
        <v>500</v>
      </c>
      <c r="N58" s="118">
        <f ca="1">cc_In_Focus * cc_Show_Type * MIN(cc_Tracked, cc_Budget)</f>
        <v>4050</v>
      </c>
      <c r="O58" s="118">
        <f ca="1">cc_In_Focus * cc_Show_Type *cc_Show_Rem_Budget * IF(cc_Delta&gt;0, cc_Delta, 0)</f>
        <v>500</v>
      </c>
      <c r="P58" s="118">
        <f ca="1">cc_In_Focus * cc_Show_Type * IF(cc_Delta&lt;0, ABS(cc_Delta), 0)</f>
        <v>0</v>
      </c>
      <c r="Q58" s="118">
        <f ca="1">NOT(cc_In_Focus) * cc_Show_Type * MIN(cc_Tracked, cc_Budget)</f>
        <v>0</v>
      </c>
      <c r="R58" s="118">
        <f ca="1">NOT(cc_In_Focus) * cc_Show_Type *cc_Show_Rem_Budget * IF(cc_Delta&gt;0, cc_Delta, 0)</f>
        <v>0</v>
      </c>
      <c r="S58" s="118">
        <f ca="1">NOT(cc_In_Focus) * cc_Show_Type * IF(cc_Delta&lt;0, ABS(cc_Delta), 0)</f>
        <v>0</v>
      </c>
    </row>
    <row r="59" spans="4:21" s="4" customFormat="1" x14ac:dyDescent="0.3">
      <c r="D59" s="105"/>
      <c r="E59" s="44" t="s">
        <v>12</v>
      </c>
      <c r="F59" s="44">
        <f t="shared" ref="F59:F101" ca="1" si="4">MONTH(D58)</f>
        <v>2</v>
      </c>
      <c r="G59" s="108">
        <f ca="1">IF(selected_period="Total Year", 1, IF(selected_period=cc_month_number, 1, 0))</f>
        <v>1</v>
      </c>
      <c r="H59" s="44">
        <f t="shared" ref="H59" si="5">1*$E$49</f>
        <v>1</v>
      </c>
      <c r="I59" s="44">
        <f t="shared" si="3"/>
        <v>1</v>
      </c>
      <c r="J59" s="111" cm="1">
        <f t="array" aca="1" ref="J59" ca="1">SUM(Tracking[Amount] * (Tracking[Type]=cc_type) * ( YEAR(Tracking[Effective Date]) = selected_year) * (MONTH(Tracking[Effective Date]) = cc_month_number))</f>
        <v>3010</v>
      </c>
      <c r="K59" s="44"/>
      <c r="L59" s="111" cm="1">
        <f t="array" aca="1" ref="L59" ca="1" xml:space="preserve"> INDEX('Budget Planning'!$E:$CI, expenses_total_row, MATCH(DATE(selected_year, cc_month_number, 1), 'Budget Planning'!$E$10:$CI$10, 0))</f>
        <v>2900</v>
      </c>
      <c r="M59" s="111">
        <f ca="1">cc_Budget-cc_Tracked</f>
        <v>-110</v>
      </c>
      <c r="N59" s="118">
        <f ca="1">cc_In_Focus * cc_Show_Type * MIN(cc_Tracked, cc_Budget)</f>
        <v>2900</v>
      </c>
      <c r="O59" s="118">
        <f ca="1">cc_In_Focus * cc_Show_Type *cc_Show_Rem_Budget * IF(cc_Delta&gt;0, cc_Delta, 0)</f>
        <v>0</v>
      </c>
      <c r="P59" s="118">
        <f ca="1">cc_In_Focus * cc_Show_Type * IF(cc_Delta&lt;0, ABS(cc_Delta), 0)</f>
        <v>110</v>
      </c>
      <c r="Q59" s="118">
        <f ca="1">NOT(cc_In_Focus) * cc_Show_Type * MIN(cc_Tracked, cc_Budget)</f>
        <v>0</v>
      </c>
      <c r="R59" s="118">
        <f ca="1">NOT(cc_In_Focus) * cc_Show_Type *cc_Show_Rem_Budget * IF(cc_Delta&gt;0, cc_Delta, 0)</f>
        <v>0</v>
      </c>
      <c r="S59" s="118">
        <f ca="1">NOT(cc_In_Focus) * cc_Show_Type * IF(cc_Delta&lt;0, ABS(cc_Delta), 0)</f>
        <v>0</v>
      </c>
    </row>
    <row r="60" spans="4:21" s="4" customFormat="1" x14ac:dyDescent="0.3">
      <c r="D60" s="105"/>
      <c r="E60" s="44" t="s">
        <v>17</v>
      </c>
      <c r="F60" s="44">
        <f t="shared" ref="F60" ca="1" si="6">MONTH(D58)</f>
        <v>2</v>
      </c>
      <c r="G60" s="108">
        <f ca="1">IF(selected_period="Total Year", 1, IF(selected_period=cc_month_number, 1, 0))</f>
        <v>1</v>
      </c>
      <c r="H60" s="44">
        <f t="shared" ref="H60" si="7">1*$E$50</f>
        <v>1</v>
      </c>
      <c r="I60" s="44">
        <f t="shared" si="3"/>
        <v>1</v>
      </c>
      <c r="J60" s="111" cm="1">
        <f t="array" aca="1" ref="J60" ca="1">SUM(Tracking[Amount] * (Tracking[Type]=cc_type) * ( YEAR(Tracking[Effective Date]) = selected_year) * (MONTH(Tracking[Effective Date]) = cc_month_number))</f>
        <v>1040</v>
      </c>
      <c r="K60" s="44"/>
      <c r="L60" s="111" cm="1">
        <f t="array" aca="1" ref="L60" ca="1" xml:space="preserve"> INDEX('Budget Planning'!$E:$CI, savings_total_row, MATCH(DATE(selected_year, cc_month_number, 1), 'Budget Planning'!$E$10:$CI$10, 0))</f>
        <v>1650</v>
      </c>
      <c r="M60" s="111">
        <f ca="1">cc_Budget-cc_Tracked</f>
        <v>610</v>
      </c>
      <c r="N60" s="118">
        <f ca="1">cc_In_Focus * cc_Show_Type * MIN(cc_Tracked, cc_Budget)</f>
        <v>1040</v>
      </c>
      <c r="O60" s="118">
        <f ca="1">cc_In_Focus * cc_Show_Type *cc_Show_Rem_Budget * IF(cc_Delta&gt;0, cc_Delta, 0)</f>
        <v>610</v>
      </c>
      <c r="P60" s="118">
        <f ca="1">cc_In_Focus * cc_Show_Type * IF(cc_Delta&lt;0, ABS(cc_Delta), 0)</f>
        <v>0</v>
      </c>
      <c r="Q60" s="118">
        <f ca="1">NOT(cc_In_Focus) * cc_Show_Type * MIN(cc_Tracked, cc_Budget)</f>
        <v>0</v>
      </c>
      <c r="R60" s="118">
        <f ca="1">NOT(cc_In_Focus) * cc_Show_Type *cc_Show_Rem_Budget * IF(cc_Delta&gt;0, cc_Delta, 0)</f>
        <v>0</v>
      </c>
      <c r="S60" s="118">
        <f ca="1">NOT(cc_In_Focus) * cc_Show_Type * IF(cc_Delta&lt;0, ABS(cc_Delta), 0)</f>
        <v>0</v>
      </c>
    </row>
    <row r="61" spans="4:21" s="4" customFormat="1" x14ac:dyDescent="0.3">
      <c r="D61" s="106"/>
      <c r="E61" s="109"/>
      <c r="F61" s="109"/>
      <c r="G61" s="110"/>
      <c r="H61" s="109"/>
      <c r="I61" s="109"/>
      <c r="J61" s="113"/>
      <c r="K61" s="109"/>
      <c r="L61" s="113"/>
      <c r="M61" s="113"/>
      <c r="N61" s="119"/>
      <c r="O61" s="119"/>
      <c r="P61" s="119"/>
      <c r="Q61" s="119"/>
      <c r="R61" s="115"/>
      <c r="S61" s="115"/>
    </row>
    <row r="62" spans="4:21" s="4" customFormat="1" x14ac:dyDescent="0.3">
      <c r="D62" s="104">
        <f ca="1">DATE(selected_year, 3, 1)</f>
        <v>45352</v>
      </c>
      <c r="E62" s="107" t="s">
        <v>6</v>
      </c>
      <c r="F62" s="44">
        <f t="shared" ref="F62:F101" ca="1" si="8">MONTH(D62)</f>
        <v>3</v>
      </c>
      <c r="G62" s="108">
        <f ca="1">IF(selected_period="Total Year", 1, IF(selected_period=cc_month_number, 1, 0))</f>
        <v>0</v>
      </c>
      <c r="H62" s="44">
        <f t="shared" ref="H62" si="9">1*$E$48</f>
        <v>1</v>
      </c>
      <c r="I62" s="44">
        <f t="shared" ref="I62" si="10">1*$E$51</f>
        <v>1</v>
      </c>
      <c r="J62" s="111" cm="1">
        <f t="array" aca="1" ref="J62" ca="1">SUM(Tracking[Amount] * (Tracking[Type]=cc_type) * ( YEAR(Tracking[Effective Date]) = selected_year) * (MONTH(Tracking[Effective Date]) = cc_month_number))</f>
        <v>4700</v>
      </c>
      <c r="K62" s="107"/>
      <c r="L62" s="111" cm="1">
        <f t="array" aca="1" ref="L62" ca="1" xml:space="preserve"> INDEX('Budget Planning'!$E:$CI, income_total_row, MATCH(DATE(selected_year, cc_month_number, 1), 'Budget Planning'!$E$10:$CI$10, 0))</f>
        <v>4600</v>
      </c>
      <c r="M62" s="111">
        <f ca="1">cc_Budget-cc_Tracked</f>
        <v>-100</v>
      </c>
      <c r="N62" s="118">
        <f ca="1">cc_In_Focus * cc_Show_Type * MIN(cc_Tracked, cc_Budget)</f>
        <v>0</v>
      </c>
      <c r="O62" s="118">
        <f ca="1">cc_In_Focus * cc_Show_Type *cc_Show_Rem_Budget * IF(cc_Delta&gt;0, cc_Delta, 0)</f>
        <v>0</v>
      </c>
      <c r="P62" s="118">
        <f ca="1">cc_In_Focus * cc_Show_Type * IF(cc_Delta&lt;0, ABS(cc_Delta), 0)</f>
        <v>0</v>
      </c>
      <c r="Q62" s="118">
        <f ca="1">NOT(cc_In_Focus) * cc_Show_Type * MIN(cc_Tracked, cc_Budget)</f>
        <v>4600</v>
      </c>
      <c r="R62" s="118">
        <f ca="1">NOT(cc_In_Focus) * cc_Show_Type *cc_Show_Rem_Budget * IF(cc_Delta&gt;0, cc_Delta, 0)</f>
        <v>0</v>
      </c>
      <c r="S62" s="118">
        <f ca="1">NOT(cc_In_Focus) * cc_Show_Type * IF(cc_Delta&lt;0, ABS(cc_Delta), 0)</f>
        <v>100</v>
      </c>
    </row>
    <row r="63" spans="4:21" s="4" customFormat="1" x14ac:dyDescent="0.3">
      <c r="D63" s="105"/>
      <c r="E63" s="44" t="s">
        <v>12</v>
      </c>
      <c r="F63" s="44">
        <f t="shared" ref="F63:F101" ca="1" si="11">MONTH(D62)</f>
        <v>3</v>
      </c>
      <c r="G63" s="108">
        <f ca="1">IF(selected_period="Total Year", 1, IF(selected_period=cc_month_number, 1, 0))</f>
        <v>0</v>
      </c>
      <c r="H63" s="44">
        <f t="shared" ref="H63" si="12">1*$E$49</f>
        <v>1</v>
      </c>
      <c r="I63" s="44">
        <f t="shared" si="3"/>
        <v>1</v>
      </c>
      <c r="J63" s="111" cm="1">
        <f t="array" aca="1" ref="J63" ca="1">SUM(Tracking[Amount] * (Tracking[Type]=cc_type) * ( YEAR(Tracking[Effective Date]) = selected_year) * (MONTH(Tracking[Effective Date]) = cc_month_number))</f>
        <v>2080</v>
      </c>
      <c r="K63" s="44"/>
      <c r="L63" s="111" cm="1">
        <f t="array" aca="1" ref="L63" ca="1" xml:space="preserve"> INDEX('Budget Planning'!$E:$CI, expenses_total_row, MATCH(DATE(selected_year, cc_month_number, 1), 'Budget Planning'!$E$10:$CI$10, 0))</f>
        <v>3050</v>
      </c>
      <c r="M63" s="111">
        <f ca="1">cc_Budget-cc_Tracked</f>
        <v>970</v>
      </c>
      <c r="N63" s="118">
        <f ca="1">cc_In_Focus * cc_Show_Type * MIN(cc_Tracked, cc_Budget)</f>
        <v>0</v>
      </c>
      <c r="O63" s="118">
        <f ca="1">cc_In_Focus * cc_Show_Type *cc_Show_Rem_Budget * IF(cc_Delta&gt;0, cc_Delta, 0)</f>
        <v>0</v>
      </c>
      <c r="P63" s="118">
        <f ca="1">cc_In_Focus * cc_Show_Type * IF(cc_Delta&lt;0, ABS(cc_Delta), 0)</f>
        <v>0</v>
      </c>
      <c r="Q63" s="118">
        <f ca="1">NOT(cc_In_Focus) * cc_Show_Type * MIN(cc_Tracked, cc_Budget)</f>
        <v>2080</v>
      </c>
      <c r="R63" s="118">
        <f ca="1">NOT(cc_In_Focus) * cc_Show_Type *cc_Show_Rem_Budget * IF(cc_Delta&gt;0, cc_Delta, 0)</f>
        <v>970</v>
      </c>
      <c r="S63" s="118">
        <f ca="1">NOT(cc_In_Focus) * cc_Show_Type * IF(cc_Delta&lt;0, ABS(cc_Delta), 0)</f>
        <v>0</v>
      </c>
    </row>
    <row r="64" spans="4:21" s="4" customFormat="1" x14ac:dyDescent="0.3">
      <c r="D64" s="105"/>
      <c r="E64" s="44" t="s">
        <v>17</v>
      </c>
      <c r="F64" s="44">
        <f t="shared" ref="F64" ca="1" si="13">MONTH(D62)</f>
        <v>3</v>
      </c>
      <c r="G64" s="108">
        <f ca="1">IF(selected_period="Total Year", 1, IF(selected_period=cc_month_number, 1, 0))</f>
        <v>0</v>
      </c>
      <c r="H64" s="44">
        <f t="shared" ref="H64" si="14">1*$E$50</f>
        <v>1</v>
      </c>
      <c r="I64" s="44">
        <f t="shared" si="3"/>
        <v>1</v>
      </c>
      <c r="J64" s="111" cm="1">
        <f t="array" aca="1" ref="J64" ca="1">SUM(Tracking[Amount] * (Tracking[Type]=cc_type) * ( YEAR(Tracking[Effective Date]) = selected_year) * (MONTH(Tracking[Effective Date]) = cc_month_number))</f>
        <v>0</v>
      </c>
      <c r="K64" s="44"/>
      <c r="L64" s="111" cm="1">
        <f t="array" aca="1" ref="L64" ca="1" xml:space="preserve"> INDEX('Budget Planning'!$E:$CI, savings_total_row, MATCH(DATE(selected_year, cc_month_number, 1), 'Budget Planning'!$E$10:$CI$10, 0))</f>
        <v>1550</v>
      </c>
      <c r="M64" s="111">
        <f ca="1">cc_Budget-cc_Tracked</f>
        <v>1550</v>
      </c>
      <c r="N64" s="118">
        <f ca="1">cc_In_Focus * cc_Show_Type * MIN(cc_Tracked, cc_Budget)</f>
        <v>0</v>
      </c>
      <c r="O64" s="118">
        <f ca="1">cc_In_Focus * cc_Show_Type *cc_Show_Rem_Budget * IF(cc_Delta&gt;0, cc_Delta, 0)</f>
        <v>0</v>
      </c>
      <c r="P64" s="118">
        <f ca="1">cc_In_Focus * cc_Show_Type * IF(cc_Delta&lt;0, ABS(cc_Delta), 0)</f>
        <v>0</v>
      </c>
      <c r="Q64" s="118">
        <f ca="1">NOT(cc_In_Focus) * cc_Show_Type * MIN(cc_Tracked, cc_Budget)</f>
        <v>0</v>
      </c>
      <c r="R64" s="118">
        <f ca="1">NOT(cc_In_Focus) * cc_Show_Type *cc_Show_Rem_Budget * IF(cc_Delta&gt;0, cc_Delta, 0)</f>
        <v>1550</v>
      </c>
      <c r="S64" s="118">
        <f ca="1">NOT(cc_In_Focus) * cc_Show_Type * IF(cc_Delta&lt;0, ABS(cc_Delta), 0)</f>
        <v>0</v>
      </c>
    </row>
    <row r="65" spans="4:19" s="4" customFormat="1" x14ac:dyDescent="0.3">
      <c r="D65" s="106"/>
      <c r="E65" s="109"/>
      <c r="F65" s="109"/>
      <c r="G65" s="110"/>
      <c r="H65" s="109"/>
      <c r="I65" s="109"/>
      <c r="J65" s="113"/>
      <c r="K65" s="109"/>
      <c r="L65" s="113"/>
      <c r="M65" s="113"/>
      <c r="N65" s="119"/>
      <c r="O65" s="119"/>
      <c r="P65" s="119"/>
      <c r="Q65" s="119"/>
      <c r="R65" s="115"/>
      <c r="S65" s="115"/>
    </row>
    <row r="66" spans="4:19" s="4" customFormat="1" x14ac:dyDescent="0.3">
      <c r="D66" s="104">
        <f ca="1">DATE(selected_year, 4, 1)</f>
        <v>45383</v>
      </c>
      <c r="E66" s="107" t="s">
        <v>6</v>
      </c>
      <c r="F66" s="44">
        <f t="shared" ref="F66:F101" ca="1" si="15">MONTH(D66)</f>
        <v>4</v>
      </c>
      <c r="G66" s="108">
        <f ca="1">IF(selected_period="Total Year", 1, IF(selected_period=cc_month_number, 1, 0))</f>
        <v>0</v>
      </c>
      <c r="H66" s="44">
        <f t="shared" ref="H66" si="16">1*$E$48</f>
        <v>1</v>
      </c>
      <c r="I66" s="44">
        <f t="shared" ref="I66" si="17">1*$E$51</f>
        <v>1</v>
      </c>
      <c r="J66" s="111" cm="1">
        <f t="array" aca="1" ref="J66" ca="1">SUM(Tracking[Amount] * (Tracking[Type]=cc_type) * ( YEAR(Tracking[Effective Date]) = selected_year) * (MONTH(Tracking[Effective Date]) = cc_month_number))</f>
        <v>0</v>
      </c>
      <c r="K66" s="107"/>
      <c r="L66" s="111" cm="1">
        <f t="array" aca="1" ref="L66" ca="1" xml:space="preserve"> INDEX('Budget Planning'!$E:$CI, income_total_row, MATCH(DATE(selected_year, cc_month_number, 1), 'Budget Planning'!$E$10:$CI$10, 0))</f>
        <v>5650</v>
      </c>
      <c r="M66" s="111">
        <f ca="1">cc_Budget-cc_Tracked</f>
        <v>5650</v>
      </c>
      <c r="N66" s="118">
        <f ca="1">cc_In_Focus * cc_Show_Type * MIN(cc_Tracked, cc_Budget)</f>
        <v>0</v>
      </c>
      <c r="O66" s="118">
        <f ca="1">cc_In_Focus * cc_Show_Type *cc_Show_Rem_Budget * IF(cc_Delta&gt;0, cc_Delta, 0)</f>
        <v>0</v>
      </c>
      <c r="P66" s="118">
        <f ca="1">cc_In_Focus * cc_Show_Type * IF(cc_Delta&lt;0, ABS(cc_Delta), 0)</f>
        <v>0</v>
      </c>
      <c r="Q66" s="118">
        <f ca="1">NOT(cc_In_Focus) * cc_Show_Type * MIN(cc_Tracked, cc_Budget)</f>
        <v>0</v>
      </c>
      <c r="R66" s="118">
        <f ca="1">NOT(cc_In_Focus) * cc_Show_Type *cc_Show_Rem_Budget * IF(cc_Delta&gt;0, cc_Delta, 0)</f>
        <v>5650</v>
      </c>
      <c r="S66" s="118">
        <f ca="1">NOT(cc_In_Focus) * cc_Show_Type * IF(cc_Delta&lt;0, ABS(cc_Delta), 0)</f>
        <v>0</v>
      </c>
    </row>
    <row r="67" spans="4:19" s="4" customFormat="1" x14ac:dyDescent="0.3">
      <c r="D67" s="105"/>
      <c r="E67" s="44" t="s">
        <v>12</v>
      </c>
      <c r="F67" s="44">
        <f t="shared" ref="F67:F101" ca="1" si="18">MONTH(D66)</f>
        <v>4</v>
      </c>
      <c r="G67" s="108">
        <f ca="1">IF(selected_period="Total Year", 1, IF(selected_period=cc_month_number, 1, 0))</f>
        <v>0</v>
      </c>
      <c r="H67" s="44">
        <f t="shared" ref="H67" si="19">1*$E$49</f>
        <v>1</v>
      </c>
      <c r="I67" s="44">
        <f t="shared" si="3"/>
        <v>1</v>
      </c>
      <c r="J67" s="111" cm="1">
        <f t="array" aca="1" ref="J67" ca="1">SUM(Tracking[Amount] * (Tracking[Type]=cc_type) * ( YEAR(Tracking[Effective Date]) = selected_year) * (MONTH(Tracking[Effective Date]) = cc_month_number))</f>
        <v>0</v>
      </c>
      <c r="K67" s="44"/>
      <c r="L67" s="111" cm="1">
        <f t="array" aca="1" ref="L67" ca="1" xml:space="preserve"> INDEX('Budget Planning'!$E:$CI, expenses_total_row, MATCH(DATE(selected_year, cc_month_number, 1), 'Budget Planning'!$E$10:$CI$10, 0))</f>
        <v>3800</v>
      </c>
      <c r="M67" s="111">
        <f ca="1">cc_Budget-cc_Tracked</f>
        <v>3800</v>
      </c>
      <c r="N67" s="118">
        <f ca="1">cc_In_Focus * cc_Show_Type * MIN(cc_Tracked, cc_Budget)</f>
        <v>0</v>
      </c>
      <c r="O67" s="118">
        <f ca="1">cc_In_Focus * cc_Show_Type *cc_Show_Rem_Budget * IF(cc_Delta&gt;0, cc_Delta, 0)</f>
        <v>0</v>
      </c>
      <c r="P67" s="118">
        <f ca="1">cc_In_Focus * cc_Show_Type * IF(cc_Delta&lt;0, ABS(cc_Delta), 0)</f>
        <v>0</v>
      </c>
      <c r="Q67" s="118">
        <f ca="1">NOT(cc_In_Focus) * cc_Show_Type * MIN(cc_Tracked, cc_Budget)</f>
        <v>0</v>
      </c>
      <c r="R67" s="118">
        <f ca="1">NOT(cc_In_Focus) * cc_Show_Type *cc_Show_Rem_Budget * IF(cc_Delta&gt;0, cc_Delta, 0)</f>
        <v>3800</v>
      </c>
      <c r="S67" s="118">
        <f ca="1">NOT(cc_In_Focus) * cc_Show_Type * IF(cc_Delta&lt;0, ABS(cc_Delta), 0)</f>
        <v>0</v>
      </c>
    </row>
    <row r="68" spans="4:19" s="4" customFormat="1" x14ac:dyDescent="0.3">
      <c r="D68" s="105"/>
      <c r="E68" s="44" t="s">
        <v>17</v>
      </c>
      <c r="F68" s="44">
        <f t="shared" ref="F68" ca="1" si="20">MONTH(D66)</f>
        <v>4</v>
      </c>
      <c r="G68" s="108">
        <f ca="1">IF(selected_period="Total Year", 1, IF(selected_period=cc_month_number, 1, 0))</f>
        <v>0</v>
      </c>
      <c r="H68" s="44">
        <f t="shared" ref="H68" si="21">1*$E$50</f>
        <v>1</v>
      </c>
      <c r="I68" s="44">
        <f t="shared" si="3"/>
        <v>1</v>
      </c>
      <c r="J68" s="111" cm="1">
        <f t="array" aca="1" ref="J68" ca="1">SUM(Tracking[Amount] * (Tracking[Type]=cc_type) * ( YEAR(Tracking[Effective Date]) = selected_year) * (MONTH(Tracking[Effective Date]) = cc_month_number))</f>
        <v>0</v>
      </c>
      <c r="K68" s="44"/>
      <c r="L68" s="111" cm="1">
        <f t="array" aca="1" ref="L68" ca="1" xml:space="preserve"> INDEX('Budget Planning'!$E:$CI, savings_total_row, MATCH(DATE(selected_year, cc_month_number, 1), 'Budget Planning'!$E$10:$CI$10, 0))</f>
        <v>1850</v>
      </c>
      <c r="M68" s="111">
        <f ca="1">cc_Budget-cc_Tracked</f>
        <v>1850</v>
      </c>
      <c r="N68" s="118">
        <f ca="1">cc_In_Focus * cc_Show_Type * MIN(cc_Tracked, cc_Budget)</f>
        <v>0</v>
      </c>
      <c r="O68" s="118">
        <f ca="1">cc_In_Focus * cc_Show_Type *cc_Show_Rem_Budget * IF(cc_Delta&gt;0, cc_Delta, 0)</f>
        <v>0</v>
      </c>
      <c r="P68" s="118">
        <f ca="1">cc_In_Focus * cc_Show_Type * IF(cc_Delta&lt;0, ABS(cc_Delta), 0)</f>
        <v>0</v>
      </c>
      <c r="Q68" s="118">
        <f ca="1">NOT(cc_In_Focus) * cc_Show_Type * MIN(cc_Tracked, cc_Budget)</f>
        <v>0</v>
      </c>
      <c r="R68" s="118">
        <f ca="1">NOT(cc_In_Focus) * cc_Show_Type *cc_Show_Rem_Budget * IF(cc_Delta&gt;0, cc_Delta, 0)</f>
        <v>1850</v>
      </c>
      <c r="S68" s="118">
        <f ca="1">NOT(cc_In_Focus) * cc_Show_Type * IF(cc_Delta&lt;0, ABS(cc_Delta), 0)</f>
        <v>0</v>
      </c>
    </row>
    <row r="69" spans="4:19" s="4" customFormat="1" x14ac:dyDescent="0.3">
      <c r="D69" s="106"/>
      <c r="E69" s="109"/>
      <c r="F69" s="109"/>
      <c r="G69" s="110"/>
      <c r="H69" s="109"/>
      <c r="I69" s="109"/>
      <c r="J69" s="113"/>
      <c r="K69" s="109"/>
      <c r="L69" s="113"/>
      <c r="M69" s="113"/>
      <c r="N69" s="119"/>
      <c r="O69" s="119"/>
      <c r="P69" s="119"/>
      <c r="Q69" s="119"/>
      <c r="R69" s="115"/>
      <c r="S69" s="115"/>
    </row>
    <row r="70" spans="4:19" s="4" customFormat="1" x14ac:dyDescent="0.3">
      <c r="D70" s="104">
        <f ca="1">DATE(selected_year, 5, 1)</f>
        <v>45413</v>
      </c>
      <c r="E70" s="107" t="s">
        <v>6</v>
      </c>
      <c r="F70" s="44">
        <f t="shared" ref="F70:F101" ca="1" si="22">MONTH(D70)</f>
        <v>5</v>
      </c>
      <c r="G70" s="108">
        <f ca="1">IF(selected_period="Total Year", 1, IF(selected_period=cc_month_number, 1, 0))</f>
        <v>0</v>
      </c>
      <c r="H70" s="44">
        <f t="shared" ref="H70" si="23">1*$E$48</f>
        <v>1</v>
      </c>
      <c r="I70" s="44">
        <f t="shared" ref="I70" si="24">1*$E$51</f>
        <v>1</v>
      </c>
      <c r="J70" s="111" cm="1">
        <f t="array" aca="1" ref="J70" ca="1">SUM(Tracking[Amount] * (Tracking[Type]=cc_type) * ( YEAR(Tracking[Effective Date]) = selected_year) * (MONTH(Tracking[Effective Date]) = cc_month_number))</f>
        <v>0</v>
      </c>
      <c r="K70" s="107"/>
      <c r="L70" s="111" cm="1">
        <f t="array" aca="1" ref="L70" ca="1" xml:space="preserve"> INDEX('Budget Planning'!$E:$CI, income_total_row, MATCH(DATE(selected_year, cc_month_number, 1), 'Budget Planning'!$E$10:$CI$10, 0))</f>
        <v>5550</v>
      </c>
      <c r="M70" s="111">
        <f ca="1">cc_Budget-cc_Tracked</f>
        <v>5550</v>
      </c>
      <c r="N70" s="118">
        <f ca="1">cc_In_Focus * cc_Show_Type * MIN(cc_Tracked, cc_Budget)</f>
        <v>0</v>
      </c>
      <c r="O70" s="118">
        <f ca="1">cc_In_Focus * cc_Show_Type *cc_Show_Rem_Budget * IF(cc_Delta&gt;0, cc_Delta, 0)</f>
        <v>0</v>
      </c>
      <c r="P70" s="118">
        <f ca="1">cc_In_Focus * cc_Show_Type * IF(cc_Delta&lt;0, ABS(cc_Delta), 0)</f>
        <v>0</v>
      </c>
      <c r="Q70" s="118">
        <f ca="1">NOT(cc_In_Focus) * cc_Show_Type * MIN(cc_Tracked, cc_Budget)</f>
        <v>0</v>
      </c>
      <c r="R70" s="118">
        <f ca="1">NOT(cc_In_Focus) * cc_Show_Type *cc_Show_Rem_Budget * IF(cc_Delta&gt;0, cc_Delta, 0)</f>
        <v>5550</v>
      </c>
      <c r="S70" s="118">
        <f ca="1">NOT(cc_In_Focus) * cc_Show_Type * IF(cc_Delta&lt;0, ABS(cc_Delta), 0)</f>
        <v>0</v>
      </c>
    </row>
    <row r="71" spans="4:19" s="4" customFormat="1" x14ac:dyDescent="0.3">
      <c r="D71" s="105"/>
      <c r="E71" s="44" t="s">
        <v>12</v>
      </c>
      <c r="F71" s="44">
        <f t="shared" ref="F71:F101" ca="1" si="25">MONTH(D70)</f>
        <v>5</v>
      </c>
      <c r="G71" s="108">
        <f ca="1">IF(selected_period="Total Year", 1, IF(selected_period=cc_month_number, 1, 0))</f>
        <v>0</v>
      </c>
      <c r="H71" s="44">
        <f t="shared" ref="H71" si="26">1*$E$49</f>
        <v>1</v>
      </c>
      <c r="I71" s="44">
        <f t="shared" si="3"/>
        <v>1</v>
      </c>
      <c r="J71" s="111" cm="1">
        <f t="array" aca="1" ref="J71" ca="1">SUM(Tracking[Amount] * (Tracking[Type]=cc_type) * ( YEAR(Tracking[Effective Date]) = selected_year) * (MONTH(Tracking[Effective Date]) = cc_month_number))</f>
        <v>0</v>
      </c>
      <c r="K71" s="44"/>
      <c r="L71" s="111" cm="1">
        <f t="array" aca="1" ref="L71" ca="1" xml:space="preserve"> INDEX('Budget Planning'!$E:$CI, expenses_total_row, MATCH(DATE(selected_year, cc_month_number, 1), 'Budget Planning'!$E$10:$CI$10, 0))</f>
        <v>2900</v>
      </c>
      <c r="M71" s="111">
        <f ca="1">cc_Budget-cc_Tracked</f>
        <v>2900</v>
      </c>
      <c r="N71" s="118">
        <f ca="1">cc_In_Focus * cc_Show_Type * MIN(cc_Tracked, cc_Budget)</f>
        <v>0</v>
      </c>
      <c r="O71" s="118">
        <f ca="1">cc_In_Focus * cc_Show_Type *cc_Show_Rem_Budget * IF(cc_Delta&gt;0, cc_Delta, 0)</f>
        <v>0</v>
      </c>
      <c r="P71" s="118">
        <f ca="1">cc_In_Focus * cc_Show_Type * IF(cc_Delta&lt;0, ABS(cc_Delta), 0)</f>
        <v>0</v>
      </c>
      <c r="Q71" s="118">
        <f ca="1">NOT(cc_In_Focus) * cc_Show_Type * MIN(cc_Tracked, cc_Budget)</f>
        <v>0</v>
      </c>
      <c r="R71" s="118">
        <f ca="1">NOT(cc_In_Focus) * cc_Show_Type *cc_Show_Rem_Budget * IF(cc_Delta&gt;0, cc_Delta, 0)</f>
        <v>2900</v>
      </c>
      <c r="S71" s="118">
        <f ca="1">NOT(cc_In_Focus) * cc_Show_Type * IF(cc_Delta&lt;0, ABS(cc_Delta), 0)</f>
        <v>0</v>
      </c>
    </row>
    <row r="72" spans="4:19" s="4" customFormat="1" x14ac:dyDescent="0.3">
      <c r="D72" s="105"/>
      <c r="E72" s="44" t="s">
        <v>17</v>
      </c>
      <c r="F72" s="44">
        <f t="shared" ref="F72" ca="1" si="27">MONTH(D70)</f>
        <v>5</v>
      </c>
      <c r="G72" s="108">
        <f ca="1">IF(selected_period="Total Year", 1, IF(selected_period=cc_month_number, 1, 0))</f>
        <v>0</v>
      </c>
      <c r="H72" s="44">
        <f t="shared" ref="H72" si="28">1*$E$50</f>
        <v>1</v>
      </c>
      <c r="I72" s="44">
        <f t="shared" si="3"/>
        <v>1</v>
      </c>
      <c r="J72" s="111" cm="1">
        <f t="array" aca="1" ref="J72" ca="1">SUM(Tracking[Amount] * (Tracking[Type]=cc_type) * ( YEAR(Tracking[Effective Date]) = selected_year) * (MONTH(Tracking[Effective Date]) = cc_month_number))</f>
        <v>0</v>
      </c>
      <c r="K72" s="44"/>
      <c r="L72" s="111" cm="1">
        <f t="array" aca="1" ref="L72" ca="1" xml:space="preserve"> INDEX('Budget Planning'!$E:$CI, savings_total_row, MATCH(DATE(selected_year, cc_month_number, 1), 'Budget Planning'!$E$10:$CI$10, 0))</f>
        <v>2650</v>
      </c>
      <c r="M72" s="111">
        <f ca="1">cc_Budget-cc_Tracked</f>
        <v>2650</v>
      </c>
      <c r="N72" s="118">
        <f ca="1">cc_In_Focus * cc_Show_Type * MIN(cc_Tracked, cc_Budget)</f>
        <v>0</v>
      </c>
      <c r="O72" s="118">
        <f ca="1">cc_In_Focus * cc_Show_Type *cc_Show_Rem_Budget * IF(cc_Delta&gt;0, cc_Delta, 0)</f>
        <v>0</v>
      </c>
      <c r="P72" s="118">
        <f ca="1">cc_In_Focus * cc_Show_Type * IF(cc_Delta&lt;0, ABS(cc_Delta), 0)</f>
        <v>0</v>
      </c>
      <c r="Q72" s="118">
        <f ca="1">NOT(cc_In_Focus) * cc_Show_Type * MIN(cc_Tracked, cc_Budget)</f>
        <v>0</v>
      </c>
      <c r="R72" s="118">
        <f ca="1">NOT(cc_In_Focus) * cc_Show_Type *cc_Show_Rem_Budget * IF(cc_Delta&gt;0, cc_Delta, 0)</f>
        <v>2650</v>
      </c>
      <c r="S72" s="118">
        <f ca="1">NOT(cc_In_Focus) * cc_Show_Type * IF(cc_Delta&lt;0, ABS(cc_Delta), 0)</f>
        <v>0</v>
      </c>
    </row>
    <row r="73" spans="4:19" s="4" customFormat="1" x14ac:dyDescent="0.3">
      <c r="D73" s="106"/>
      <c r="E73" s="109"/>
      <c r="F73" s="109"/>
      <c r="G73" s="110"/>
      <c r="H73" s="109"/>
      <c r="I73" s="109"/>
      <c r="J73" s="113"/>
      <c r="K73" s="109"/>
      <c r="L73" s="113"/>
      <c r="M73" s="113"/>
      <c r="N73" s="119"/>
      <c r="O73" s="119"/>
      <c r="P73" s="119"/>
      <c r="Q73" s="119"/>
      <c r="R73" s="115"/>
      <c r="S73" s="115"/>
    </row>
    <row r="74" spans="4:19" s="4" customFormat="1" x14ac:dyDescent="0.3">
      <c r="D74" s="104">
        <f ca="1">DATE(selected_year, 6, 1)</f>
        <v>45444</v>
      </c>
      <c r="E74" s="107" t="s">
        <v>6</v>
      </c>
      <c r="F74" s="44">
        <f t="shared" ref="F74:F101" ca="1" si="29">MONTH(D74)</f>
        <v>6</v>
      </c>
      <c r="G74" s="108">
        <f ca="1">IF(selected_period="Total Year", 1, IF(selected_period=cc_month_number, 1, 0))</f>
        <v>0</v>
      </c>
      <c r="H74" s="44">
        <f t="shared" ref="H74" si="30">1*$E$48</f>
        <v>1</v>
      </c>
      <c r="I74" s="44">
        <f t="shared" ref="I74" si="31">1*$E$51</f>
        <v>1</v>
      </c>
      <c r="J74" s="111" cm="1">
        <f t="array" aca="1" ref="J74" ca="1">SUM(Tracking[Amount] * (Tracking[Type]=cc_type) * ( YEAR(Tracking[Effective Date]) = selected_year) * (MONTH(Tracking[Effective Date]) = cc_month_number))</f>
        <v>0</v>
      </c>
      <c r="K74" s="107"/>
      <c r="L74" s="111" cm="1">
        <f t="array" aca="1" ref="L74" ca="1" xml:space="preserve"> INDEX('Budget Planning'!$E:$CI, income_total_row, MATCH(DATE(selected_year, cc_month_number, 1), 'Budget Planning'!$E$10:$CI$10, 0))</f>
        <v>5600</v>
      </c>
      <c r="M74" s="111">
        <f ca="1">cc_Budget-cc_Tracked</f>
        <v>5600</v>
      </c>
      <c r="N74" s="118">
        <f ca="1">cc_In_Focus * cc_Show_Type * MIN(cc_Tracked, cc_Budget)</f>
        <v>0</v>
      </c>
      <c r="O74" s="118">
        <f ca="1">cc_In_Focus * cc_Show_Type *cc_Show_Rem_Budget * IF(cc_Delta&gt;0, cc_Delta, 0)</f>
        <v>0</v>
      </c>
      <c r="P74" s="118">
        <f ca="1">cc_In_Focus * cc_Show_Type * IF(cc_Delta&lt;0, ABS(cc_Delta), 0)</f>
        <v>0</v>
      </c>
      <c r="Q74" s="118">
        <f ca="1">NOT(cc_In_Focus) * cc_Show_Type * MIN(cc_Tracked, cc_Budget)</f>
        <v>0</v>
      </c>
      <c r="R74" s="118">
        <f ca="1">NOT(cc_In_Focus) * cc_Show_Type *cc_Show_Rem_Budget * IF(cc_Delta&gt;0, cc_Delta, 0)</f>
        <v>5600</v>
      </c>
      <c r="S74" s="118">
        <f ca="1">NOT(cc_In_Focus) * cc_Show_Type * IF(cc_Delta&lt;0, ABS(cc_Delta), 0)</f>
        <v>0</v>
      </c>
    </row>
    <row r="75" spans="4:19" s="4" customFormat="1" x14ac:dyDescent="0.3">
      <c r="D75" s="105"/>
      <c r="E75" s="44" t="s">
        <v>12</v>
      </c>
      <c r="F75" s="44">
        <f t="shared" ref="F75:F101" ca="1" si="32">MONTH(D74)</f>
        <v>6</v>
      </c>
      <c r="G75" s="108">
        <f ca="1">IF(selected_period="Total Year", 1, IF(selected_period=cc_month_number, 1, 0))</f>
        <v>0</v>
      </c>
      <c r="H75" s="44">
        <f t="shared" ref="H75" si="33">1*$E$49</f>
        <v>1</v>
      </c>
      <c r="I75" s="44">
        <f t="shared" si="3"/>
        <v>1</v>
      </c>
      <c r="J75" s="111" cm="1">
        <f t="array" aca="1" ref="J75" ca="1">SUM(Tracking[Amount] * (Tracking[Type]=cc_type) * ( YEAR(Tracking[Effective Date]) = selected_year) * (MONTH(Tracking[Effective Date]) = cc_month_number))</f>
        <v>0</v>
      </c>
      <c r="K75" s="44"/>
      <c r="L75" s="111" cm="1">
        <f t="array" aca="1" ref="L75" ca="1" xml:space="preserve"> INDEX('Budget Planning'!$E:$CI, expenses_total_row, MATCH(DATE(selected_year, cc_month_number, 1), 'Budget Planning'!$E$10:$CI$10, 0))</f>
        <v>3050</v>
      </c>
      <c r="M75" s="111">
        <f ca="1">cc_Budget-cc_Tracked</f>
        <v>3050</v>
      </c>
      <c r="N75" s="118">
        <f ca="1">cc_In_Focus * cc_Show_Type * MIN(cc_Tracked, cc_Budget)</f>
        <v>0</v>
      </c>
      <c r="O75" s="118">
        <f ca="1">cc_In_Focus * cc_Show_Type *cc_Show_Rem_Budget * IF(cc_Delta&gt;0, cc_Delta, 0)</f>
        <v>0</v>
      </c>
      <c r="P75" s="118">
        <f ca="1">cc_In_Focus * cc_Show_Type * IF(cc_Delta&lt;0, ABS(cc_Delta), 0)</f>
        <v>0</v>
      </c>
      <c r="Q75" s="118">
        <f ca="1">NOT(cc_In_Focus) * cc_Show_Type * MIN(cc_Tracked, cc_Budget)</f>
        <v>0</v>
      </c>
      <c r="R75" s="118">
        <f ca="1">NOT(cc_In_Focus) * cc_Show_Type *cc_Show_Rem_Budget * IF(cc_Delta&gt;0, cc_Delta, 0)</f>
        <v>3050</v>
      </c>
      <c r="S75" s="118">
        <f ca="1">NOT(cc_In_Focus) * cc_Show_Type * IF(cc_Delta&lt;0, ABS(cc_Delta), 0)</f>
        <v>0</v>
      </c>
    </row>
    <row r="76" spans="4:19" s="4" customFormat="1" x14ac:dyDescent="0.3">
      <c r="D76" s="105"/>
      <c r="E76" s="44" t="s">
        <v>17</v>
      </c>
      <c r="F76" s="44">
        <f t="shared" ref="F76" ca="1" si="34">MONTH(D74)</f>
        <v>6</v>
      </c>
      <c r="G76" s="108">
        <f ca="1">IF(selected_period="Total Year", 1, IF(selected_period=cc_month_number, 1, 0))</f>
        <v>0</v>
      </c>
      <c r="H76" s="44">
        <f t="shared" ref="H76" si="35">1*$E$50</f>
        <v>1</v>
      </c>
      <c r="I76" s="44">
        <f t="shared" si="3"/>
        <v>1</v>
      </c>
      <c r="J76" s="111" cm="1">
        <f t="array" aca="1" ref="J76" ca="1">SUM(Tracking[Amount] * (Tracking[Type]=cc_type) * ( YEAR(Tracking[Effective Date]) = selected_year) * (MONTH(Tracking[Effective Date]) = cc_month_number))</f>
        <v>0</v>
      </c>
      <c r="K76" s="44"/>
      <c r="L76" s="111" cm="1">
        <f t="array" aca="1" ref="L76" ca="1" xml:space="preserve"> INDEX('Budget Planning'!$E:$CI, savings_total_row, MATCH(DATE(selected_year, cc_month_number, 1), 'Budget Planning'!$E$10:$CI$10, 0))</f>
        <v>2550</v>
      </c>
      <c r="M76" s="111">
        <f ca="1">cc_Budget-cc_Tracked</f>
        <v>2550</v>
      </c>
      <c r="N76" s="118">
        <f ca="1">cc_In_Focus * cc_Show_Type * MIN(cc_Tracked, cc_Budget)</f>
        <v>0</v>
      </c>
      <c r="O76" s="118">
        <f ca="1">cc_In_Focus * cc_Show_Type *cc_Show_Rem_Budget * IF(cc_Delta&gt;0, cc_Delta, 0)</f>
        <v>0</v>
      </c>
      <c r="P76" s="118">
        <f ca="1">cc_In_Focus * cc_Show_Type * IF(cc_Delta&lt;0, ABS(cc_Delta), 0)</f>
        <v>0</v>
      </c>
      <c r="Q76" s="118">
        <f ca="1">NOT(cc_In_Focus) * cc_Show_Type * MIN(cc_Tracked, cc_Budget)</f>
        <v>0</v>
      </c>
      <c r="R76" s="118">
        <f ca="1">NOT(cc_In_Focus) * cc_Show_Type *cc_Show_Rem_Budget * IF(cc_Delta&gt;0, cc_Delta, 0)</f>
        <v>2550</v>
      </c>
      <c r="S76" s="118">
        <f ca="1">NOT(cc_In_Focus) * cc_Show_Type * IF(cc_Delta&lt;0, ABS(cc_Delta), 0)</f>
        <v>0</v>
      </c>
    </row>
    <row r="77" spans="4:19" s="4" customFormat="1" x14ac:dyDescent="0.3">
      <c r="D77" s="106"/>
      <c r="E77" s="109"/>
      <c r="F77" s="109"/>
      <c r="G77" s="110"/>
      <c r="H77" s="109"/>
      <c r="I77" s="109"/>
      <c r="J77" s="113"/>
      <c r="K77" s="109"/>
      <c r="L77" s="113"/>
      <c r="M77" s="113"/>
      <c r="N77" s="119"/>
      <c r="O77" s="119"/>
      <c r="P77" s="119"/>
      <c r="Q77" s="119"/>
      <c r="R77" s="115"/>
      <c r="S77" s="115"/>
    </row>
    <row r="78" spans="4:19" s="4" customFormat="1" x14ac:dyDescent="0.3">
      <c r="D78" s="104">
        <f ca="1">DATE(selected_year, 7, 1)</f>
        <v>45474</v>
      </c>
      <c r="E78" s="107" t="s">
        <v>6</v>
      </c>
      <c r="F78" s="44">
        <f t="shared" ref="F78:F101" ca="1" si="36">MONTH(D78)</f>
        <v>7</v>
      </c>
      <c r="G78" s="108">
        <f ca="1">IF(selected_period="Total Year", 1, IF(selected_period=cc_month_number, 1, 0))</f>
        <v>0</v>
      </c>
      <c r="H78" s="44">
        <f t="shared" ref="H78" si="37">1*$E$48</f>
        <v>1</v>
      </c>
      <c r="I78" s="44">
        <f t="shared" ref="I78" si="38">1*$E$51</f>
        <v>1</v>
      </c>
      <c r="J78" s="111" cm="1">
        <f t="array" aca="1" ref="J78" ca="1">SUM(Tracking[Amount] * (Tracking[Type]=cc_type) * ( YEAR(Tracking[Effective Date]) = selected_year) * (MONTH(Tracking[Effective Date]) = cc_month_number))</f>
        <v>0</v>
      </c>
      <c r="K78" s="107"/>
      <c r="L78" s="111" cm="1">
        <f t="array" aca="1" ref="L78" ca="1" xml:space="preserve"> INDEX('Budget Planning'!$E:$CI, income_total_row, MATCH(DATE(selected_year, cc_month_number, 1), 'Budget Planning'!$E$10:$CI$10, 0))</f>
        <v>5650</v>
      </c>
      <c r="M78" s="111">
        <f ca="1">cc_Budget-cc_Tracked</f>
        <v>5650</v>
      </c>
      <c r="N78" s="118">
        <f ca="1">cc_In_Focus * cc_Show_Type * MIN(cc_Tracked, cc_Budget)</f>
        <v>0</v>
      </c>
      <c r="O78" s="118">
        <f ca="1">cc_In_Focus * cc_Show_Type *cc_Show_Rem_Budget * IF(cc_Delta&gt;0, cc_Delta, 0)</f>
        <v>0</v>
      </c>
      <c r="P78" s="118">
        <f ca="1">cc_In_Focus * cc_Show_Type * IF(cc_Delta&lt;0, ABS(cc_Delta), 0)</f>
        <v>0</v>
      </c>
      <c r="Q78" s="118">
        <f ca="1">NOT(cc_In_Focus) * cc_Show_Type * MIN(cc_Tracked, cc_Budget)</f>
        <v>0</v>
      </c>
      <c r="R78" s="118">
        <f ca="1">NOT(cc_In_Focus) * cc_Show_Type *cc_Show_Rem_Budget * IF(cc_Delta&gt;0, cc_Delta, 0)</f>
        <v>5650</v>
      </c>
      <c r="S78" s="118">
        <f ca="1">NOT(cc_In_Focus) * cc_Show_Type * IF(cc_Delta&lt;0, ABS(cc_Delta), 0)</f>
        <v>0</v>
      </c>
    </row>
    <row r="79" spans="4:19" s="4" customFormat="1" x14ac:dyDescent="0.3">
      <c r="D79" s="105"/>
      <c r="E79" s="44" t="s">
        <v>12</v>
      </c>
      <c r="F79" s="44">
        <f t="shared" ref="F79:F101" ca="1" si="39">MONTH(D78)</f>
        <v>7</v>
      </c>
      <c r="G79" s="108">
        <f ca="1">IF(selected_period="Total Year", 1, IF(selected_period=cc_month_number, 1, 0))</f>
        <v>0</v>
      </c>
      <c r="H79" s="44">
        <f t="shared" ref="H79" si="40">1*$E$49</f>
        <v>1</v>
      </c>
      <c r="I79" s="44">
        <f t="shared" si="3"/>
        <v>1</v>
      </c>
      <c r="J79" s="111" cm="1">
        <f t="array" aca="1" ref="J79" ca="1">SUM(Tracking[Amount] * (Tracking[Type]=cc_type) * ( YEAR(Tracking[Effective Date]) = selected_year) * (MONTH(Tracking[Effective Date]) = cc_month_number))</f>
        <v>0</v>
      </c>
      <c r="K79" s="44"/>
      <c r="L79" s="111" cm="1">
        <f t="array" aca="1" ref="L79" ca="1" xml:space="preserve"> INDEX('Budget Planning'!$E:$CI, expenses_total_row, MATCH(DATE(selected_year, cc_month_number, 1), 'Budget Planning'!$E$10:$CI$10, 0))</f>
        <v>2900</v>
      </c>
      <c r="M79" s="111">
        <f ca="1">cc_Budget-cc_Tracked</f>
        <v>2900</v>
      </c>
      <c r="N79" s="118">
        <f ca="1">cc_In_Focus * cc_Show_Type * MIN(cc_Tracked, cc_Budget)</f>
        <v>0</v>
      </c>
      <c r="O79" s="118">
        <f ca="1">cc_In_Focus * cc_Show_Type *cc_Show_Rem_Budget * IF(cc_Delta&gt;0, cc_Delta, 0)</f>
        <v>0</v>
      </c>
      <c r="P79" s="118">
        <f ca="1">cc_In_Focus * cc_Show_Type * IF(cc_Delta&lt;0, ABS(cc_Delta), 0)</f>
        <v>0</v>
      </c>
      <c r="Q79" s="118">
        <f ca="1">NOT(cc_In_Focus) * cc_Show_Type * MIN(cc_Tracked, cc_Budget)</f>
        <v>0</v>
      </c>
      <c r="R79" s="118">
        <f ca="1">NOT(cc_In_Focus) * cc_Show_Type *cc_Show_Rem_Budget * IF(cc_Delta&gt;0, cc_Delta, 0)</f>
        <v>2900</v>
      </c>
      <c r="S79" s="118">
        <f ca="1">NOT(cc_In_Focus) * cc_Show_Type * IF(cc_Delta&lt;0, ABS(cc_Delta), 0)</f>
        <v>0</v>
      </c>
    </row>
    <row r="80" spans="4:19" s="4" customFormat="1" x14ac:dyDescent="0.3">
      <c r="D80" s="105"/>
      <c r="E80" s="44" t="s">
        <v>17</v>
      </c>
      <c r="F80" s="44">
        <f t="shared" ref="F80" ca="1" si="41">MONTH(D78)</f>
        <v>7</v>
      </c>
      <c r="G80" s="108">
        <f ca="1">IF(selected_period="Total Year", 1, IF(selected_period=cc_month_number, 1, 0))</f>
        <v>0</v>
      </c>
      <c r="H80" s="44">
        <f t="shared" ref="H80" si="42">1*$E$50</f>
        <v>1</v>
      </c>
      <c r="I80" s="44">
        <f t="shared" si="3"/>
        <v>1</v>
      </c>
      <c r="J80" s="111" cm="1">
        <f t="array" aca="1" ref="J80" ca="1">SUM(Tracking[Amount] * (Tracking[Type]=cc_type) * ( YEAR(Tracking[Effective Date]) = selected_year) * (MONTH(Tracking[Effective Date]) = cc_month_number))</f>
        <v>0</v>
      </c>
      <c r="K80" s="44"/>
      <c r="L80" s="111" cm="1">
        <f t="array" aca="1" ref="L80" ca="1" xml:space="preserve"> INDEX('Budget Planning'!$E:$CI, savings_total_row, MATCH(DATE(selected_year, cc_month_number, 1), 'Budget Planning'!$E$10:$CI$10, 0))</f>
        <v>2750</v>
      </c>
      <c r="M80" s="111">
        <f ca="1">cc_Budget-cc_Tracked</f>
        <v>2750</v>
      </c>
      <c r="N80" s="118">
        <f ca="1">cc_In_Focus * cc_Show_Type * MIN(cc_Tracked, cc_Budget)</f>
        <v>0</v>
      </c>
      <c r="O80" s="118">
        <f ca="1">cc_In_Focus * cc_Show_Type *cc_Show_Rem_Budget * IF(cc_Delta&gt;0, cc_Delta, 0)</f>
        <v>0</v>
      </c>
      <c r="P80" s="118">
        <f ca="1">cc_In_Focus * cc_Show_Type * IF(cc_Delta&lt;0, ABS(cc_Delta), 0)</f>
        <v>0</v>
      </c>
      <c r="Q80" s="118">
        <f ca="1">NOT(cc_In_Focus) * cc_Show_Type * MIN(cc_Tracked, cc_Budget)</f>
        <v>0</v>
      </c>
      <c r="R80" s="118">
        <f ca="1">NOT(cc_In_Focus) * cc_Show_Type *cc_Show_Rem_Budget * IF(cc_Delta&gt;0, cc_Delta, 0)</f>
        <v>2750</v>
      </c>
      <c r="S80" s="118">
        <f ca="1">NOT(cc_In_Focus) * cc_Show_Type * IF(cc_Delta&lt;0, ABS(cc_Delta), 0)</f>
        <v>0</v>
      </c>
    </row>
    <row r="81" spans="4:19" s="4" customFormat="1" x14ac:dyDescent="0.3">
      <c r="D81" s="106"/>
      <c r="E81" s="109"/>
      <c r="F81" s="109"/>
      <c r="G81" s="110"/>
      <c r="H81" s="109"/>
      <c r="I81" s="109"/>
      <c r="J81" s="113"/>
      <c r="K81" s="109"/>
      <c r="L81" s="113"/>
      <c r="M81" s="113"/>
      <c r="N81" s="119"/>
      <c r="O81" s="119"/>
      <c r="P81" s="119"/>
      <c r="Q81" s="119"/>
      <c r="R81" s="115"/>
      <c r="S81" s="115"/>
    </row>
    <row r="82" spans="4:19" s="4" customFormat="1" x14ac:dyDescent="0.3">
      <c r="D82" s="104">
        <f ca="1">DATE(selected_year, 8, 1)</f>
        <v>45505</v>
      </c>
      <c r="E82" s="107" t="s">
        <v>6</v>
      </c>
      <c r="F82" s="44">
        <f t="shared" ref="F82:F101" ca="1" si="43">MONTH(D82)</f>
        <v>8</v>
      </c>
      <c r="G82" s="108">
        <f ca="1">IF(selected_period="Total Year", 1, IF(selected_period=cc_month_number, 1, 0))</f>
        <v>0</v>
      </c>
      <c r="H82" s="44">
        <f t="shared" ref="H82" si="44">1*$E$48</f>
        <v>1</v>
      </c>
      <c r="I82" s="44">
        <f t="shared" ref="I82" si="45">1*$E$51</f>
        <v>1</v>
      </c>
      <c r="J82" s="111" cm="1">
        <f t="array" aca="1" ref="J82" ca="1">SUM(Tracking[Amount] * (Tracking[Type]=cc_type) * ( YEAR(Tracking[Effective Date]) = selected_year) * (MONTH(Tracking[Effective Date]) = cc_month_number))</f>
        <v>0</v>
      </c>
      <c r="K82" s="107"/>
      <c r="L82" s="111" cm="1">
        <f t="array" aca="1" ref="L82" ca="1" xml:space="preserve"> INDEX('Budget Planning'!$E:$CI, income_total_row, MATCH(DATE(selected_year, cc_month_number, 1), 'Budget Planning'!$E$10:$CI$10, 0))</f>
        <v>5550</v>
      </c>
      <c r="M82" s="111">
        <f ca="1">cc_Budget-cc_Tracked</f>
        <v>5550</v>
      </c>
      <c r="N82" s="118">
        <f ca="1">cc_In_Focus * cc_Show_Type * MIN(cc_Tracked, cc_Budget)</f>
        <v>0</v>
      </c>
      <c r="O82" s="118">
        <f ca="1">cc_In_Focus * cc_Show_Type *cc_Show_Rem_Budget * IF(cc_Delta&gt;0, cc_Delta, 0)</f>
        <v>0</v>
      </c>
      <c r="P82" s="118">
        <f ca="1">cc_In_Focus * cc_Show_Type * IF(cc_Delta&lt;0, ABS(cc_Delta), 0)</f>
        <v>0</v>
      </c>
      <c r="Q82" s="118">
        <f ca="1">NOT(cc_In_Focus) * cc_Show_Type * MIN(cc_Tracked, cc_Budget)</f>
        <v>0</v>
      </c>
      <c r="R82" s="118">
        <f ca="1">NOT(cc_In_Focus) * cc_Show_Type *cc_Show_Rem_Budget * IF(cc_Delta&gt;0, cc_Delta, 0)</f>
        <v>5550</v>
      </c>
      <c r="S82" s="118">
        <f ca="1">NOT(cc_In_Focus) * cc_Show_Type * IF(cc_Delta&lt;0, ABS(cc_Delta), 0)</f>
        <v>0</v>
      </c>
    </row>
    <row r="83" spans="4:19" s="4" customFormat="1" x14ac:dyDescent="0.3">
      <c r="D83" s="105"/>
      <c r="E83" s="44" t="s">
        <v>12</v>
      </c>
      <c r="F83" s="44">
        <f t="shared" ref="F83:F101" ca="1" si="46">MONTH(D82)</f>
        <v>8</v>
      </c>
      <c r="G83" s="108">
        <f ca="1">IF(selected_period="Total Year", 1, IF(selected_period=cc_month_number, 1, 0))</f>
        <v>0</v>
      </c>
      <c r="H83" s="44">
        <f t="shared" ref="H83" si="47">1*$E$49</f>
        <v>1</v>
      </c>
      <c r="I83" s="44">
        <f t="shared" si="3"/>
        <v>1</v>
      </c>
      <c r="J83" s="111" cm="1">
        <f t="array" aca="1" ref="J83" ca="1">SUM(Tracking[Amount] * (Tracking[Type]=cc_type) * ( YEAR(Tracking[Effective Date]) = selected_year) * (MONTH(Tracking[Effective Date]) = cc_month_number))</f>
        <v>0</v>
      </c>
      <c r="K83" s="44"/>
      <c r="L83" s="111" cm="1">
        <f t="array" aca="1" ref="L83" ca="1" xml:space="preserve"> INDEX('Budget Planning'!$E:$CI, expenses_total_row, MATCH(DATE(selected_year, cc_month_number, 1), 'Budget Planning'!$E$10:$CI$10, 0))</f>
        <v>4100</v>
      </c>
      <c r="M83" s="111">
        <f ca="1">cc_Budget-cc_Tracked</f>
        <v>4100</v>
      </c>
      <c r="N83" s="118">
        <f ca="1">cc_In_Focus * cc_Show_Type * MIN(cc_Tracked, cc_Budget)</f>
        <v>0</v>
      </c>
      <c r="O83" s="118">
        <f ca="1">cc_In_Focus * cc_Show_Type *cc_Show_Rem_Budget * IF(cc_Delta&gt;0, cc_Delta, 0)</f>
        <v>0</v>
      </c>
      <c r="P83" s="118">
        <f ca="1">cc_In_Focus * cc_Show_Type * IF(cc_Delta&lt;0, ABS(cc_Delta), 0)</f>
        <v>0</v>
      </c>
      <c r="Q83" s="118">
        <f ca="1">NOT(cc_In_Focus) * cc_Show_Type * MIN(cc_Tracked, cc_Budget)</f>
        <v>0</v>
      </c>
      <c r="R83" s="118">
        <f ca="1">NOT(cc_In_Focus) * cc_Show_Type *cc_Show_Rem_Budget * IF(cc_Delta&gt;0, cc_Delta, 0)</f>
        <v>4100</v>
      </c>
      <c r="S83" s="118">
        <f ca="1">NOT(cc_In_Focus) * cc_Show_Type * IF(cc_Delta&lt;0, ABS(cc_Delta), 0)</f>
        <v>0</v>
      </c>
    </row>
    <row r="84" spans="4:19" s="4" customFormat="1" x14ac:dyDescent="0.3">
      <c r="D84" s="105"/>
      <c r="E84" s="44" t="s">
        <v>17</v>
      </c>
      <c r="F84" s="44">
        <f t="shared" ref="F84" ca="1" si="48">MONTH(D82)</f>
        <v>8</v>
      </c>
      <c r="G84" s="108">
        <f ca="1">IF(selected_period="Total Year", 1, IF(selected_period=cc_month_number, 1, 0))</f>
        <v>0</v>
      </c>
      <c r="H84" s="44">
        <f t="shared" ref="H84" si="49">1*$E$50</f>
        <v>1</v>
      </c>
      <c r="I84" s="44">
        <f t="shared" si="3"/>
        <v>1</v>
      </c>
      <c r="J84" s="111" cm="1">
        <f t="array" aca="1" ref="J84" ca="1">SUM(Tracking[Amount] * (Tracking[Type]=cc_type) * ( YEAR(Tracking[Effective Date]) = selected_year) * (MONTH(Tracking[Effective Date]) = cc_month_number))</f>
        <v>0</v>
      </c>
      <c r="K84" s="44"/>
      <c r="L84" s="111" cm="1">
        <f t="array" aca="1" ref="L84" ca="1" xml:space="preserve"> INDEX('Budget Planning'!$E:$CI, savings_total_row, MATCH(DATE(selected_year, cc_month_number, 1), 'Budget Planning'!$E$10:$CI$10, 0))</f>
        <v>1450</v>
      </c>
      <c r="M84" s="111">
        <f ca="1">cc_Budget-cc_Tracked</f>
        <v>1450</v>
      </c>
      <c r="N84" s="118">
        <f ca="1">cc_In_Focus * cc_Show_Type * MIN(cc_Tracked, cc_Budget)</f>
        <v>0</v>
      </c>
      <c r="O84" s="118">
        <f ca="1">cc_In_Focus * cc_Show_Type *cc_Show_Rem_Budget * IF(cc_Delta&gt;0, cc_Delta, 0)</f>
        <v>0</v>
      </c>
      <c r="P84" s="118">
        <f ca="1">cc_In_Focus * cc_Show_Type * IF(cc_Delta&lt;0, ABS(cc_Delta), 0)</f>
        <v>0</v>
      </c>
      <c r="Q84" s="118">
        <f ca="1">NOT(cc_In_Focus) * cc_Show_Type * MIN(cc_Tracked, cc_Budget)</f>
        <v>0</v>
      </c>
      <c r="R84" s="118">
        <f ca="1">NOT(cc_In_Focus) * cc_Show_Type *cc_Show_Rem_Budget * IF(cc_Delta&gt;0, cc_Delta, 0)</f>
        <v>1450</v>
      </c>
      <c r="S84" s="118">
        <f ca="1">NOT(cc_In_Focus) * cc_Show_Type * IF(cc_Delta&lt;0, ABS(cc_Delta), 0)</f>
        <v>0</v>
      </c>
    </row>
    <row r="85" spans="4:19" s="4" customFormat="1" x14ac:dyDescent="0.3">
      <c r="D85" s="106"/>
      <c r="E85" s="109"/>
      <c r="F85" s="109"/>
      <c r="G85" s="110"/>
      <c r="H85" s="109"/>
      <c r="I85" s="109"/>
      <c r="J85" s="113"/>
      <c r="K85" s="109"/>
      <c r="L85" s="113"/>
      <c r="M85" s="113"/>
      <c r="N85" s="119"/>
      <c r="O85" s="119"/>
      <c r="P85" s="119"/>
      <c r="Q85" s="119"/>
      <c r="R85" s="115"/>
      <c r="S85" s="115"/>
    </row>
    <row r="86" spans="4:19" s="4" customFormat="1" x14ac:dyDescent="0.3">
      <c r="D86" s="104">
        <f ca="1">DATE(selected_year, 9, 1)</f>
        <v>45536</v>
      </c>
      <c r="E86" s="107" t="s">
        <v>6</v>
      </c>
      <c r="F86" s="44">
        <f t="shared" ref="F86:F101" ca="1" si="50">MONTH(D86)</f>
        <v>9</v>
      </c>
      <c r="G86" s="108">
        <f ca="1">IF(selected_period="Total Year", 1, IF(selected_period=cc_month_number, 1, 0))</f>
        <v>0</v>
      </c>
      <c r="H86" s="44">
        <f t="shared" ref="H86" si="51">1*$E$48</f>
        <v>1</v>
      </c>
      <c r="I86" s="44">
        <f t="shared" ref="I86" si="52">1*$E$51</f>
        <v>1</v>
      </c>
      <c r="J86" s="111" cm="1">
        <f t="array" aca="1" ref="J86" ca="1">SUM(Tracking[Amount] * (Tracking[Type]=cc_type) * ( YEAR(Tracking[Effective Date]) = selected_year) * (MONTH(Tracking[Effective Date]) = cc_month_number))</f>
        <v>0</v>
      </c>
      <c r="K86" s="107"/>
      <c r="L86" s="111" cm="1">
        <f t="array" aca="1" ref="L86" ca="1" xml:space="preserve"> INDEX('Budget Planning'!$E:$CI, income_total_row, MATCH(DATE(selected_year, cc_month_number, 1), 'Budget Planning'!$E$10:$CI$10, 0))</f>
        <v>5600</v>
      </c>
      <c r="M86" s="111">
        <f ca="1">cc_Budget-cc_Tracked</f>
        <v>5600</v>
      </c>
      <c r="N86" s="118">
        <f ca="1">cc_In_Focus * cc_Show_Type * MIN(cc_Tracked, cc_Budget)</f>
        <v>0</v>
      </c>
      <c r="O86" s="118">
        <f ca="1">cc_In_Focus * cc_Show_Type *cc_Show_Rem_Budget * IF(cc_Delta&gt;0, cc_Delta, 0)</f>
        <v>0</v>
      </c>
      <c r="P86" s="118">
        <f ca="1">cc_In_Focus * cc_Show_Type * IF(cc_Delta&lt;0, ABS(cc_Delta), 0)</f>
        <v>0</v>
      </c>
      <c r="Q86" s="118">
        <f ca="1">NOT(cc_In_Focus) * cc_Show_Type * MIN(cc_Tracked, cc_Budget)</f>
        <v>0</v>
      </c>
      <c r="R86" s="118">
        <f ca="1">NOT(cc_In_Focus) * cc_Show_Type *cc_Show_Rem_Budget * IF(cc_Delta&gt;0, cc_Delta, 0)</f>
        <v>5600</v>
      </c>
      <c r="S86" s="118">
        <f ca="1">NOT(cc_In_Focus) * cc_Show_Type * IF(cc_Delta&lt;0, ABS(cc_Delta), 0)</f>
        <v>0</v>
      </c>
    </row>
    <row r="87" spans="4:19" s="4" customFormat="1" x14ac:dyDescent="0.3">
      <c r="D87" s="105"/>
      <c r="E87" s="44" t="s">
        <v>12</v>
      </c>
      <c r="F87" s="44">
        <f t="shared" ref="F87:F101" ca="1" si="53">MONTH(D86)</f>
        <v>9</v>
      </c>
      <c r="G87" s="108">
        <f ca="1">IF(selected_period="Total Year", 1, IF(selected_period=cc_month_number, 1, 0))</f>
        <v>0</v>
      </c>
      <c r="H87" s="44">
        <f t="shared" ref="H87" si="54">1*$E$49</f>
        <v>1</v>
      </c>
      <c r="I87" s="44">
        <f t="shared" si="3"/>
        <v>1</v>
      </c>
      <c r="J87" s="111" cm="1">
        <f t="array" aca="1" ref="J87" ca="1">SUM(Tracking[Amount] * (Tracking[Type]=cc_type) * ( YEAR(Tracking[Effective Date]) = selected_year) * (MONTH(Tracking[Effective Date]) = cc_month_number))</f>
        <v>0</v>
      </c>
      <c r="K87" s="44"/>
      <c r="L87" s="111" cm="1">
        <f t="array" aca="1" ref="L87" ca="1" xml:space="preserve"> INDEX('Budget Planning'!$E:$CI, expenses_total_row, MATCH(DATE(selected_year, cc_month_number, 1), 'Budget Planning'!$E$10:$CI$10, 0))</f>
        <v>3050</v>
      </c>
      <c r="M87" s="111">
        <f ca="1">cc_Budget-cc_Tracked</f>
        <v>3050</v>
      </c>
      <c r="N87" s="118">
        <f ca="1">cc_In_Focus * cc_Show_Type * MIN(cc_Tracked, cc_Budget)</f>
        <v>0</v>
      </c>
      <c r="O87" s="118">
        <f ca="1">cc_In_Focus * cc_Show_Type *cc_Show_Rem_Budget * IF(cc_Delta&gt;0, cc_Delta, 0)</f>
        <v>0</v>
      </c>
      <c r="P87" s="118">
        <f ca="1">cc_In_Focus * cc_Show_Type * IF(cc_Delta&lt;0, ABS(cc_Delta), 0)</f>
        <v>0</v>
      </c>
      <c r="Q87" s="118">
        <f ca="1">NOT(cc_In_Focus) * cc_Show_Type * MIN(cc_Tracked, cc_Budget)</f>
        <v>0</v>
      </c>
      <c r="R87" s="118">
        <f ca="1">NOT(cc_In_Focus) * cc_Show_Type *cc_Show_Rem_Budget * IF(cc_Delta&gt;0, cc_Delta, 0)</f>
        <v>3050</v>
      </c>
      <c r="S87" s="118">
        <f ca="1">NOT(cc_In_Focus) * cc_Show_Type * IF(cc_Delta&lt;0, ABS(cc_Delta), 0)</f>
        <v>0</v>
      </c>
    </row>
    <row r="88" spans="4:19" s="4" customFormat="1" x14ac:dyDescent="0.3">
      <c r="D88" s="105"/>
      <c r="E88" s="44" t="s">
        <v>17</v>
      </c>
      <c r="F88" s="44">
        <f t="shared" ref="F88" ca="1" si="55">MONTH(D86)</f>
        <v>9</v>
      </c>
      <c r="G88" s="108">
        <f ca="1">IF(selected_period="Total Year", 1, IF(selected_period=cc_month_number, 1, 0))</f>
        <v>0</v>
      </c>
      <c r="H88" s="44">
        <f t="shared" ref="H88" si="56">1*$E$50</f>
        <v>1</v>
      </c>
      <c r="I88" s="44">
        <f t="shared" si="3"/>
        <v>1</v>
      </c>
      <c r="J88" s="111" cm="1">
        <f t="array" aca="1" ref="J88" ca="1">SUM(Tracking[Amount] * (Tracking[Type]=cc_type) * ( YEAR(Tracking[Effective Date]) = selected_year) * (MONTH(Tracking[Effective Date]) = cc_month_number))</f>
        <v>0</v>
      </c>
      <c r="K88" s="44"/>
      <c r="L88" s="111" cm="1">
        <f t="array" aca="1" ref="L88" ca="1" xml:space="preserve"> INDEX('Budget Planning'!$E:$CI, savings_total_row, MATCH(DATE(selected_year, cc_month_number, 1), 'Budget Planning'!$E$10:$CI$10, 0))</f>
        <v>2550</v>
      </c>
      <c r="M88" s="111">
        <f ca="1">cc_Budget-cc_Tracked</f>
        <v>2550</v>
      </c>
      <c r="N88" s="118">
        <f ca="1">cc_In_Focus * cc_Show_Type * MIN(cc_Tracked, cc_Budget)</f>
        <v>0</v>
      </c>
      <c r="O88" s="118">
        <f ca="1">cc_In_Focus * cc_Show_Type *cc_Show_Rem_Budget * IF(cc_Delta&gt;0, cc_Delta, 0)</f>
        <v>0</v>
      </c>
      <c r="P88" s="118">
        <f ca="1">cc_In_Focus * cc_Show_Type * IF(cc_Delta&lt;0, ABS(cc_Delta), 0)</f>
        <v>0</v>
      </c>
      <c r="Q88" s="118">
        <f ca="1">NOT(cc_In_Focus) * cc_Show_Type * MIN(cc_Tracked, cc_Budget)</f>
        <v>0</v>
      </c>
      <c r="R88" s="118">
        <f ca="1">NOT(cc_In_Focus) * cc_Show_Type *cc_Show_Rem_Budget * IF(cc_Delta&gt;0, cc_Delta, 0)</f>
        <v>2550</v>
      </c>
      <c r="S88" s="118">
        <f ca="1">NOT(cc_In_Focus) * cc_Show_Type * IF(cc_Delta&lt;0, ABS(cc_Delta), 0)</f>
        <v>0</v>
      </c>
    </row>
    <row r="89" spans="4:19" s="4" customFormat="1" x14ac:dyDescent="0.3">
      <c r="D89" s="106"/>
      <c r="E89" s="109"/>
      <c r="F89" s="109"/>
      <c r="G89" s="110"/>
      <c r="H89" s="109"/>
      <c r="I89" s="109"/>
      <c r="J89" s="113"/>
      <c r="K89" s="109"/>
      <c r="L89" s="113"/>
      <c r="M89" s="113"/>
      <c r="N89" s="119"/>
      <c r="O89" s="119"/>
      <c r="P89" s="119"/>
      <c r="Q89" s="119"/>
      <c r="R89" s="115"/>
      <c r="S89" s="115"/>
    </row>
    <row r="90" spans="4:19" s="4" customFormat="1" x14ac:dyDescent="0.3">
      <c r="D90" s="104">
        <f ca="1">DATE(selected_year, 10, 1)</f>
        <v>45566</v>
      </c>
      <c r="E90" s="107" t="s">
        <v>6</v>
      </c>
      <c r="F90" s="44">
        <f t="shared" ref="F90:F101" ca="1" si="57">MONTH(D90)</f>
        <v>10</v>
      </c>
      <c r="G90" s="108">
        <f ca="1">IF(selected_period="Total Year", 1, IF(selected_period=cc_month_number, 1, 0))</f>
        <v>0</v>
      </c>
      <c r="H90" s="44">
        <f t="shared" ref="H90" si="58">1*$E$48</f>
        <v>1</v>
      </c>
      <c r="I90" s="44">
        <f t="shared" ref="I90" si="59">1*$E$51</f>
        <v>1</v>
      </c>
      <c r="J90" s="111" cm="1">
        <f t="array" aca="1" ref="J90" ca="1">SUM(Tracking[Amount] * (Tracking[Type]=cc_type) * ( YEAR(Tracking[Effective Date]) = selected_year) * (MONTH(Tracking[Effective Date]) = cc_month_number))</f>
        <v>0</v>
      </c>
      <c r="K90" s="107"/>
      <c r="L90" s="111" cm="1">
        <f t="array" aca="1" ref="L90" ca="1" xml:space="preserve"> INDEX('Budget Planning'!$E:$CI, income_total_row, MATCH(DATE(selected_year, cc_month_number, 1), 'Budget Planning'!$E$10:$CI$10, 0))</f>
        <v>5650</v>
      </c>
      <c r="M90" s="111">
        <f ca="1">cc_Budget-cc_Tracked</f>
        <v>5650</v>
      </c>
      <c r="N90" s="118">
        <f ca="1">cc_In_Focus * cc_Show_Type * MIN(cc_Tracked, cc_Budget)</f>
        <v>0</v>
      </c>
      <c r="O90" s="118">
        <f ca="1">cc_In_Focus * cc_Show_Type *cc_Show_Rem_Budget * IF(cc_Delta&gt;0, cc_Delta, 0)</f>
        <v>0</v>
      </c>
      <c r="P90" s="118">
        <f ca="1">cc_In_Focus * cc_Show_Type * IF(cc_Delta&lt;0, ABS(cc_Delta), 0)</f>
        <v>0</v>
      </c>
      <c r="Q90" s="118">
        <f ca="1">NOT(cc_In_Focus) * cc_Show_Type * MIN(cc_Tracked, cc_Budget)</f>
        <v>0</v>
      </c>
      <c r="R90" s="118">
        <f ca="1">NOT(cc_In_Focus) * cc_Show_Type *cc_Show_Rem_Budget * IF(cc_Delta&gt;0, cc_Delta, 0)</f>
        <v>5650</v>
      </c>
      <c r="S90" s="118">
        <f ca="1">NOT(cc_In_Focus) * cc_Show_Type * IF(cc_Delta&lt;0, ABS(cc_Delta), 0)</f>
        <v>0</v>
      </c>
    </row>
    <row r="91" spans="4:19" s="4" customFormat="1" x14ac:dyDescent="0.3">
      <c r="D91" s="105"/>
      <c r="E91" s="44" t="s">
        <v>12</v>
      </c>
      <c r="F91" s="44">
        <f t="shared" ref="F91:F101" ca="1" si="60">MONTH(D90)</f>
        <v>10</v>
      </c>
      <c r="G91" s="108">
        <f ca="1">IF(selected_period="Total Year", 1, IF(selected_period=cc_month_number, 1, 0))</f>
        <v>0</v>
      </c>
      <c r="H91" s="44">
        <f t="shared" ref="H91" si="61">1*$E$49</f>
        <v>1</v>
      </c>
      <c r="I91" s="44">
        <f t="shared" si="3"/>
        <v>1</v>
      </c>
      <c r="J91" s="111" cm="1">
        <f t="array" aca="1" ref="J91" ca="1">SUM(Tracking[Amount] * (Tracking[Type]=cc_type) * ( YEAR(Tracking[Effective Date]) = selected_year) * (MONTH(Tracking[Effective Date]) = cc_month_number))</f>
        <v>0</v>
      </c>
      <c r="K91" s="44"/>
      <c r="L91" s="111" cm="1">
        <f t="array" aca="1" ref="L91" ca="1" xml:space="preserve"> INDEX('Budget Planning'!$E:$CI, expenses_total_row, MATCH(DATE(selected_year, cc_month_number, 1), 'Budget Planning'!$E$10:$CI$10, 0))</f>
        <v>2900</v>
      </c>
      <c r="M91" s="111">
        <f ca="1">cc_Budget-cc_Tracked</f>
        <v>2900</v>
      </c>
      <c r="N91" s="118">
        <f ca="1">cc_In_Focus * cc_Show_Type * MIN(cc_Tracked, cc_Budget)</f>
        <v>0</v>
      </c>
      <c r="O91" s="118">
        <f ca="1">cc_In_Focus * cc_Show_Type *cc_Show_Rem_Budget * IF(cc_Delta&gt;0, cc_Delta, 0)</f>
        <v>0</v>
      </c>
      <c r="P91" s="118">
        <f ca="1">cc_In_Focus * cc_Show_Type * IF(cc_Delta&lt;0, ABS(cc_Delta), 0)</f>
        <v>0</v>
      </c>
      <c r="Q91" s="118">
        <f ca="1">NOT(cc_In_Focus) * cc_Show_Type * MIN(cc_Tracked, cc_Budget)</f>
        <v>0</v>
      </c>
      <c r="R91" s="118">
        <f ca="1">NOT(cc_In_Focus) * cc_Show_Type *cc_Show_Rem_Budget * IF(cc_Delta&gt;0, cc_Delta, 0)</f>
        <v>2900</v>
      </c>
      <c r="S91" s="118">
        <f ca="1">NOT(cc_In_Focus) * cc_Show_Type * IF(cc_Delta&lt;0, ABS(cc_Delta), 0)</f>
        <v>0</v>
      </c>
    </row>
    <row r="92" spans="4:19" s="4" customFormat="1" x14ac:dyDescent="0.3">
      <c r="D92" s="105"/>
      <c r="E92" s="44" t="s">
        <v>17</v>
      </c>
      <c r="F92" s="44">
        <f t="shared" ref="F92" ca="1" si="62">MONTH(D90)</f>
        <v>10</v>
      </c>
      <c r="G92" s="108">
        <f ca="1">IF(selected_period="Total Year", 1, IF(selected_period=cc_month_number, 1, 0))</f>
        <v>0</v>
      </c>
      <c r="H92" s="44">
        <f t="shared" ref="H92" si="63">1*$E$50</f>
        <v>1</v>
      </c>
      <c r="I92" s="44">
        <f t="shared" si="3"/>
        <v>1</v>
      </c>
      <c r="J92" s="111" cm="1">
        <f t="array" aca="1" ref="J92" ca="1">SUM(Tracking[Amount] * (Tracking[Type]=cc_type) * ( YEAR(Tracking[Effective Date]) = selected_year) * (MONTH(Tracking[Effective Date]) = cc_month_number))</f>
        <v>0</v>
      </c>
      <c r="K92" s="44"/>
      <c r="L92" s="111" cm="1">
        <f t="array" aca="1" ref="L92" ca="1" xml:space="preserve"> INDEX('Budget Planning'!$E:$CI, savings_total_row, MATCH(DATE(selected_year, cc_month_number, 1), 'Budget Planning'!$E$10:$CI$10, 0))</f>
        <v>2750</v>
      </c>
      <c r="M92" s="111">
        <f ca="1">cc_Budget-cc_Tracked</f>
        <v>2750</v>
      </c>
      <c r="N92" s="118">
        <f ca="1">cc_In_Focus * cc_Show_Type * MIN(cc_Tracked, cc_Budget)</f>
        <v>0</v>
      </c>
      <c r="O92" s="118">
        <f ca="1">cc_In_Focus * cc_Show_Type *cc_Show_Rem_Budget * IF(cc_Delta&gt;0, cc_Delta, 0)</f>
        <v>0</v>
      </c>
      <c r="P92" s="118">
        <f ca="1">cc_In_Focus * cc_Show_Type * IF(cc_Delta&lt;0, ABS(cc_Delta), 0)</f>
        <v>0</v>
      </c>
      <c r="Q92" s="118">
        <f ca="1">NOT(cc_In_Focus) * cc_Show_Type * MIN(cc_Tracked, cc_Budget)</f>
        <v>0</v>
      </c>
      <c r="R92" s="118">
        <f ca="1">NOT(cc_In_Focus) * cc_Show_Type *cc_Show_Rem_Budget * IF(cc_Delta&gt;0, cc_Delta, 0)</f>
        <v>2750</v>
      </c>
      <c r="S92" s="118">
        <f ca="1">NOT(cc_In_Focus) * cc_Show_Type * IF(cc_Delta&lt;0, ABS(cc_Delta), 0)</f>
        <v>0</v>
      </c>
    </row>
    <row r="93" spans="4:19" s="4" customFormat="1" x14ac:dyDescent="0.3">
      <c r="D93" s="106"/>
      <c r="E93" s="109"/>
      <c r="F93" s="109"/>
      <c r="G93" s="110"/>
      <c r="H93" s="109"/>
      <c r="I93" s="109"/>
      <c r="J93" s="113"/>
      <c r="K93" s="109"/>
      <c r="L93" s="113"/>
      <c r="M93" s="113"/>
      <c r="N93" s="119"/>
      <c r="O93" s="119"/>
      <c r="P93" s="119"/>
      <c r="Q93" s="119"/>
      <c r="R93" s="115"/>
      <c r="S93" s="115"/>
    </row>
    <row r="94" spans="4:19" s="4" customFormat="1" x14ac:dyDescent="0.3">
      <c r="D94" s="104">
        <f ca="1">DATE(selected_year, 11, 1)</f>
        <v>45597</v>
      </c>
      <c r="E94" s="107" t="s">
        <v>6</v>
      </c>
      <c r="F94" s="44">
        <f t="shared" ref="F94:F101" ca="1" si="64">MONTH(D94)</f>
        <v>11</v>
      </c>
      <c r="G94" s="108">
        <f ca="1">IF(selected_period="Total Year", 1, IF(selected_period=cc_month_number, 1, 0))</f>
        <v>0</v>
      </c>
      <c r="H94" s="44">
        <f t="shared" ref="H94" si="65">1*$E$48</f>
        <v>1</v>
      </c>
      <c r="I94" s="44">
        <f t="shared" ref="I94" si="66">1*$E$51</f>
        <v>1</v>
      </c>
      <c r="J94" s="111" cm="1">
        <f t="array" aca="1" ref="J94" ca="1">SUM(Tracking[Amount] * (Tracking[Type]=cc_type) * ( YEAR(Tracking[Effective Date]) = selected_year) * (MONTH(Tracking[Effective Date]) = cc_month_number))</f>
        <v>0</v>
      </c>
      <c r="K94" s="107"/>
      <c r="L94" s="111" cm="1">
        <f t="array" aca="1" ref="L94" ca="1" xml:space="preserve"> INDEX('Budget Planning'!$E:$CI, income_total_row, MATCH(DATE(selected_year, cc_month_number, 1), 'Budget Planning'!$E$10:$CI$10, 0))</f>
        <v>5550</v>
      </c>
      <c r="M94" s="111">
        <f ca="1">cc_Budget-cc_Tracked</f>
        <v>5550</v>
      </c>
      <c r="N94" s="118">
        <f ca="1">cc_In_Focus * cc_Show_Type * MIN(cc_Tracked, cc_Budget)</f>
        <v>0</v>
      </c>
      <c r="O94" s="118">
        <f ca="1">cc_In_Focus * cc_Show_Type *cc_Show_Rem_Budget * IF(cc_Delta&gt;0, cc_Delta, 0)</f>
        <v>0</v>
      </c>
      <c r="P94" s="118">
        <f ca="1">cc_In_Focus * cc_Show_Type * IF(cc_Delta&lt;0, ABS(cc_Delta), 0)</f>
        <v>0</v>
      </c>
      <c r="Q94" s="118">
        <f ca="1">NOT(cc_In_Focus) * cc_Show_Type * MIN(cc_Tracked, cc_Budget)</f>
        <v>0</v>
      </c>
      <c r="R94" s="118">
        <f ca="1">NOT(cc_In_Focus) * cc_Show_Type *cc_Show_Rem_Budget * IF(cc_Delta&gt;0, cc_Delta, 0)</f>
        <v>5550</v>
      </c>
      <c r="S94" s="118">
        <f ca="1">NOT(cc_In_Focus) * cc_Show_Type * IF(cc_Delta&lt;0, ABS(cc_Delta), 0)</f>
        <v>0</v>
      </c>
    </row>
    <row r="95" spans="4:19" s="4" customFormat="1" x14ac:dyDescent="0.3">
      <c r="D95" s="105"/>
      <c r="E95" s="44" t="s">
        <v>12</v>
      </c>
      <c r="F95" s="44">
        <f t="shared" ref="F95:F101" ca="1" si="67">MONTH(D94)</f>
        <v>11</v>
      </c>
      <c r="G95" s="108">
        <f ca="1">IF(selected_period="Total Year", 1, IF(selected_period=cc_month_number, 1, 0))</f>
        <v>0</v>
      </c>
      <c r="H95" s="44">
        <f t="shared" ref="H95" si="68">1*$E$49</f>
        <v>1</v>
      </c>
      <c r="I95" s="44">
        <f t="shared" si="3"/>
        <v>1</v>
      </c>
      <c r="J95" s="111" cm="1">
        <f t="array" aca="1" ref="J95" ca="1">SUM(Tracking[Amount] * (Tracking[Type]=cc_type) * ( YEAR(Tracking[Effective Date]) = selected_year) * (MONTH(Tracking[Effective Date]) = cc_month_number))</f>
        <v>0</v>
      </c>
      <c r="K95" s="44"/>
      <c r="L95" s="111" cm="1">
        <f t="array" aca="1" ref="L95" ca="1" xml:space="preserve"> INDEX('Budget Planning'!$E:$CI, expenses_total_row, MATCH(DATE(selected_year, cc_month_number, 1), 'Budget Planning'!$E$10:$CI$10, 0))</f>
        <v>2900</v>
      </c>
      <c r="M95" s="111">
        <f ca="1">cc_Budget-cc_Tracked</f>
        <v>2900</v>
      </c>
      <c r="N95" s="118">
        <f ca="1">cc_In_Focus * cc_Show_Type * MIN(cc_Tracked, cc_Budget)</f>
        <v>0</v>
      </c>
      <c r="O95" s="118">
        <f ca="1">cc_In_Focus * cc_Show_Type *cc_Show_Rem_Budget * IF(cc_Delta&gt;0, cc_Delta, 0)</f>
        <v>0</v>
      </c>
      <c r="P95" s="118">
        <f ca="1">cc_In_Focus * cc_Show_Type * IF(cc_Delta&lt;0, ABS(cc_Delta), 0)</f>
        <v>0</v>
      </c>
      <c r="Q95" s="118">
        <f ca="1">NOT(cc_In_Focus) * cc_Show_Type * MIN(cc_Tracked, cc_Budget)</f>
        <v>0</v>
      </c>
      <c r="R95" s="118">
        <f ca="1">NOT(cc_In_Focus) * cc_Show_Type *cc_Show_Rem_Budget * IF(cc_Delta&gt;0, cc_Delta, 0)</f>
        <v>2900</v>
      </c>
      <c r="S95" s="118">
        <f ca="1">NOT(cc_In_Focus) * cc_Show_Type * IF(cc_Delta&lt;0, ABS(cc_Delta), 0)</f>
        <v>0</v>
      </c>
    </row>
    <row r="96" spans="4:19" s="4" customFormat="1" x14ac:dyDescent="0.3">
      <c r="D96" s="105"/>
      <c r="E96" s="44" t="s">
        <v>17</v>
      </c>
      <c r="F96" s="44">
        <f t="shared" ref="F96" ca="1" si="69">MONTH(D94)</f>
        <v>11</v>
      </c>
      <c r="G96" s="108">
        <f ca="1">IF(selected_period="Total Year", 1, IF(selected_period=cc_month_number, 1, 0))</f>
        <v>0</v>
      </c>
      <c r="H96" s="44">
        <f t="shared" ref="H96" si="70">1*$E$50</f>
        <v>1</v>
      </c>
      <c r="I96" s="44">
        <f t="shared" si="3"/>
        <v>1</v>
      </c>
      <c r="J96" s="111" cm="1">
        <f t="array" aca="1" ref="J96" ca="1">SUM(Tracking[Amount] * (Tracking[Type]=cc_type) * ( YEAR(Tracking[Effective Date]) = selected_year) * (MONTH(Tracking[Effective Date]) = cc_month_number))</f>
        <v>0</v>
      </c>
      <c r="K96" s="44"/>
      <c r="L96" s="111" cm="1">
        <f t="array" aca="1" ref="L96" ca="1" xml:space="preserve"> INDEX('Budget Planning'!$E:$CI, savings_total_row, MATCH(DATE(selected_year, cc_month_number, 1), 'Budget Planning'!$E$10:$CI$10, 0))</f>
        <v>2650</v>
      </c>
      <c r="M96" s="111">
        <f ca="1">cc_Budget-cc_Tracked</f>
        <v>2650</v>
      </c>
      <c r="N96" s="118">
        <f ca="1">cc_In_Focus * cc_Show_Type * MIN(cc_Tracked, cc_Budget)</f>
        <v>0</v>
      </c>
      <c r="O96" s="118">
        <f ca="1">cc_In_Focus * cc_Show_Type *cc_Show_Rem_Budget * IF(cc_Delta&gt;0, cc_Delta, 0)</f>
        <v>0</v>
      </c>
      <c r="P96" s="118">
        <f ca="1">cc_In_Focus * cc_Show_Type * IF(cc_Delta&lt;0, ABS(cc_Delta), 0)</f>
        <v>0</v>
      </c>
      <c r="Q96" s="118">
        <f ca="1">NOT(cc_In_Focus) * cc_Show_Type * MIN(cc_Tracked, cc_Budget)</f>
        <v>0</v>
      </c>
      <c r="R96" s="118">
        <f ca="1">NOT(cc_In_Focus) * cc_Show_Type *cc_Show_Rem_Budget * IF(cc_Delta&gt;0, cc_Delta, 0)</f>
        <v>2650</v>
      </c>
      <c r="S96" s="118">
        <f ca="1">NOT(cc_In_Focus) * cc_Show_Type * IF(cc_Delta&lt;0, ABS(cc_Delta), 0)</f>
        <v>0</v>
      </c>
    </row>
    <row r="97" spans="4:19" s="4" customFormat="1" x14ac:dyDescent="0.3">
      <c r="D97" s="106"/>
      <c r="E97" s="109"/>
      <c r="F97" s="109"/>
      <c r="G97" s="110"/>
      <c r="H97" s="109"/>
      <c r="I97" s="109"/>
      <c r="J97" s="113"/>
      <c r="K97" s="109"/>
      <c r="L97" s="113"/>
      <c r="M97" s="113"/>
      <c r="N97" s="119"/>
      <c r="O97" s="119"/>
      <c r="P97" s="119"/>
      <c r="Q97" s="119"/>
      <c r="R97" s="115"/>
      <c r="S97" s="115"/>
    </row>
    <row r="98" spans="4:19" s="4" customFormat="1" x14ac:dyDescent="0.3">
      <c r="D98" s="104">
        <f ca="1">DATE(selected_year, 12, 1)</f>
        <v>45627</v>
      </c>
      <c r="E98" s="107" t="s">
        <v>6</v>
      </c>
      <c r="F98" s="44">
        <f t="shared" ref="F98:F101" ca="1" si="71">MONTH(D98)</f>
        <v>12</v>
      </c>
      <c r="G98" s="108">
        <f ca="1">IF(selected_period="Total Year", 1, IF(selected_period=cc_month_number, 1, 0))</f>
        <v>0</v>
      </c>
      <c r="H98" s="44">
        <f t="shared" ref="H98" si="72">1*$E$48</f>
        <v>1</v>
      </c>
      <c r="I98" s="44">
        <f t="shared" ref="I98" si="73">1*$E$51</f>
        <v>1</v>
      </c>
      <c r="J98" s="111" cm="1">
        <f t="array" aca="1" ref="J98" ca="1">SUM(Tracking[Amount] * (Tracking[Type]=cc_type) * ( YEAR(Tracking[Effective Date]) = selected_year) * (MONTH(Tracking[Effective Date]) = cc_month_number))</f>
        <v>0</v>
      </c>
      <c r="K98" s="107"/>
      <c r="L98" s="111" cm="1">
        <f t="array" aca="1" ref="L98" ca="1" xml:space="preserve"> INDEX('Budget Planning'!$E:$CI, income_total_row, MATCH(DATE(selected_year, cc_month_number, 1), 'Budget Planning'!$E$10:$CI$10, 0))</f>
        <v>5600</v>
      </c>
      <c r="M98" s="111">
        <f ca="1">cc_Budget-cc_Tracked</f>
        <v>5600</v>
      </c>
      <c r="N98" s="118">
        <f ca="1">cc_In_Focus * cc_Show_Type * MIN(cc_Tracked, cc_Budget)</f>
        <v>0</v>
      </c>
      <c r="O98" s="118">
        <f ca="1">cc_In_Focus * cc_Show_Type *cc_Show_Rem_Budget * IF(cc_Delta&gt;0, cc_Delta, 0)</f>
        <v>0</v>
      </c>
      <c r="P98" s="118">
        <f ca="1">cc_In_Focus * cc_Show_Type * IF(cc_Delta&lt;0, ABS(cc_Delta), 0)</f>
        <v>0</v>
      </c>
      <c r="Q98" s="118">
        <f ca="1">NOT(cc_In_Focus) * cc_Show_Type * MIN(cc_Tracked, cc_Budget)</f>
        <v>0</v>
      </c>
      <c r="R98" s="118">
        <f ca="1">NOT(cc_In_Focus) * cc_Show_Type *cc_Show_Rem_Budget * IF(cc_Delta&gt;0, cc_Delta, 0)</f>
        <v>5600</v>
      </c>
      <c r="S98" s="118">
        <f ca="1">NOT(cc_In_Focus) * cc_Show_Type * IF(cc_Delta&lt;0, ABS(cc_Delta), 0)</f>
        <v>0</v>
      </c>
    </row>
    <row r="99" spans="4:19" s="4" customFormat="1" x14ac:dyDescent="0.3">
      <c r="D99" s="105"/>
      <c r="E99" s="44" t="s">
        <v>12</v>
      </c>
      <c r="F99" s="44">
        <f t="shared" ref="F99:F101" ca="1" si="74">MONTH(D98)</f>
        <v>12</v>
      </c>
      <c r="G99" s="108">
        <f ca="1">IF(selected_period="Total Year", 1, IF(selected_period=cc_month_number, 1, 0))</f>
        <v>0</v>
      </c>
      <c r="H99" s="44">
        <f t="shared" ref="H99" si="75">1*$E$49</f>
        <v>1</v>
      </c>
      <c r="I99" s="44">
        <f t="shared" si="3"/>
        <v>1</v>
      </c>
      <c r="J99" s="111" cm="1">
        <f t="array" aca="1" ref="J99" ca="1">SUM(Tracking[Amount] * (Tracking[Type]=cc_type) * ( YEAR(Tracking[Effective Date]) = selected_year) * (MONTH(Tracking[Effective Date]) = cc_month_number))</f>
        <v>0</v>
      </c>
      <c r="K99" s="44"/>
      <c r="L99" s="111" cm="1">
        <f t="array" aca="1" ref="L99" ca="1" xml:space="preserve"> INDEX('Budget Planning'!$E:$CI, expenses_total_row, MATCH(DATE(selected_year, cc_month_number, 1), 'Budget Planning'!$E$10:$CI$10, 0))</f>
        <v>3350</v>
      </c>
      <c r="M99" s="111">
        <f ca="1">cc_Budget-cc_Tracked</f>
        <v>3350</v>
      </c>
      <c r="N99" s="118">
        <f ca="1">cc_In_Focus * cc_Show_Type * MIN(cc_Tracked, cc_Budget)</f>
        <v>0</v>
      </c>
      <c r="O99" s="118">
        <f ca="1">cc_In_Focus * cc_Show_Type *cc_Show_Rem_Budget * IF(cc_Delta&gt;0, cc_Delta, 0)</f>
        <v>0</v>
      </c>
      <c r="P99" s="118">
        <f ca="1">cc_In_Focus * cc_Show_Type * IF(cc_Delta&lt;0, ABS(cc_Delta), 0)</f>
        <v>0</v>
      </c>
      <c r="Q99" s="118">
        <f ca="1">NOT(cc_In_Focus) * cc_Show_Type * MIN(cc_Tracked, cc_Budget)</f>
        <v>0</v>
      </c>
      <c r="R99" s="118">
        <f ca="1">NOT(cc_In_Focus) * cc_Show_Type *cc_Show_Rem_Budget * IF(cc_Delta&gt;0, cc_Delta, 0)</f>
        <v>3350</v>
      </c>
      <c r="S99" s="118">
        <f ca="1">NOT(cc_In_Focus) * cc_Show_Type * IF(cc_Delta&lt;0, ABS(cc_Delta), 0)</f>
        <v>0</v>
      </c>
    </row>
    <row r="100" spans="4:19" s="4" customFormat="1" x14ac:dyDescent="0.3">
      <c r="D100" s="105"/>
      <c r="E100" s="44" t="s">
        <v>17</v>
      </c>
      <c r="F100" s="44">
        <f t="shared" ref="F100" ca="1" si="76">MONTH(D98)</f>
        <v>12</v>
      </c>
      <c r="G100" s="108">
        <f ca="1">IF(selected_period="Total Year", 1, IF(selected_period=cc_month_number, 1, 0))</f>
        <v>0</v>
      </c>
      <c r="H100" s="44">
        <f t="shared" ref="H100" si="77">1*$E$50</f>
        <v>1</v>
      </c>
      <c r="I100" s="44">
        <f t="shared" si="3"/>
        <v>1</v>
      </c>
      <c r="J100" s="111" cm="1">
        <f t="array" aca="1" ref="J100" ca="1">SUM(Tracking[Amount] * (Tracking[Type]=cc_type) * ( YEAR(Tracking[Effective Date]) = selected_year) * (MONTH(Tracking[Effective Date]) = cc_month_number))</f>
        <v>0</v>
      </c>
      <c r="K100" s="44"/>
      <c r="L100" s="111" cm="1">
        <f t="array" aca="1" ref="L100" ca="1" xml:space="preserve"> INDEX('Budget Planning'!$E:$CI, savings_total_row, MATCH(DATE(selected_year, cc_month_number, 1), 'Budget Planning'!$E$10:$CI$10, 0))</f>
        <v>2250</v>
      </c>
      <c r="M100" s="111">
        <f ca="1">cc_Budget-cc_Tracked</f>
        <v>2250</v>
      </c>
      <c r="N100" s="118">
        <f ca="1">cc_In_Focus * cc_Show_Type * MIN(cc_Tracked, cc_Budget)</f>
        <v>0</v>
      </c>
      <c r="O100" s="118">
        <f ca="1">cc_In_Focus * cc_Show_Type *cc_Show_Rem_Budget * IF(cc_Delta&gt;0, cc_Delta, 0)</f>
        <v>0</v>
      </c>
      <c r="P100" s="118">
        <f ca="1">cc_In_Focus * cc_Show_Type * IF(cc_Delta&lt;0, ABS(cc_Delta), 0)</f>
        <v>0</v>
      </c>
      <c r="Q100" s="118">
        <f ca="1">NOT(cc_In_Focus) * cc_Show_Type * MIN(cc_Tracked, cc_Budget)</f>
        <v>0</v>
      </c>
      <c r="R100" s="118">
        <f ca="1">NOT(cc_In_Focus) * cc_Show_Type *cc_Show_Rem_Budget * IF(cc_Delta&gt;0, cc_Delta, 0)</f>
        <v>2250</v>
      </c>
      <c r="S100" s="118">
        <f ca="1">NOT(cc_In_Focus) * cc_Show_Type * IF(cc_Delta&lt;0, ABS(cc_Delta), 0)</f>
        <v>0</v>
      </c>
    </row>
    <row r="101" spans="4:19" s="4" customFormat="1" x14ac:dyDescent="0.3">
      <c r="D101" s="106"/>
      <c r="E101" s="109"/>
      <c r="F101" s="109"/>
      <c r="G101" s="110"/>
      <c r="H101" s="109"/>
      <c r="I101" s="109"/>
      <c r="J101" s="113"/>
      <c r="K101" s="109"/>
      <c r="L101" s="113"/>
      <c r="M101" s="113"/>
      <c r="N101" s="119"/>
      <c r="O101" s="119"/>
      <c r="P101" s="119"/>
      <c r="Q101" s="119"/>
      <c r="R101" s="115"/>
      <c r="S101" s="115"/>
    </row>
  </sheetData>
  <mergeCells count="17">
    <mergeCell ref="D98:D101"/>
    <mergeCell ref="N52:P52"/>
    <mergeCell ref="Q52:S52"/>
    <mergeCell ref="D74:D77"/>
    <mergeCell ref="D78:D81"/>
    <mergeCell ref="D82:D85"/>
    <mergeCell ref="D86:D89"/>
    <mergeCell ref="D90:D93"/>
    <mergeCell ref="D94:D97"/>
    <mergeCell ref="D54:D57"/>
    <mergeCell ref="D58:D61"/>
    <mergeCell ref="D62:D65"/>
    <mergeCell ref="D66:D69"/>
    <mergeCell ref="D70:D73"/>
    <mergeCell ref="C1:G3"/>
    <mergeCell ref="C6:F6"/>
    <mergeCell ref="C17:F17"/>
  </mergeCells>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8E7C9-682A-46FD-9C43-E5E3BE80EB7B}">
  <dimension ref="A1:AY56"/>
  <sheetViews>
    <sheetView showGridLines="0" tabSelected="1" zoomScale="88" zoomScaleNormal="90" workbookViewId="0">
      <pane ySplit="3" topLeftCell="A4" activePane="bottomLeft" state="frozen"/>
      <selection pane="bottomLeft" activeCell="AT44" sqref="AT44"/>
    </sheetView>
  </sheetViews>
  <sheetFormatPr defaultRowHeight="14.4" x14ac:dyDescent="0.3"/>
  <cols>
    <col min="1" max="1" width="3.88671875" customWidth="1"/>
    <col min="2" max="2" width="2.5546875" customWidth="1"/>
    <col min="3" max="3" width="8.88671875" hidden="1" customWidth="1"/>
    <col min="4" max="4" width="12.109375" hidden="1" customWidth="1"/>
    <col min="5" max="9" width="8.88671875" hidden="1" customWidth="1"/>
    <col min="10" max="10" width="24.6640625" hidden="1" customWidth="1"/>
    <col min="11" max="12" width="8.88671875" hidden="1" customWidth="1"/>
    <col min="13" max="14" width="12.109375" hidden="1" customWidth="1"/>
    <col min="15" max="18" width="13.88671875" hidden="1" customWidth="1"/>
    <col min="19" max="19" width="13.21875" hidden="1" customWidth="1"/>
    <col min="20" max="20" width="15.77734375" hidden="1" customWidth="1"/>
    <col min="21" max="21" width="17.88671875" hidden="1" customWidth="1"/>
    <col min="22" max="22" width="24.44140625" hidden="1" customWidth="1"/>
    <col min="23" max="23" width="17" hidden="1" customWidth="1"/>
    <col min="24" max="24" width="23.6640625" hidden="1" customWidth="1"/>
    <col min="25" max="25" width="27.6640625" customWidth="1"/>
    <col min="26" max="28" width="8.88671875" customWidth="1"/>
    <col min="29" max="29" width="10.5546875" customWidth="1"/>
    <col min="30" max="30" width="8.88671875" customWidth="1"/>
    <col min="31" max="31" width="2.5546875" customWidth="1"/>
    <col min="32" max="32" width="13.77734375" customWidth="1"/>
    <col min="33" max="33" width="13.5546875" customWidth="1"/>
    <col min="34" max="34" width="1.77734375" customWidth="1"/>
    <col min="35" max="35" width="17.33203125" customWidth="1"/>
    <col min="36" max="36" width="8.21875" customWidth="1"/>
    <col min="37" max="37" width="2.88671875" customWidth="1"/>
    <col min="38" max="38" width="2.44140625" customWidth="1"/>
    <col min="39" max="39" width="13.21875" customWidth="1"/>
    <col min="40" max="40" width="13.5546875" customWidth="1"/>
    <col min="41" max="41" width="1.77734375" customWidth="1"/>
    <col min="42" max="42" width="17.33203125" customWidth="1"/>
    <col min="43" max="43" width="8.21875" customWidth="1"/>
    <col min="44" max="44" width="2.88671875" customWidth="1"/>
  </cols>
  <sheetData>
    <row r="1" spans="1:51" x14ac:dyDescent="0.3">
      <c r="A1" s="1"/>
      <c r="B1" s="1"/>
      <c r="C1" s="2" t="s">
        <v>53</v>
      </c>
      <c r="D1" s="2"/>
      <c r="E1" s="2"/>
      <c r="F1" s="2"/>
      <c r="G1" s="2"/>
      <c r="H1" s="2"/>
      <c r="I1" s="1"/>
      <c r="J1" s="1"/>
      <c r="K1" s="1"/>
      <c r="L1" s="1"/>
      <c r="M1" s="1"/>
      <c r="N1" s="1"/>
      <c r="O1" s="1"/>
      <c r="P1" s="1"/>
      <c r="Q1" s="1"/>
      <c r="R1" s="1"/>
      <c r="S1" s="1"/>
      <c r="T1" s="1"/>
      <c r="U1" s="1"/>
      <c r="V1" s="1"/>
      <c r="W1" s="1"/>
      <c r="X1" s="1"/>
      <c r="Y1" s="2" t="s">
        <v>53</v>
      </c>
      <c r="Z1" s="2"/>
      <c r="AA1" s="2"/>
      <c r="AB1" s="2"/>
      <c r="AC1" s="1"/>
      <c r="AD1" s="1"/>
      <c r="AE1" s="1"/>
      <c r="AF1" s="1"/>
      <c r="AG1" s="1"/>
      <c r="AH1" s="1"/>
      <c r="AI1" s="1"/>
      <c r="AJ1" s="1"/>
      <c r="AK1" s="1"/>
      <c r="AL1" s="1"/>
      <c r="AM1" s="1"/>
      <c r="AN1" s="1"/>
      <c r="AO1" s="1"/>
      <c r="AP1" s="1"/>
      <c r="AQ1" s="1"/>
      <c r="AR1" s="1"/>
      <c r="AS1" s="1"/>
      <c r="AT1" s="1"/>
      <c r="AU1" s="1"/>
      <c r="AV1" s="1"/>
      <c r="AW1" s="1"/>
      <c r="AX1" s="1"/>
      <c r="AY1" s="1"/>
    </row>
    <row r="2" spans="1:51" x14ac:dyDescent="0.3">
      <c r="A2" s="1"/>
      <c r="B2" s="1"/>
      <c r="C2" s="2"/>
      <c r="D2" s="2"/>
      <c r="E2" s="2"/>
      <c r="F2" s="2"/>
      <c r="G2" s="2"/>
      <c r="H2" s="2"/>
      <c r="I2" s="1"/>
      <c r="J2" s="1"/>
      <c r="K2" s="1"/>
      <c r="L2" s="1"/>
      <c r="M2" s="1"/>
      <c r="N2" s="1"/>
      <c r="O2" s="1"/>
      <c r="P2" s="1"/>
      <c r="Q2" s="1"/>
      <c r="R2" s="1"/>
      <c r="S2" s="1"/>
      <c r="T2" s="1"/>
      <c r="U2" s="1"/>
      <c r="V2" s="1"/>
      <c r="W2" s="1"/>
      <c r="X2" s="1"/>
      <c r="Y2" s="2"/>
      <c r="Z2" s="2"/>
      <c r="AA2" s="2"/>
      <c r="AB2" s="2"/>
      <c r="AC2" s="1"/>
      <c r="AD2" s="1"/>
      <c r="AE2" s="1"/>
      <c r="AF2" s="1"/>
      <c r="AG2" s="1"/>
      <c r="AH2" s="1"/>
      <c r="AI2" s="1"/>
      <c r="AJ2" s="1"/>
      <c r="AK2" s="1"/>
      <c r="AL2" s="1"/>
      <c r="AM2" s="1"/>
      <c r="AN2" s="1"/>
      <c r="AO2" s="1"/>
      <c r="AP2" s="1"/>
      <c r="AQ2" s="1"/>
      <c r="AR2" s="1"/>
      <c r="AS2" s="1"/>
      <c r="AT2" s="1"/>
      <c r="AU2" s="1"/>
      <c r="AV2" s="1"/>
      <c r="AW2" s="1"/>
      <c r="AX2" s="1"/>
      <c r="AY2" s="1"/>
    </row>
    <row r="3" spans="1:51" x14ac:dyDescent="0.3">
      <c r="A3" s="1"/>
      <c r="B3" s="1"/>
      <c r="C3" s="2"/>
      <c r="D3" s="2"/>
      <c r="E3" s="2"/>
      <c r="F3" s="2"/>
      <c r="G3" s="2"/>
      <c r="H3" s="2"/>
      <c r="I3" s="1"/>
      <c r="J3" s="1"/>
      <c r="K3" s="1"/>
      <c r="L3" s="1"/>
      <c r="M3" s="1"/>
      <c r="N3" s="1"/>
      <c r="O3" s="1"/>
      <c r="P3" s="1"/>
      <c r="Q3" s="1"/>
      <c r="R3" s="1"/>
      <c r="S3" s="1"/>
      <c r="T3" s="1"/>
      <c r="U3" s="1"/>
      <c r="V3" s="1"/>
      <c r="W3" s="1"/>
      <c r="X3" s="1"/>
      <c r="Y3" s="2"/>
      <c r="Z3" s="2"/>
      <c r="AA3" s="2"/>
      <c r="AB3" s="2"/>
      <c r="AC3" s="1"/>
      <c r="AD3" s="1"/>
      <c r="AE3" s="1"/>
      <c r="AF3" s="1"/>
      <c r="AG3" s="1"/>
      <c r="AH3" s="1"/>
      <c r="AI3" s="1"/>
      <c r="AJ3" s="1"/>
      <c r="AK3" s="1"/>
      <c r="AL3" s="1"/>
      <c r="AM3" s="1"/>
      <c r="AN3" s="1"/>
      <c r="AO3" s="1"/>
      <c r="AP3" s="1"/>
      <c r="AQ3" s="1"/>
      <c r="AR3" s="1"/>
      <c r="AS3" s="1"/>
      <c r="AT3" s="1"/>
      <c r="AU3" s="1"/>
      <c r="AV3" s="1"/>
      <c r="AW3" s="1"/>
      <c r="AX3" s="1"/>
      <c r="AY3" s="1"/>
    </row>
    <row r="5" spans="1:51" x14ac:dyDescent="0.3">
      <c r="AQ5" s="53" t="s">
        <v>54</v>
      </c>
      <c r="AR5" s="54"/>
    </row>
    <row r="6" spans="1:51" x14ac:dyDescent="0.3">
      <c r="AN6" s="56" t="s">
        <v>55</v>
      </c>
      <c r="AO6" s="56"/>
      <c r="AP6" s="56"/>
      <c r="AQ6" s="55" t="s">
        <v>60</v>
      </c>
      <c r="AR6" s="55"/>
    </row>
    <row r="8" spans="1:51" x14ac:dyDescent="0.3">
      <c r="AQ8" s="53" t="s">
        <v>56</v>
      </c>
      <c r="AR8" s="54"/>
    </row>
    <row r="9" spans="1:51" x14ac:dyDescent="0.3">
      <c r="AN9" s="56" t="s">
        <v>57</v>
      </c>
      <c r="AO9" s="56"/>
      <c r="AP9" s="56"/>
      <c r="AQ9" s="62">
        <v>36557</v>
      </c>
      <c r="AR9" s="62"/>
    </row>
    <row r="11" spans="1:51" x14ac:dyDescent="0.3">
      <c r="C11" s="1"/>
      <c r="D11" s="1"/>
      <c r="E11" s="1"/>
      <c r="F11" s="1"/>
      <c r="G11" s="1"/>
      <c r="H11" s="1"/>
      <c r="I11" s="1"/>
      <c r="J11" s="1"/>
      <c r="K11" s="1"/>
      <c r="L11" s="1"/>
      <c r="M11" s="1"/>
      <c r="N11" s="1"/>
      <c r="O11" s="1"/>
      <c r="P11" s="1"/>
      <c r="Q11" s="1"/>
      <c r="R11" s="1"/>
      <c r="S11" s="1"/>
      <c r="T11" s="1"/>
      <c r="U11" s="1"/>
      <c r="V11" s="1"/>
      <c r="W11" s="1"/>
      <c r="X11" s="1"/>
      <c r="Y11" s="5" t="str">
        <f ca="1">"Breakdown - " &amp; IF(selected_period = "Total Year ", selected_year &amp; "(Total Year)", selected_period_display &amp; " " &amp; selected_year)</f>
        <v>Breakdown - February 2024</v>
      </c>
      <c r="Z11" s="5"/>
      <c r="AA11" s="5"/>
      <c r="AB11" s="5"/>
      <c r="AC11" s="5"/>
      <c r="AD11" s="5"/>
      <c r="AF11" s="5" t="str">
        <f ca="1">"Summary - " &amp; IF(selected_period = "Total Year ", selected_year &amp; "(Total Year)", selected_period_display &amp; " " &amp; selected_year)</f>
        <v>Summary - February 2024</v>
      </c>
      <c r="AG11" s="5"/>
      <c r="AH11" s="5"/>
      <c r="AI11" s="5"/>
      <c r="AJ11" s="5"/>
      <c r="AK11" s="5"/>
      <c r="AL11" s="5"/>
      <c r="AM11" s="5"/>
      <c r="AN11" s="5"/>
      <c r="AO11" s="5"/>
      <c r="AP11" s="5"/>
      <c r="AQ11" s="5"/>
      <c r="AR11" s="5"/>
    </row>
    <row r="12" spans="1:51" x14ac:dyDescent="0.3">
      <c r="C12" s="66" t="s">
        <v>68</v>
      </c>
      <c r="D12" s="67" t="s">
        <v>76</v>
      </c>
      <c r="E12" s="66" t="s">
        <v>69</v>
      </c>
      <c r="F12" s="68" t="s">
        <v>77</v>
      </c>
      <c r="G12" s="68" t="s">
        <v>70</v>
      </c>
      <c r="H12" s="67" t="s">
        <v>71</v>
      </c>
      <c r="I12" s="66" t="s">
        <v>72</v>
      </c>
      <c r="J12" s="68" t="s">
        <v>73</v>
      </c>
      <c r="K12" s="68" t="s">
        <v>74</v>
      </c>
      <c r="L12" s="67" t="s">
        <v>75</v>
      </c>
      <c r="M12" s="66" t="s">
        <v>78</v>
      </c>
      <c r="N12" s="67" t="s">
        <v>79</v>
      </c>
      <c r="O12" s="66" t="s">
        <v>80</v>
      </c>
      <c r="P12" s="68" t="s">
        <v>81</v>
      </c>
      <c r="Q12" s="68" t="s">
        <v>82</v>
      </c>
      <c r="R12" s="67" t="s">
        <v>83</v>
      </c>
      <c r="S12" s="66" t="s">
        <v>84</v>
      </c>
      <c r="T12" s="68" t="s">
        <v>85</v>
      </c>
      <c r="U12" s="68" t="s">
        <v>86</v>
      </c>
      <c r="V12" s="68" t="s">
        <v>87</v>
      </c>
      <c r="W12" s="67" t="s">
        <v>88</v>
      </c>
      <c r="X12" s="72" t="s">
        <v>89</v>
      </c>
    </row>
    <row r="13" spans="1:51" x14ac:dyDescent="0.3">
      <c r="C13" s="7" cm="1">
        <f t="array" ref="C13">income_header_row</f>
        <v>10</v>
      </c>
      <c r="D13" s="9">
        <f>IF(is_header, row_id, IF(NOT(is_empty), D12, -1))</f>
        <v>10</v>
      </c>
      <c r="E13" s="7" cm="1">
        <f t="array" ref="E13">1*OR(row_id=income_header_row, row_id=expenses_header_row, row_id=savings_header_row)</f>
        <v>1</v>
      </c>
      <c r="F13" s="8">
        <f>1*NOT(OR(is_header, is_total, is_empty))</f>
        <v>0</v>
      </c>
      <c r="G13" s="8" cm="1">
        <f t="array" ref="G13">1*OR(row_id=income_total_row, row_id=expenses_total_row, row_id=savings_total_row)</f>
        <v>0</v>
      </c>
      <c r="H13" s="9">
        <f>1*OR(row_id="/1", row_id="/2", row_id=-1)</f>
        <v>0</v>
      </c>
      <c r="I13" s="7" t="str" cm="1">
        <f t="array" ref="I13">IFERROR(INDEX('Budget Planning'!$C:$C, header_row_id), "")</f>
        <v>Income</v>
      </c>
      <c r="J13" s="8" t="str" cm="1">
        <f t="array" ref="J13">IFERROR(INDEX('Budget Planning'!$C:$C, row_id), "")</f>
        <v>Income</v>
      </c>
      <c r="K13" s="70" t="str" cm="1">
        <f t="array" ref="K13">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13" s="71" t="str" cm="1">
        <f t="array" ref="L13">IF(OR(is_header, is_empty), "", INDEX('Budget Planning'!$E:$CI, row_id, MATCH(IF(selected_period="Total Year", selected_year, DATE(selected_year, selected_period, 1)), 'Budget Planning'!$E$10:$CI$10, 0)))</f>
        <v/>
      </c>
      <c r="M13" s="7" t="str" cm="1">
        <f t="array" ref="M13">IF(is_cat, IF(header_row_id = income_header_row, MATCH(income_min_row, $C:$C, 0), IF(header_row_id = expenses_header_row, MATCH(expenses_min_row, $C:$C, 0), IF(header_row_id = savings_header_row, MATCH(savings_min_row, $C:$C, 0), ""))), "")</f>
        <v/>
      </c>
      <c r="N13" s="9" t="str" cm="1">
        <f t="array" ref="N13">IF(is_cat, IF(header_row_id = income_header_row, MATCH(income_max_row, $C:$C, 0), IF(header_row_id = expenses_header_row, MATCH(expenses_max_row, $C:$C, 0), IF(header_row_id = savings_header_row, MATCH(savings_max_row, $C:$C, 0), ""))), "")</f>
        <v/>
      </c>
      <c r="O13" s="7" t="str">
        <f>IF(is_cat, ADDRESS(sort_min_row, COLUMN(tracked)) &amp; ":" &amp; ADDRESS(sort_max_row, COLUMN(tracked)), "")</f>
        <v/>
      </c>
      <c r="P13" s="8" t="str">
        <f ca="1">IF(is_cat, RANK(tracked, INDIRECT(tracked_range), 0), "")</f>
        <v/>
      </c>
      <c r="Q13" s="8" t="str">
        <f>IF(is_cat, ADDRESS(sort_min_row, COLUMN(budget)) &amp; ":" &amp; ADDRESS(sort_max_row, COLUMN(budget)), "")</f>
        <v/>
      </c>
      <c r="R13" s="9" t="str">
        <f ca="1">IF(is_cat, RANK(budget, INDIRECT(budget_range), 0), "")</f>
        <v/>
      </c>
      <c r="S13" s="7" t="str">
        <f>IF(is_cat, _xlfn.NUMBERVALUE(tracked_rank &amp; budget_rank), "")</f>
        <v/>
      </c>
      <c r="T13" s="8" t="str">
        <f>IF(is_cat, ADDRESS(sort_min_row, COLUMN(comb_rank)) &amp; ":" &amp; ADDRESS(sort_max_row, COLUMN(comb_rank)), "")</f>
        <v/>
      </c>
      <c r="U13" s="8" t="str">
        <f ca="1">IF(is_cat, RANK(comb_rank, INDIRECT(comb_rank_range), 1), "")</f>
        <v/>
      </c>
      <c r="V13" s="8" t="str">
        <f>IF(is_cat, ADDRESS(sort_min_row, COLUMN(comb_rank_norm)) &amp; ":" &amp; ADDRESS(ROW(), COLUMN(comb_rank_norm)), "")</f>
        <v/>
      </c>
      <c r="W13" s="9" t="str">
        <f ca="1">IF(is_cat, comb_rank_norm + COUNTIF(INDIRECT(comb_rank_norm_run_range), comb_rank_norm)-1, "")</f>
        <v/>
      </c>
      <c r="X13" s="73">
        <f>IF(is_cat, header_row_id + comb_rank_unique, row_id)</f>
        <v>10</v>
      </c>
      <c r="Y13" s="75" t="str">
        <f>IF(is_empty, "", INDEX($J:$J, MATCH(row_id, $X:$X, 0)))</f>
        <v>Income</v>
      </c>
      <c r="Z13" s="78" t="str">
        <f>IF(is_empty, "", IF(is_header, "Tracked", INDEX($K:$K, MATCH(row_id, $X:$X, 0))))</f>
        <v>Tracked</v>
      </c>
      <c r="AA13" s="78" t="str">
        <f>IF(is_empty, "", IF(is_header, "Budget", INDEX($L:$L, MATCH(row_id, $X:$X, 0))))</f>
        <v>Budget</v>
      </c>
      <c r="AB13" s="77" t="str">
        <f>IF(is_empty, "", IF(is_header, "% Compl.", IFERROR(out_tracked / out_Budget, "-")))</f>
        <v>% Compl.</v>
      </c>
      <c r="AC13" s="78" t="str">
        <f>IF(is_empty, "", IF(is_header, "Remaining", IF(out_Budget - out_tracked &gt; 0, out_Budget - out_tracked, 0)))</f>
        <v>Remaining</v>
      </c>
      <c r="AD13" s="78" t="str">
        <f>IF(is_empty, "", IF(is_header, "Excess", IF(out_Budget - out_tracked &lt; 0, out_tracked - out_Budget, 0)))</f>
        <v>Excess</v>
      </c>
      <c r="AF13" s="80"/>
      <c r="AG13" s="81"/>
      <c r="AH13" s="81"/>
      <c r="AI13" s="81"/>
      <c r="AJ13" s="81"/>
      <c r="AK13" s="82"/>
      <c r="AM13" s="80"/>
      <c r="AN13" s="81"/>
      <c r="AO13" s="81"/>
      <c r="AP13" s="81"/>
      <c r="AQ13" s="81"/>
      <c r="AR13" s="82"/>
    </row>
    <row r="14" spans="1:51" x14ac:dyDescent="0.3">
      <c r="C14" s="7" cm="1">
        <f t="array" ref="C14">IF(C13=-1, -1, IF(C13&lt;income_max_row, C13+1, IF(C13=income_max_row, income_total_row, IF(C13=income_total_row, "/1", IF(C13="/1", expenses_header_row, IF(C13&lt;expenses_max_row, C13+1, IF(C13= expenses_max_row, expenses_total_row, IF(C13=expenses_total_row, "/2", IF(C13="/2", savings_header_row, IF(C13&lt;savings_max_row, C13+1, IF(C13=savings_max_row, savings_total_row, -1)))))))))))</f>
        <v>11</v>
      </c>
      <c r="D14" s="9">
        <f>IF(is_header, row_id, IF(NOT(is_empty), D13, -1))</f>
        <v>10</v>
      </c>
      <c r="E14" s="7" cm="1">
        <f t="array" ref="E14">1*OR(row_id=income_header_row, row_id=expenses_header_row, row_id=savings_header_row)</f>
        <v>0</v>
      </c>
      <c r="F14" s="8">
        <f>1*NOT(OR(is_header, is_total, is_empty))</f>
        <v>1</v>
      </c>
      <c r="G14" s="8" cm="1">
        <f t="array" ref="G14">1*OR(row_id=income_total_row, row_id=expenses_total_row, row_id=savings_total_row)</f>
        <v>0</v>
      </c>
      <c r="H14" s="9">
        <f>1*OR(row_id="/1", row_id="/2", row_id=-1)</f>
        <v>0</v>
      </c>
      <c r="I14" s="7" t="str" cm="1">
        <f t="array" ref="I14">IFERROR(INDEX('Budget Planning'!$C:$C, header_row_id), "")</f>
        <v>Income</v>
      </c>
      <c r="J14" s="8" t="str" cm="1">
        <f t="array" ref="J14">IFERROR(INDEX('Budget Planning'!$C:$C, row_id), "")</f>
        <v>Employment (Net)</v>
      </c>
      <c r="K14" s="70" cm="1">
        <f t="array" aca="1" ref="K14"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3500</v>
      </c>
      <c r="L14" s="71" cm="1">
        <f t="array" aca="1" ref="L14" ca="1">IF(OR(is_header, is_empty), "", INDEX('Budget Planning'!$E:$CI, row_id, MATCH(IF(selected_period="Total Year", selected_year, DATE(selected_year, selected_period, 1)), 'Budget Planning'!$E$10:$CI$10, 0)))</f>
        <v>3500</v>
      </c>
      <c r="M14" s="7" cm="1">
        <f t="array" ref="M14">IF(is_cat, IF(header_row_id = income_header_row, MATCH(income_min_row, $C:$C, 0), IF(header_row_id = expenses_header_row, MATCH(expenses_min_row, $C:$C, 0), IF(header_row_id = savings_header_row, MATCH(savings_min_row, $C:$C, 0), ""))), "")</f>
        <v>14</v>
      </c>
      <c r="N14" s="9" cm="1">
        <f t="array" ref="N14">IF(is_cat, IF(header_row_id = income_header_row, MATCH(income_max_row, $C:$C, 0), IF(header_row_id = expenses_header_row, MATCH(expenses_max_row, $C:$C, 0), IF(header_row_id = savings_header_row, MATCH(savings_max_row, $C:$C, 0), ""))), "")</f>
        <v>16</v>
      </c>
      <c r="O14" s="7" t="str">
        <f>IF(is_cat, ADDRESS(sort_min_row, COLUMN(tracked)) &amp; ":" &amp; ADDRESS(sort_max_row, COLUMN(tracked)), "")</f>
        <v>$K$14:$K$16</v>
      </c>
      <c r="P14" s="8">
        <f ca="1">IF(is_cat, RANK(tracked, INDIRECT(tracked_range), 0), "")</f>
        <v>1</v>
      </c>
      <c r="Q14" s="8" t="str">
        <f>IF(is_cat, ADDRESS(sort_min_row, COLUMN(budget)) &amp; ":" &amp; ADDRESS(sort_max_row, COLUMN(budget)), "")</f>
        <v>$L$14:$L$16</v>
      </c>
      <c r="R14" s="9">
        <f ca="1">IF(is_cat, RANK(budget, INDIRECT(budget_range), 0), "")</f>
        <v>1</v>
      </c>
      <c r="S14" s="7">
        <f ca="1">IF(is_cat, _xlfn.NUMBERVALUE(tracked_rank &amp; budget_rank), "")</f>
        <v>11</v>
      </c>
      <c r="T14" s="8" t="str">
        <f>IF(is_cat, ADDRESS(sort_min_row, COLUMN(comb_rank)) &amp; ":" &amp; ADDRESS(sort_max_row, COLUMN(comb_rank)), "")</f>
        <v>$S$14:$S$16</v>
      </c>
      <c r="U14" s="8">
        <f ca="1">IF(is_cat, RANK(comb_rank, INDIRECT(comb_rank_range), 1), "")</f>
        <v>1</v>
      </c>
      <c r="V14" s="8" t="str">
        <f>IF(is_cat, ADDRESS(sort_min_row, COLUMN(comb_rank_norm)) &amp; ":" &amp; ADDRESS(ROW(), COLUMN(comb_rank_norm)), "")</f>
        <v>$U$14:$U$14</v>
      </c>
      <c r="W14" s="9">
        <f ca="1">IF(is_cat, comb_rank_norm + COUNTIF(INDIRECT(comb_rank_norm_run_range), comb_rank_norm)-1, "")</f>
        <v>1</v>
      </c>
      <c r="X14" s="73">
        <f ca="1">IF(is_cat, header_row_id + comb_rank_unique, row_id)</f>
        <v>11</v>
      </c>
      <c r="Y14" s="75" t="str">
        <f ca="1">IF(is_empty, "", INDEX($J:$J, MATCH(row_id, $X:$X, 0)))</f>
        <v>Employment (Net)</v>
      </c>
      <c r="Z14" s="78">
        <f ca="1">IF(is_empty, "", IF(is_header, "Tracked", INDEX($K:$K, MATCH(row_id, $X:$X, 0))))</f>
        <v>3500</v>
      </c>
      <c r="AA14" s="78">
        <f ca="1">IF(is_empty, "", IF(is_header, "Budget", INDEX($L:$L, MATCH(row_id, $X:$X, 0))))</f>
        <v>3500</v>
      </c>
      <c r="AB14" s="77">
        <f ca="1">IF(is_empty, "", IF(is_header, "% Compl.", IFERROR(out_tracked / out_Budget, "-")))</f>
        <v>1</v>
      </c>
      <c r="AC14" s="78">
        <f ca="1">IF(is_empty, "", IF(is_header, "Remaining", IF(out_Budget - out_tracked &gt; 0, out_Budget - out_tracked, 0)))</f>
        <v>0</v>
      </c>
      <c r="AD14" s="78">
        <f ca="1">IF(is_empty, "", IF(is_header, "Excess", IF(out_Budget - out_tracked &lt; 0, out_tracked - out_Budget, 0)))</f>
        <v>0</v>
      </c>
      <c r="AF14" s="7"/>
      <c r="AG14" s="8"/>
      <c r="AH14" s="8"/>
      <c r="AI14" s="8"/>
      <c r="AJ14" s="8"/>
      <c r="AK14" s="9"/>
      <c r="AM14" s="7"/>
      <c r="AN14" s="8"/>
      <c r="AO14" s="8"/>
      <c r="AP14" s="8"/>
      <c r="AQ14" s="8"/>
      <c r="AR14" s="9"/>
    </row>
    <row r="15" spans="1:51" x14ac:dyDescent="0.3">
      <c r="C15" s="7" cm="1">
        <f t="array" ref="C15">IF(C14=-1, -1, IF(C14&lt;income_max_row, C14+1, IF(C14=income_max_row, income_total_row, IF(C14=income_total_row, "/1", IF(C14="/1", expenses_header_row, IF(C14&lt;expenses_max_row, C14+1, IF(C14= expenses_max_row, expenses_total_row, IF(C14=expenses_total_row, "/2", IF(C14="/2", savings_header_row, IF(C14&lt;savings_max_row, C14+1, IF(C14=savings_max_row, savings_total_row, -1)))))))))))</f>
        <v>12</v>
      </c>
      <c r="D15" s="9">
        <f>IF(is_header, row_id, IF(NOT(is_empty), D14, -1))</f>
        <v>10</v>
      </c>
      <c r="E15" s="7" cm="1">
        <f t="array" ref="E15">1*OR(row_id=income_header_row, row_id=expenses_header_row, row_id=savings_header_row)</f>
        <v>0</v>
      </c>
      <c r="F15" s="8">
        <f>1*NOT(OR(is_header, is_total, is_empty))</f>
        <v>1</v>
      </c>
      <c r="G15" s="8" cm="1">
        <f t="array" ref="G15">1*OR(row_id=income_total_row, row_id=expenses_total_row, row_id=savings_total_row)</f>
        <v>0</v>
      </c>
      <c r="H15" s="9">
        <f>1*OR(row_id="/1", row_id="/2", row_id=-1)</f>
        <v>0</v>
      </c>
      <c r="I15" s="7" t="str" cm="1">
        <f t="array" ref="I15">IFERROR(INDEX('Budget Planning'!$C:$C, header_row_id), "")</f>
        <v>Income</v>
      </c>
      <c r="J15" s="8" t="str" cm="1">
        <f t="array" ref="J15">IFERROR(INDEX('Budget Planning'!$C:$C, row_id), "")</f>
        <v>Side Hustle (Net)</v>
      </c>
      <c r="K15" s="70" cm="1">
        <f t="array" aca="1" ref="K15"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500</v>
      </c>
      <c r="L15" s="71" cm="1">
        <f t="array" aca="1" ref="L15" ca="1">IF(OR(is_header, is_empty), "", INDEX('Budget Planning'!$E:$CI, row_id, MATCH(IF(selected_period="Total Year", selected_year, DATE(selected_year, selected_period, 1)), 'Budget Planning'!$E$10:$CI$10, 0)))</f>
        <v>1000</v>
      </c>
      <c r="M15" s="7" cm="1">
        <f t="array" ref="M15">IF(is_cat, IF(header_row_id = income_header_row, MATCH(income_min_row, $C:$C, 0), IF(header_row_id = expenses_header_row, MATCH(expenses_min_row, $C:$C, 0), IF(header_row_id = savings_header_row, MATCH(savings_min_row, $C:$C, 0), ""))), "")</f>
        <v>14</v>
      </c>
      <c r="N15" s="9" cm="1">
        <f t="array" ref="N15">IF(is_cat, IF(header_row_id = income_header_row, MATCH(income_max_row, $C:$C, 0), IF(header_row_id = expenses_header_row, MATCH(expenses_max_row, $C:$C, 0), IF(header_row_id = savings_header_row, MATCH(savings_max_row, $C:$C, 0), ""))), "")</f>
        <v>16</v>
      </c>
      <c r="O15" s="7" t="str">
        <f>IF(is_cat, ADDRESS(sort_min_row, COLUMN(tracked)) &amp; ":" &amp; ADDRESS(sort_max_row, COLUMN(tracked)), "")</f>
        <v>$K$14:$K$16</v>
      </c>
      <c r="P15" s="8">
        <f ca="1">IF(is_cat, RANK(tracked, INDIRECT(tracked_range), 0), "")</f>
        <v>2</v>
      </c>
      <c r="Q15" s="8" t="str">
        <f>IF(is_cat, ADDRESS(sort_min_row, COLUMN(budget)) &amp; ":" &amp; ADDRESS(sort_max_row, COLUMN(budget)), "")</f>
        <v>$L$14:$L$16</v>
      </c>
      <c r="R15" s="9">
        <f ca="1">IF(is_cat, RANK(budget, INDIRECT(budget_range), 0), "")</f>
        <v>2</v>
      </c>
      <c r="S15" s="7">
        <f ca="1">IF(is_cat, _xlfn.NUMBERVALUE(tracked_rank &amp; budget_rank), "")</f>
        <v>22</v>
      </c>
      <c r="T15" s="8" t="str">
        <f>IF(is_cat, ADDRESS(sort_min_row, COLUMN(comb_rank)) &amp; ":" &amp; ADDRESS(sort_max_row, COLUMN(comb_rank)), "")</f>
        <v>$S$14:$S$16</v>
      </c>
      <c r="U15" s="8">
        <f ca="1">IF(is_cat, RANK(comb_rank, INDIRECT(comb_rank_range), 1), "")</f>
        <v>2</v>
      </c>
      <c r="V15" s="8" t="str">
        <f>IF(is_cat, ADDRESS(sort_min_row, COLUMN(comb_rank_norm)) &amp; ":" &amp; ADDRESS(ROW(), COLUMN(comb_rank_norm)), "")</f>
        <v>$U$14:$U$15</v>
      </c>
      <c r="W15" s="9">
        <f ca="1">IF(is_cat, comb_rank_norm + COUNTIF(INDIRECT(comb_rank_norm_run_range), comb_rank_norm)-1, "")</f>
        <v>2</v>
      </c>
      <c r="X15" s="73">
        <f ca="1">IF(is_cat, header_row_id + comb_rank_unique, row_id)</f>
        <v>12</v>
      </c>
      <c r="Y15" s="75" t="str">
        <f ca="1">IF(is_empty, "", INDEX($J:$J, MATCH(row_id, $X:$X, 0)))</f>
        <v>Side Hustle (Net)</v>
      </c>
      <c r="Z15" s="78">
        <f ca="1">IF(is_empty, "", IF(is_header, "Tracked", INDEX($K:$K, MATCH(row_id, $X:$X, 0))))</f>
        <v>500</v>
      </c>
      <c r="AA15" s="78">
        <f ca="1">IF(is_empty, "", IF(is_header, "Budget", INDEX($L:$L, MATCH(row_id, $X:$X, 0))))</f>
        <v>1000</v>
      </c>
      <c r="AB15" s="77">
        <f ca="1">IF(is_empty, "", IF(is_header, "% Compl.", IFERROR(out_tracked / out_Budget, "-")))</f>
        <v>0.5</v>
      </c>
      <c r="AC15" s="78">
        <f ca="1">IF(is_empty, "", IF(is_header, "Remaining", IF(out_Budget - out_tracked &gt; 0, out_Budget - out_tracked, 0)))</f>
        <v>500</v>
      </c>
      <c r="AD15" s="78">
        <f ca="1">IF(is_empty, "", IF(is_header, "Excess", IF(out_Budget - out_tracked &lt; 0, out_tracked - out_Budget, 0)))</f>
        <v>0</v>
      </c>
      <c r="AF15" s="7"/>
      <c r="AG15" s="8"/>
      <c r="AH15" s="8"/>
      <c r="AI15" s="8"/>
      <c r="AJ15" s="8"/>
      <c r="AK15" s="9"/>
      <c r="AM15" s="7"/>
      <c r="AN15" s="8"/>
      <c r="AO15" s="8"/>
      <c r="AP15" s="8"/>
      <c r="AQ15" s="8"/>
      <c r="AR15" s="9"/>
    </row>
    <row r="16" spans="1:51" x14ac:dyDescent="0.3">
      <c r="C16" s="7" cm="1">
        <f t="array" ref="C16">IF(C15=-1, -1, IF(C15&lt;income_max_row, C15+1, IF(C15=income_max_row, income_total_row, IF(C15=income_total_row, "/1", IF(C15="/1", expenses_header_row, IF(C15&lt;expenses_max_row, C15+1, IF(C15= expenses_max_row, expenses_total_row, IF(C15=expenses_total_row, "/2", IF(C15="/2", savings_header_row, IF(C15&lt;savings_max_row, C15+1, IF(C15=savings_max_row, savings_total_row, -1)))))))))))</f>
        <v>13</v>
      </c>
      <c r="D16" s="9">
        <f>IF(is_header, row_id, IF(NOT(is_empty), D15, -1))</f>
        <v>10</v>
      </c>
      <c r="E16" s="7" cm="1">
        <f t="array" ref="E16">1*OR(row_id=income_header_row, row_id=expenses_header_row, row_id=savings_header_row)</f>
        <v>0</v>
      </c>
      <c r="F16" s="8">
        <f>1*NOT(OR(is_header, is_total, is_empty))</f>
        <v>1</v>
      </c>
      <c r="G16" s="8" cm="1">
        <f t="array" ref="G16">1*OR(row_id=income_total_row, row_id=expenses_total_row, row_id=savings_total_row)</f>
        <v>0</v>
      </c>
      <c r="H16" s="9">
        <f>1*OR(row_id="/1", row_id="/2", row_id=-1)</f>
        <v>0</v>
      </c>
      <c r="I16" s="7" t="str" cm="1">
        <f t="array" ref="I16">IFERROR(INDEX('Budget Planning'!$C:$C, header_row_id), "")</f>
        <v>Income</v>
      </c>
      <c r="J16" s="8" t="str" cm="1">
        <f t="array" ref="J16">IFERROR(INDEX('Budget Planning'!$C:$C, row_id), "")</f>
        <v>Dividents</v>
      </c>
      <c r="K16" s="70" cm="1">
        <f t="array" aca="1" ref="K16"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50</v>
      </c>
      <c r="L16" s="71" cm="1">
        <f t="array" aca="1" ref="L16" ca="1">IF(OR(is_header, is_empty), "", INDEX('Budget Planning'!$E:$CI, row_id, MATCH(IF(selected_period="Total Year", selected_year, DATE(selected_year, selected_period, 1)), 'Budget Planning'!$E$10:$CI$10, 0)))</f>
        <v>50</v>
      </c>
      <c r="M16" s="7" cm="1">
        <f t="array" ref="M16">IF(is_cat, IF(header_row_id = income_header_row, MATCH(income_min_row, $C:$C, 0), IF(header_row_id = expenses_header_row, MATCH(expenses_min_row, $C:$C, 0), IF(header_row_id = savings_header_row, MATCH(savings_min_row, $C:$C, 0), ""))), "")</f>
        <v>14</v>
      </c>
      <c r="N16" s="9" cm="1">
        <f t="array" ref="N16">IF(is_cat, IF(header_row_id = income_header_row, MATCH(income_max_row, $C:$C, 0), IF(header_row_id = expenses_header_row, MATCH(expenses_max_row, $C:$C, 0), IF(header_row_id = savings_header_row, MATCH(savings_max_row, $C:$C, 0), ""))), "")</f>
        <v>16</v>
      </c>
      <c r="O16" s="7" t="str">
        <f>IF(is_cat, ADDRESS(sort_min_row, COLUMN(tracked)) &amp; ":" &amp; ADDRESS(sort_max_row, COLUMN(tracked)), "")</f>
        <v>$K$14:$K$16</v>
      </c>
      <c r="P16" s="8">
        <f ca="1">IF(is_cat, RANK(tracked, INDIRECT(tracked_range), 0), "")</f>
        <v>3</v>
      </c>
      <c r="Q16" s="8" t="str">
        <f>IF(is_cat, ADDRESS(sort_min_row, COLUMN(budget)) &amp; ":" &amp; ADDRESS(sort_max_row, COLUMN(budget)), "")</f>
        <v>$L$14:$L$16</v>
      </c>
      <c r="R16" s="9">
        <f ca="1">IF(is_cat, RANK(budget, INDIRECT(budget_range), 0), "")</f>
        <v>3</v>
      </c>
      <c r="S16" s="7">
        <f ca="1">IF(is_cat, _xlfn.NUMBERVALUE(tracked_rank &amp; budget_rank), "")</f>
        <v>33</v>
      </c>
      <c r="T16" s="8" t="str">
        <f>IF(is_cat, ADDRESS(sort_min_row, COLUMN(comb_rank)) &amp; ":" &amp; ADDRESS(sort_max_row, COLUMN(comb_rank)), "")</f>
        <v>$S$14:$S$16</v>
      </c>
      <c r="U16" s="8">
        <f ca="1">IF(is_cat, RANK(comb_rank, INDIRECT(comb_rank_range), 1), "")</f>
        <v>3</v>
      </c>
      <c r="V16" s="8" t="str">
        <f>IF(is_cat, ADDRESS(sort_min_row, COLUMN(comb_rank_norm)) &amp; ":" &amp; ADDRESS(ROW(), COLUMN(comb_rank_norm)), "")</f>
        <v>$U$14:$U$16</v>
      </c>
      <c r="W16" s="9">
        <f ca="1">IF(is_cat, comb_rank_norm + COUNTIF(INDIRECT(comb_rank_norm_run_range), comb_rank_norm)-1, "")</f>
        <v>3</v>
      </c>
      <c r="X16" s="73">
        <f ca="1">IF(is_cat, header_row_id + comb_rank_unique, row_id)</f>
        <v>13</v>
      </c>
      <c r="Y16" s="75" t="str">
        <f ca="1">IF(is_empty, "", INDEX($J:$J, MATCH(row_id, $X:$X, 0)))</f>
        <v>Dividents</v>
      </c>
      <c r="Z16" s="78">
        <f ca="1">IF(is_empty, "", IF(is_header, "Tracked", INDEX($K:$K, MATCH(row_id, $X:$X, 0))))</f>
        <v>50</v>
      </c>
      <c r="AA16" s="78">
        <f ca="1">IF(is_empty, "", IF(is_header, "Budget", INDEX($L:$L, MATCH(row_id, $X:$X, 0))))</f>
        <v>50</v>
      </c>
      <c r="AB16" s="77">
        <f ca="1">IF(is_empty, "", IF(is_header, "% Compl.", IFERROR(out_tracked / out_Budget, "-")))</f>
        <v>1</v>
      </c>
      <c r="AC16" s="78">
        <f ca="1">IF(is_empty, "", IF(is_header, "Remaining", IF(out_Budget - out_tracked &gt; 0, out_Budget - out_tracked, 0)))</f>
        <v>0</v>
      </c>
      <c r="AD16" s="78">
        <f ca="1">IF(is_empty, "", IF(is_header, "Excess", IF(out_Budget - out_tracked &lt; 0, out_tracked - out_Budget, 0)))</f>
        <v>0</v>
      </c>
      <c r="AF16" s="7"/>
      <c r="AG16" s="8"/>
      <c r="AH16" s="8"/>
      <c r="AI16" s="96" t="str">
        <f ca="1">Calculations!E35</f>
        <v>Employment (Net)</v>
      </c>
      <c r="AJ16" s="97">
        <f ca="1">Calculations!F35</f>
        <v>3500</v>
      </c>
      <c r="AK16" s="9"/>
      <c r="AM16" s="7"/>
      <c r="AN16" s="8"/>
      <c r="AO16" s="8"/>
      <c r="AP16" s="8"/>
      <c r="AQ16" s="8"/>
      <c r="AR16" s="9"/>
    </row>
    <row r="17" spans="3:44" x14ac:dyDescent="0.3">
      <c r="C17" s="7" cm="1">
        <f t="array" ref="C17">IF(C16=-1, -1, IF(C16&lt;income_max_row, C16+1, IF(C16=income_max_row, income_total_row, IF(C16=income_total_row, "/1", IF(C16="/1", expenses_header_row, IF(C16&lt;expenses_max_row, C16+1, IF(C16= expenses_max_row, expenses_total_row, IF(C16=expenses_total_row, "/2", IF(C16="/2", savings_header_row, IF(C16&lt;savings_max_row, C16+1, IF(C16=savings_max_row, savings_total_row, -1)))))))))))</f>
        <v>22</v>
      </c>
      <c r="D17" s="9">
        <f>IF(is_header, row_id, IF(NOT(is_empty), D16, -1))</f>
        <v>10</v>
      </c>
      <c r="E17" s="7" cm="1">
        <f t="array" ref="E17">1*OR(row_id=income_header_row, row_id=expenses_header_row, row_id=savings_header_row)</f>
        <v>0</v>
      </c>
      <c r="F17" s="8">
        <f>1*NOT(OR(is_header, is_total, is_empty))</f>
        <v>0</v>
      </c>
      <c r="G17" s="8" cm="1">
        <f t="array" ref="G17">1*OR(row_id=income_total_row, row_id=expenses_total_row, row_id=savings_total_row)</f>
        <v>1</v>
      </c>
      <c r="H17" s="9">
        <f>1*OR(row_id="/1", row_id="/2", row_id=-1)</f>
        <v>0</v>
      </c>
      <c r="I17" s="7" t="str" cm="1">
        <f t="array" ref="I17">IFERROR(INDEX('Budget Planning'!$C:$C, header_row_id), "")</f>
        <v>Income</v>
      </c>
      <c r="J17" s="8" t="str" cm="1">
        <f t="array" ref="J17">IFERROR(INDEX('Budget Planning'!$C:$C, row_id), "")</f>
        <v>Total</v>
      </c>
      <c r="K17" s="70" cm="1">
        <f t="array" aca="1" ref="K17"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4050</v>
      </c>
      <c r="L17" s="71" cm="1">
        <f t="array" aca="1" ref="L17" ca="1">IF(OR(is_header, is_empty), "", INDEX('Budget Planning'!$E:$CI, row_id, MATCH(IF(selected_period="Total Year", selected_year, DATE(selected_year, selected_period, 1)), 'Budget Planning'!$E$10:$CI$10, 0)))</f>
        <v>4550</v>
      </c>
      <c r="M17" s="7" t="str" cm="1">
        <f t="array" ref="M17">IF(is_cat, IF(header_row_id = income_header_row, MATCH(income_min_row, $C:$C, 0), IF(header_row_id = expenses_header_row, MATCH(expenses_min_row, $C:$C, 0), IF(header_row_id = savings_header_row, MATCH(savings_min_row, $C:$C, 0), ""))), "")</f>
        <v/>
      </c>
      <c r="N17" s="9" t="str" cm="1">
        <f t="array" ref="N17">IF(is_cat, IF(header_row_id = income_header_row, MATCH(income_max_row, $C:$C, 0), IF(header_row_id = expenses_header_row, MATCH(expenses_max_row, $C:$C, 0), IF(header_row_id = savings_header_row, MATCH(savings_max_row, $C:$C, 0), ""))), "")</f>
        <v/>
      </c>
      <c r="O17" s="7" t="str">
        <f>IF(is_cat, ADDRESS(sort_min_row, COLUMN(tracked)) &amp; ":" &amp; ADDRESS(sort_max_row, COLUMN(tracked)), "")</f>
        <v/>
      </c>
      <c r="P17" s="8" t="str">
        <f ca="1">IF(is_cat, RANK(tracked, INDIRECT(tracked_range), 0), "")</f>
        <v/>
      </c>
      <c r="Q17" s="8" t="str">
        <f>IF(is_cat, ADDRESS(sort_min_row, COLUMN(budget)) &amp; ":" &amp; ADDRESS(sort_max_row, COLUMN(budget)), "")</f>
        <v/>
      </c>
      <c r="R17" s="9" t="str">
        <f ca="1">IF(is_cat, RANK(budget, INDIRECT(budget_range), 0), "")</f>
        <v/>
      </c>
      <c r="S17" s="7" t="str">
        <f>IF(is_cat, _xlfn.NUMBERVALUE(tracked_rank &amp; budget_rank), "")</f>
        <v/>
      </c>
      <c r="T17" s="8" t="str">
        <f>IF(is_cat, ADDRESS(sort_min_row, COLUMN(comb_rank)) &amp; ":" &amp; ADDRESS(sort_max_row, COLUMN(comb_rank)), "")</f>
        <v/>
      </c>
      <c r="U17" s="8" t="str">
        <f ca="1">IF(is_cat, RANK(comb_rank, INDIRECT(comb_rank_range), 1), "")</f>
        <v/>
      </c>
      <c r="V17" s="8" t="str">
        <f>IF(is_cat, ADDRESS(sort_min_row, COLUMN(comb_rank_norm)) &amp; ":" &amp; ADDRESS(ROW(), COLUMN(comb_rank_norm)), "")</f>
        <v/>
      </c>
      <c r="W17" s="9" t="str">
        <f ca="1">IF(is_cat, comb_rank_norm + COUNTIF(INDIRECT(comb_rank_norm_run_range), comb_rank_norm)-1, "")</f>
        <v/>
      </c>
      <c r="X17" s="73">
        <f>IF(is_cat, header_row_id + comb_rank_unique, row_id)</f>
        <v>22</v>
      </c>
      <c r="Y17" s="75" t="str">
        <f ca="1">IF(is_empty, "", INDEX($J:$J, MATCH(row_id, $X:$X, 0)))</f>
        <v>Total</v>
      </c>
      <c r="Z17" s="78">
        <f ca="1">IF(is_empty, "", IF(is_header, "Tracked", INDEX($K:$K, MATCH(row_id, $X:$X, 0))))</f>
        <v>4050</v>
      </c>
      <c r="AA17" s="78">
        <f ca="1">IF(is_empty, "", IF(is_header, "Budget", INDEX($L:$L, MATCH(row_id, $X:$X, 0))))</f>
        <v>4550</v>
      </c>
      <c r="AB17" s="77">
        <f ca="1">IF(is_empty, "", IF(is_header, "% Compl.", IFERROR(out_tracked / out_Budget, "-")))</f>
        <v>0.89010989010989006</v>
      </c>
      <c r="AC17" s="78">
        <f ca="1">IF(is_empty, "", IF(is_header, "Remaining", IF(out_Budget - out_tracked &gt; 0, out_Budget - out_tracked, 0)))</f>
        <v>500</v>
      </c>
      <c r="AD17" s="78">
        <f ca="1">IF(is_empty, "", IF(is_header, "Excess", IF(out_Budget - out_tracked &lt; 0, out_tracked - out_Budget, 0)))</f>
        <v>0</v>
      </c>
      <c r="AF17" s="7"/>
      <c r="AG17" s="8"/>
      <c r="AH17" s="8"/>
      <c r="AI17" s="96" t="str">
        <f ca="1">Calculations!E36</f>
        <v>Side Hustle (Net)</v>
      </c>
      <c r="AJ17" s="97">
        <f ca="1">Calculations!F36</f>
        <v>500</v>
      </c>
      <c r="AK17" s="9"/>
      <c r="AM17" s="7"/>
      <c r="AN17" s="8"/>
      <c r="AO17" s="8"/>
      <c r="AP17" s="8"/>
      <c r="AQ17" s="8"/>
      <c r="AR17" s="9"/>
    </row>
    <row r="18" spans="3:44" x14ac:dyDescent="0.3">
      <c r="C18" s="7" t="str" cm="1">
        <f t="array" ref="C18">IF(C17=-1, -1, IF(C17&lt;income_max_row, C17+1, IF(C17=income_max_row, income_total_row, IF(C17=income_total_row, "/1", IF(C17="/1", expenses_header_row, IF(C17&lt;expenses_max_row, C17+1, IF(C17= expenses_max_row, expenses_total_row, IF(C17=expenses_total_row, "/2", IF(C17="/2", savings_header_row, IF(C17&lt;savings_max_row, C17+1, IF(C17=savings_max_row, savings_total_row, -1)))))))))))</f>
        <v>/1</v>
      </c>
      <c r="D18" s="9">
        <f>IF(is_header, row_id, IF(NOT(is_empty), D17, -1))</f>
        <v>-1</v>
      </c>
      <c r="E18" s="7" cm="1">
        <f t="array" ref="E18">1*OR(row_id=income_header_row, row_id=expenses_header_row, row_id=savings_header_row)</f>
        <v>0</v>
      </c>
      <c r="F18" s="8">
        <f>1*NOT(OR(is_header, is_total, is_empty))</f>
        <v>0</v>
      </c>
      <c r="G18" s="8" cm="1">
        <f t="array" ref="G18">1*OR(row_id=income_total_row, row_id=expenses_total_row, row_id=savings_total_row)</f>
        <v>0</v>
      </c>
      <c r="H18" s="9">
        <f>1*OR(row_id="/1", row_id="/2", row_id=-1)</f>
        <v>1</v>
      </c>
      <c r="I18" s="7" t="str" cm="1">
        <f t="array" ref="I18">IFERROR(INDEX('Budget Planning'!$C:$C, header_row_id), "")</f>
        <v/>
      </c>
      <c r="J18" s="8" t="str" cm="1">
        <f t="array" ref="J18">IFERROR(INDEX('Budget Planning'!$C:$C, row_id), "")</f>
        <v/>
      </c>
      <c r="K18" s="70" t="str" cm="1">
        <f t="array" ref="K18">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18" s="71" t="str" cm="1">
        <f t="array" ref="L18">IF(OR(is_header, is_empty), "", INDEX('Budget Planning'!$E:$CI, row_id, MATCH(IF(selected_period="Total Year", selected_year, DATE(selected_year, selected_period, 1)), 'Budget Planning'!$E$10:$CI$10, 0)))</f>
        <v/>
      </c>
      <c r="M18" s="7" t="str" cm="1">
        <f t="array" ref="M18">IF(is_cat, IF(header_row_id = income_header_row, MATCH(income_min_row, $C:$C, 0), IF(header_row_id = expenses_header_row, MATCH(expenses_min_row, $C:$C, 0), IF(header_row_id = savings_header_row, MATCH(savings_min_row, $C:$C, 0), ""))), "")</f>
        <v/>
      </c>
      <c r="N18" s="9" t="str" cm="1">
        <f t="array" ref="N18">IF(is_cat, IF(header_row_id = income_header_row, MATCH(income_max_row, $C:$C, 0), IF(header_row_id = expenses_header_row, MATCH(expenses_max_row, $C:$C, 0), IF(header_row_id = savings_header_row, MATCH(savings_max_row, $C:$C, 0), ""))), "")</f>
        <v/>
      </c>
      <c r="O18" s="7" t="str">
        <f>IF(is_cat, ADDRESS(sort_min_row, COLUMN(tracked)) &amp; ":" &amp; ADDRESS(sort_max_row, COLUMN(tracked)), "")</f>
        <v/>
      </c>
      <c r="P18" s="8" t="str">
        <f ca="1">IF(is_cat, RANK(tracked, INDIRECT(tracked_range), 0), "")</f>
        <v/>
      </c>
      <c r="Q18" s="8" t="str">
        <f>IF(is_cat, ADDRESS(sort_min_row, COLUMN(budget)) &amp; ":" &amp; ADDRESS(sort_max_row, COLUMN(budget)), "")</f>
        <v/>
      </c>
      <c r="R18" s="9" t="str">
        <f ca="1">IF(is_cat, RANK(budget, INDIRECT(budget_range), 0), "")</f>
        <v/>
      </c>
      <c r="S18" s="7" t="str">
        <f>IF(is_cat, _xlfn.NUMBERVALUE(tracked_rank &amp; budget_rank), "")</f>
        <v/>
      </c>
      <c r="T18" s="8" t="str">
        <f>IF(is_cat, ADDRESS(sort_min_row, COLUMN(comb_rank)) &amp; ":" &amp; ADDRESS(sort_max_row, COLUMN(comb_rank)), "")</f>
        <v/>
      </c>
      <c r="U18" s="8" t="str">
        <f ca="1">IF(is_cat, RANK(comb_rank, INDIRECT(comb_rank_range), 1), "")</f>
        <v/>
      </c>
      <c r="V18" s="8" t="str">
        <f>IF(is_cat, ADDRESS(sort_min_row, COLUMN(comb_rank_norm)) &amp; ":" &amp; ADDRESS(ROW(), COLUMN(comb_rank_norm)), "")</f>
        <v/>
      </c>
      <c r="W18" s="9" t="str">
        <f ca="1">IF(is_cat, comb_rank_norm + COUNTIF(INDIRECT(comb_rank_norm_run_range), comb_rank_norm)-1, "")</f>
        <v/>
      </c>
      <c r="X18" s="73" t="str">
        <f>IF(is_cat, header_row_id + comb_rank_unique, row_id)</f>
        <v>/1</v>
      </c>
      <c r="Y18" s="75" t="str">
        <f>IF(is_empty, "", INDEX($J:$J, MATCH(row_id, $X:$X, 0)))</f>
        <v/>
      </c>
      <c r="Z18" s="78" t="str">
        <f>IF(is_empty, "", IF(is_header, "Tracked", INDEX($K:$K, MATCH(row_id, $X:$X, 0))))</f>
        <v/>
      </c>
      <c r="AA18" s="78" t="str">
        <f>IF(is_empty, "", IF(is_header, "Budget", INDEX($L:$L, MATCH(row_id, $X:$X, 0))))</f>
        <v/>
      </c>
      <c r="AB18" s="77" t="str">
        <f>IF(is_empty, "", IF(is_header, "% Compl.", IFERROR(out_tracked / out_Budget, "-")))</f>
        <v/>
      </c>
      <c r="AC18" s="78" t="str">
        <f>IF(is_empty, "", IF(is_header, "Remaining", IF(out_Budget - out_tracked &gt; 0, out_Budget - out_tracked, 0)))</f>
        <v/>
      </c>
      <c r="AD18" s="78" t="str">
        <f>IF(is_empty, "", IF(is_header, "Excess", IF(out_Budget - out_tracked &lt; 0, out_tracked - out_Budget, 0)))</f>
        <v/>
      </c>
      <c r="AF18" s="7"/>
      <c r="AG18" s="8"/>
      <c r="AH18" s="8"/>
      <c r="AI18" s="96" t="str">
        <f ca="1">Calculations!E37</f>
        <v>Dividents</v>
      </c>
      <c r="AJ18" s="97">
        <f ca="1">Calculations!F37</f>
        <v>50</v>
      </c>
      <c r="AK18" s="9"/>
      <c r="AM18" s="7"/>
      <c r="AN18" s="8"/>
      <c r="AO18" s="8"/>
      <c r="AP18" s="8"/>
      <c r="AQ18" s="8"/>
      <c r="AR18" s="9"/>
    </row>
    <row r="19" spans="3:44" x14ac:dyDescent="0.3">
      <c r="C19" s="7" cm="1">
        <f t="array" ref="C19">IF(C18=-1, -1, IF(C18&lt;income_max_row, C18+1, IF(C18=income_max_row, income_total_row, IF(C18=income_total_row, "/1", IF(C18="/1", expenses_header_row, IF(C18&lt;expenses_max_row, C18+1, IF(C18= expenses_max_row, expenses_total_row, IF(C18=expenses_total_row, "/2", IF(C18="/2", savings_header_row, IF(C18&lt;savings_max_row, C18+1, IF(C18=savings_max_row, savings_total_row, -1)))))))))))</f>
        <v>24</v>
      </c>
      <c r="D19" s="9">
        <f>IF(is_header, row_id, IF(NOT(is_empty), D18, -1))</f>
        <v>24</v>
      </c>
      <c r="E19" s="7" cm="1">
        <f t="array" ref="E19">1*OR(row_id=income_header_row, row_id=expenses_header_row, row_id=savings_header_row)</f>
        <v>1</v>
      </c>
      <c r="F19" s="8">
        <f>1*NOT(OR(is_header, is_total, is_empty))</f>
        <v>0</v>
      </c>
      <c r="G19" s="8" cm="1">
        <f t="array" ref="G19">1*OR(row_id=income_total_row, row_id=expenses_total_row, row_id=savings_total_row)</f>
        <v>0</v>
      </c>
      <c r="H19" s="9">
        <f>1*OR(row_id="/1", row_id="/2", row_id=-1)</f>
        <v>0</v>
      </c>
      <c r="I19" s="7" t="str" cm="1">
        <f t="array" ref="I19">IFERROR(INDEX('Budget Planning'!$C:$C, header_row_id), "")</f>
        <v>Expenses</v>
      </c>
      <c r="J19" s="8" t="str" cm="1">
        <f t="array" ref="J19">IFERROR(INDEX('Budget Planning'!$C:$C, row_id), "")</f>
        <v>Expenses</v>
      </c>
      <c r="K19" s="70" t="str" cm="1">
        <f t="array" ref="K19">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19" s="71" t="str" cm="1">
        <f t="array" ref="L19">IF(OR(is_header, is_empty), "", INDEX('Budget Planning'!$E:$CI, row_id, MATCH(IF(selected_period="Total Year", selected_year, DATE(selected_year, selected_period, 1)), 'Budget Planning'!$E$10:$CI$10, 0)))</f>
        <v/>
      </c>
      <c r="M19" s="7" t="str" cm="1">
        <f t="array" ref="M19">IF(is_cat, IF(header_row_id = income_header_row, MATCH(income_min_row, $C:$C, 0), IF(header_row_id = expenses_header_row, MATCH(expenses_min_row, $C:$C, 0), IF(header_row_id = savings_header_row, MATCH(savings_min_row, $C:$C, 0), ""))), "")</f>
        <v/>
      </c>
      <c r="N19" s="9" t="str" cm="1">
        <f t="array" ref="N19">IF(is_cat, IF(header_row_id = income_header_row, MATCH(income_max_row, $C:$C, 0), IF(header_row_id = expenses_header_row, MATCH(expenses_max_row, $C:$C, 0), IF(header_row_id = savings_header_row, MATCH(savings_max_row, $C:$C, 0), ""))), "")</f>
        <v/>
      </c>
      <c r="O19" s="7" t="str">
        <f>IF(is_cat, ADDRESS(sort_min_row, COLUMN(tracked)) &amp; ":" &amp; ADDRESS(sort_max_row, COLUMN(tracked)), "")</f>
        <v/>
      </c>
      <c r="P19" s="8" t="str">
        <f ca="1">IF(is_cat, RANK(tracked, INDIRECT(tracked_range), 0), "")</f>
        <v/>
      </c>
      <c r="Q19" s="8" t="str">
        <f>IF(is_cat, ADDRESS(sort_min_row, COLUMN(budget)) &amp; ":" &amp; ADDRESS(sort_max_row, COLUMN(budget)), "")</f>
        <v/>
      </c>
      <c r="R19" s="9" t="str">
        <f ca="1">IF(is_cat, RANK(budget, INDIRECT(budget_range), 0), "")</f>
        <v/>
      </c>
      <c r="S19" s="7" t="str">
        <f>IF(is_cat, _xlfn.NUMBERVALUE(tracked_rank &amp; budget_rank), "")</f>
        <v/>
      </c>
      <c r="T19" s="8" t="str">
        <f>IF(is_cat, ADDRESS(sort_min_row, COLUMN(comb_rank)) &amp; ":" &amp; ADDRESS(sort_max_row, COLUMN(comb_rank)), "")</f>
        <v/>
      </c>
      <c r="U19" s="8" t="str">
        <f ca="1">IF(is_cat, RANK(comb_rank, INDIRECT(comb_rank_range), 1), "")</f>
        <v/>
      </c>
      <c r="V19" s="8" t="str">
        <f>IF(is_cat, ADDRESS(sort_min_row, COLUMN(comb_rank_norm)) &amp; ":" &amp; ADDRESS(ROW(), COLUMN(comb_rank_norm)), "")</f>
        <v/>
      </c>
      <c r="W19" s="9" t="str">
        <f ca="1">IF(is_cat, comb_rank_norm + COUNTIF(INDIRECT(comb_rank_norm_run_range), comb_rank_norm)-1, "")</f>
        <v/>
      </c>
      <c r="X19" s="73">
        <f>IF(is_cat, header_row_id + comb_rank_unique, row_id)</f>
        <v>24</v>
      </c>
      <c r="Y19" s="75" t="str">
        <f ca="1">IF(is_empty, "", INDEX($J:$J, MATCH(row_id, $X:$X, 0)))</f>
        <v>Expenses</v>
      </c>
      <c r="Z19" s="78" t="str">
        <f>IF(is_empty, "", IF(is_header, "Tracked", INDEX($K:$K, MATCH(row_id, $X:$X, 0))))</f>
        <v>Tracked</v>
      </c>
      <c r="AA19" s="78" t="str">
        <f>IF(is_empty, "", IF(is_header, "Budget", INDEX($L:$L, MATCH(row_id, $X:$X, 0))))</f>
        <v>Budget</v>
      </c>
      <c r="AB19" s="77" t="str">
        <f>IF(is_empty, "", IF(is_header, "% Compl.", IFERROR(out_tracked / out_Budget, "-")))</f>
        <v>% Compl.</v>
      </c>
      <c r="AC19" s="78" t="str">
        <f>IF(is_empty, "", IF(is_header, "Remaining", IF(out_Budget - out_tracked &gt; 0, out_Budget - out_tracked, 0)))</f>
        <v>Remaining</v>
      </c>
      <c r="AD19" s="78" t="str">
        <f>IF(is_empty, "", IF(is_header, "Excess", IF(out_Budget - out_tracked &lt; 0, out_tracked - out_Budget, 0)))</f>
        <v>Excess</v>
      </c>
      <c r="AF19" s="7"/>
      <c r="AG19" s="8"/>
      <c r="AH19" s="8"/>
      <c r="AI19" s="96" t="str">
        <f>Calculations!E38</f>
        <v/>
      </c>
      <c r="AJ19" s="97" t="str">
        <f>Calculations!F38</f>
        <v/>
      </c>
      <c r="AK19" s="9"/>
      <c r="AM19" s="7"/>
      <c r="AN19" s="8"/>
      <c r="AO19" s="8"/>
      <c r="AP19" s="8"/>
      <c r="AQ19" s="8"/>
      <c r="AR19" s="9"/>
    </row>
    <row r="20" spans="3:44" x14ac:dyDescent="0.3">
      <c r="C20" s="7" cm="1">
        <f t="array" ref="C20">IF(C19=-1, -1, IF(C19&lt;income_max_row, C19+1, IF(C19=income_max_row, income_total_row, IF(C19=income_total_row, "/1", IF(C19="/1", expenses_header_row, IF(C19&lt;expenses_max_row, C19+1, IF(C19= expenses_max_row, expenses_total_row, IF(C19=expenses_total_row, "/2", IF(C19="/2", savings_header_row, IF(C19&lt;savings_max_row, C19+1, IF(C19=savings_max_row, savings_total_row, -1)))))))))))</f>
        <v>25</v>
      </c>
      <c r="D20" s="9">
        <f>IF(is_header, row_id, IF(NOT(is_empty), D19, -1))</f>
        <v>24</v>
      </c>
      <c r="E20" s="7" cm="1">
        <f t="array" ref="E20">1*OR(row_id=income_header_row, row_id=expenses_header_row, row_id=savings_header_row)</f>
        <v>0</v>
      </c>
      <c r="F20" s="8">
        <f>1*NOT(OR(is_header, is_total, is_empty))</f>
        <v>1</v>
      </c>
      <c r="G20" s="8" cm="1">
        <f t="array" ref="G20">1*OR(row_id=income_total_row, row_id=expenses_total_row, row_id=savings_total_row)</f>
        <v>0</v>
      </c>
      <c r="H20" s="9">
        <f>1*OR(row_id="/1", row_id="/2", row_id=-1)</f>
        <v>0</v>
      </c>
      <c r="I20" s="7" t="str" cm="1">
        <f t="array" ref="I20">IFERROR(INDEX('Budget Planning'!$C:$C, header_row_id), "")</f>
        <v>Expenses</v>
      </c>
      <c r="J20" s="8" t="str" cm="1">
        <f t="array" ref="J20">IFERROR(INDEX('Budget Planning'!$C:$C, row_id), "")</f>
        <v>Housing</v>
      </c>
      <c r="K20" s="70" cm="1">
        <f t="array" aca="1" ref="K20"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1200</v>
      </c>
      <c r="L20" s="71" cm="1">
        <f t="array" aca="1" ref="L20" ca="1">IF(OR(is_header, is_empty), "", INDEX('Budget Planning'!$E:$CI, row_id, MATCH(IF(selected_period="Total Year", selected_year, DATE(selected_year, selected_period, 1)), 'Budget Planning'!$E$10:$CI$10, 0)))</f>
        <v>1200</v>
      </c>
      <c r="M20" s="7" cm="1">
        <f t="array" ref="M20">IF(is_cat, IF(header_row_id = income_header_row, MATCH(income_min_row, $C:$C, 0), IF(header_row_id = expenses_header_row, MATCH(expenses_min_row, $C:$C, 0), IF(header_row_id = savings_header_row, MATCH(savings_min_row, $C:$C, 0), ""))), "")</f>
        <v>20</v>
      </c>
      <c r="N20" s="9" cm="1">
        <f t="array" ref="N20">IF(is_cat, IF(header_row_id = income_header_row, MATCH(income_max_row, $C:$C, 0), IF(header_row_id = expenses_header_row, MATCH(expenses_max_row, $C:$C, 0), IF(header_row_id = savings_header_row, MATCH(savings_max_row, $C:$C, 0), ""))), "")</f>
        <v>28</v>
      </c>
      <c r="O20" s="7" t="str">
        <f>IF(is_cat, ADDRESS(sort_min_row, COLUMN(tracked)) &amp; ":" &amp; ADDRESS(sort_max_row, COLUMN(tracked)), "")</f>
        <v>$K$20:$K$28</v>
      </c>
      <c r="P20" s="8">
        <f ca="1">IF(is_cat, RANK(tracked, INDIRECT(tracked_range), 0), "")</f>
        <v>1</v>
      </c>
      <c r="Q20" s="8" t="str">
        <f>IF(is_cat, ADDRESS(sort_min_row, COLUMN(budget)) &amp; ":" &amp; ADDRESS(sort_max_row, COLUMN(budget)), "")</f>
        <v>$L$20:$L$28</v>
      </c>
      <c r="R20" s="9">
        <f ca="1">IF(is_cat, RANK(budget, INDIRECT(budget_range), 0), "")</f>
        <v>1</v>
      </c>
      <c r="S20" s="7">
        <f ca="1">IF(is_cat, _xlfn.NUMBERVALUE(tracked_rank &amp; budget_rank), "")</f>
        <v>11</v>
      </c>
      <c r="T20" s="8" t="str">
        <f>IF(is_cat, ADDRESS(sort_min_row, COLUMN(comb_rank)) &amp; ":" &amp; ADDRESS(sort_max_row, COLUMN(comb_rank)), "")</f>
        <v>$S$20:$S$28</v>
      </c>
      <c r="U20" s="8">
        <f ca="1">IF(is_cat, RANK(comb_rank, INDIRECT(comb_rank_range), 1), "")</f>
        <v>1</v>
      </c>
      <c r="V20" s="8" t="str">
        <f>IF(is_cat, ADDRESS(sort_min_row, COLUMN(comb_rank_norm)) &amp; ":" &amp; ADDRESS(ROW(), COLUMN(comb_rank_norm)), "")</f>
        <v>$U$20:$U$20</v>
      </c>
      <c r="W20" s="9">
        <f ca="1">IF(is_cat, comb_rank_norm + COUNTIF(INDIRECT(comb_rank_norm_run_range), comb_rank_norm)-1, "")</f>
        <v>1</v>
      </c>
      <c r="X20" s="73">
        <f ca="1">IF(is_cat, header_row_id + comb_rank_unique, row_id)</f>
        <v>25</v>
      </c>
      <c r="Y20" s="75" t="str">
        <f ca="1">IF(is_empty, "", INDEX($J:$J, MATCH(row_id, $X:$X, 0)))</f>
        <v>Housing</v>
      </c>
      <c r="Z20" s="78">
        <f ca="1">IF(is_empty, "", IF(is_header, "Tracked", INDEX($K:$K, MATCH(row_id, $X:$X, 0))))</f>
        <v>1200</v>
      </c>
      <c r="AA20" s="78">
        <f ca="1">IF(is_empty, "", IF(is_header, "Budget", INDEX($L:$L, MATCH(row_id, $X:$X, 0))))</f>
        <v>1200</v>
      </c>
      <c r="AB20" s="77">
        <f ca="1">IF(is_empty, "", IF(is_header, "% Compl.", IFERROR(out_tracked / out_Budget, "-")))</f>
        <v>1</v>
      </c>
      <c r="AC20" s="78">
        <f ca="1">IF(is_empty, "", IF(is_header, "Remaining", IF(out_Budget - out_tracked &gt; 0, out_Budget - out_tracked, 0)))</f>
        <v>0</v>
      </c>
      <c r="AD20" s="78">
        <f ca="1">IF(is_empty, "", IF(is_header, "Excess", IF(out_Budget - out_tracked &lt; 0, out_tracked - out_Budget, 0)))</f>
        <v>0</v>
      </c>
      <c r="AF20" s="7"/>
      <c r="AG20" s="8"/>
      <c r="AH20" s="8"/>
      <c r="AI20" s="96" t="str">
        <f>Calculations!E39</f>
        <v/>
      </c>
      <c r="AJ20" s="97" t="str">
        <f>Calculations!F39</f>
        <v/>
      </c>
      <c r="AK20" s="9"/>
      <c r="AM20" s="7"/>
      <c r="AN20" s="8"/>
      <c r="AO20" s="8"/>
      <c r="AP20" s="8"/>
      <c r="AQ20" s="8"/>
      <c r="AR20" s="9"/>
    </row>
    <row r="21" spans="3:44" x14ac:dyDescent="0.3">
      <c r="C21" s="7" cm="1">
        <f t="array" ref="C21">IF(C20=-1, -1, IF(C20&lt;income_max_row, C20+1, IF(C20=income_max_row, income_total_row, IF(C20=income_total_row, "/1", IF(C20="/1", expenses_header_row, IF(C20&lt;expenses_max_row, C20+1, IF(C20= expenses_max_row, expenses_total_row, IF(C20=expenses_total_row, "/2", IF(C20="/2", savings_header_row, IF(C20&lt;savings_max_row, C20+1, IF(C20=savings_max_row, savings_total_row, -1)))))))))))</f>
        <v>26</v>
      </c>
      <c r="D21" s="9">
        <f>IF(is_header, row_id, IF(NOT(is_empty), D20, -1))</f>
        <v>24</v>
      </c>
      <c r="E21" s="7" cm="1">
        <f t="array" ref="E21">1*OR(row_id=income_header_row, row_id=expenses_header_row, row_id=savings_header_row)</f>
        <v>0</v>
      </c>
      <c r="F21" s="8">
        <f>1*NOT(OR(is_header, is_total, is_empty))</f>
        <v>1</v>
      </c>
      <c r="G21" s="8" cm="1">
        <f t="array" ref="G21">1*OR(row_id=income_total_row, row_id=expenses_total_row, row_id=savings_total_row)</f>
        <v>0</v>
      </c>
      <c r="H21" s="9">
        <f>1*OR(row_id="/1", row_id="/2", row_id=-1)</f>
        <v>0</v>
      </c>
      <c r="I21" s="7" t="str" cm="1">
        <f t="array" ref="I21">IFERROR(INDEX('Budget Planning'!$C:$C, header_row_id), "")</f>
        <v>Expenses</v>
      </c>
      <c r="J21" s="8" t="str" cm="1">
        <f t="array" ref="J21">IFERROR(INDEX('Budget Planning'!$C:$C, row_id), "")</f>
        <v>Utlities</v>
      </c>
      <c r="K21" s="70" cm="1">
        <f t="array" aca="1" ref="K21"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300</v>
      </c>
      <c r="L21" s="71" cm="1">
        <f t="array" aca="1" ref="L21" ca="1">IF(OR(is_header, is_empty), "", INDEX('Budget Planning'!$E:$CI, row_id, MATCH(IF(selected_period="Total Year", selected_year, DATE(selected_year, selected_period, 1)), 'Budget Planning'!$E$10:$CI$10, 0)))</f>
        <v>300</v>
      </c>
      <c r="M21" s="7" cm="1">
        <f t="array" ref="M21">IF(is_cat, IF(header_row_id = income_header_row, MATCH(income_min_row, $C:$C, 0), IF(header_row_id = expenses_header_row, MATCH(expenses_min_row, $C:$C, 0), IF(header_row_id = savings_header_row, MATCH(savings_min_row, $C:$C, 0), ""))), "")</f>
        <v>20</v>
      </c>
      <c r="N21" s="9" cm="1">
        <f t="array" ref="N21">IF(is_cat, IF(header_row_id = income_header_row, MATCH(income_max_row, $C:$C, 0), IF(header_row_id = expenses_header_row, MATCH(expenses_max_row, $C:$C, 0), IF(header_row_id = savings_header_row, MATCH(savings_max_row, $C:$C, 0), ""))), "")</f>
        <v>28</v>
      </c>
      <c r="O21" s="7" t="str">
        <f>IF(is_cat, ADDRESS(sort_min_row, COLUMN(tracked)) &amp; ":" &amp; ADDRESS(sort_max_row, COLUMN(tracked)), "")</f>
        <v>$K$20:$K$28</v>
      </c>
      <c r="P21" s="8">
        <f ca="1">IF(is_cat, RANK(tracked, INDIRECT(tracked_range), 0), "")</f>
        <v>4</v>
      </c>
      <c r="Q21" s="8" t="str">
        <f>IF(is_cat, ADDRESS(sort_min_row, COLUMN(budget)) &amp; ":" &amp; ADDRESS(sort_max_row, COLUMN(budget)), "")</f>
        <v>$L$20:$L$28</v>
      </c>
      <c r="R21" s="9">
        <f ca="1">IF(is_cat, RANK(budget, INDIRECT(budget_range), 0), "")</f>
        <v>3</v>
      </c>
      <c r="S21" s="7">
        <f ca="1">IF(is_cat, _xlfn.NUMBERVALUE(tracked_rank &amp; budget_rank), "")</f>
        <v>43</v>
      </c>
      <c r="T21" s="8" t="str">
        <f>IF(is_cat, ADDRESS(sort_min_row, COLUMN(comb_rank)) &amp; ":" &amp; ADDRESS(sort_max_row, COLUMN(comb_rank)), "")</f>
        <v>$S$20:$S$28</v>
      </c>
      <c r="U21" s="8">
        <f ca="1">IF(is_cat, RANK(comb_rank, INDIRECT(comb_rank_range), 1), "")</f>
        <v>4</v>
      </c>
      <c r="V21" s="8" t="str">
        <f>IF(is_cat, ADDRESS(sort_min_row, COLUMN(comb_rank_norm)) &amp; ":" &amp; ADDRESS(ROW(), COLUMN(comb_rank_norm)), "")</f>
        <v>$U$20:$U$21</v>
      </c>
      <c r="W21" s="9">
        <f ca="1">IF(is_cat, comb_rank_norm + COUNTIF(INDIRECT(comb_rank_norm_run_range), comb_rank_norm)-1, "")</f>
        <v>4</v>
      </c>
      <c r="X21" s="73">
        <f ca="1">IF(is_cat, header_row_id + comb_rank_unique, row_id)</f>
        <v>28</v>
      </c>
      <c r="Y21" s="75" t="str">
        <f ca="1">IF(is_empty, "", INDEX($J:$J, MATCH(row_id, $X:$X, 0)))</f>
        <v>Groceries</v>
      </c>
      <c r="Z21" s="78">
        <f ca="1">IF(is_empty, "", IF(is_header, "Tracked", INDEX($K:$K, MATCH(row_id, $X:$X, 0))))</f>
        <v>400</v>
      </c>
      <c r="AA21" s="78">
        <f ca="1">IF(is_empty, "", IF(is_header, "Budget", INDEX($L:$L, MATCH(row_id, $X:$X, 0))))</f>
        <v>350</v>
      </c>
      <c r="AB21" s="77">
        <f ca="1">IF(is_empty, "", IF(is_header, "% Compl.", IFERROR(out_tracked / out_Budget, "-")))</f>
        <v>1.1428571428571428</v>
      </c>
      <c r="AC21" s="78">
        <f ca="1">IF(is_empty, "", IF(is_header, "Remaining", IF(out_Budget - out_tracked &gt; 0, out_Budget - out_tracked, 0)))</f>
        <v>0</v>
      </c>
      <c r="AD21" s="78">
        <f ca="1">IF(is_empty, "", IF(is_header, "Excess", IF(out_Budget - out_tracked &lt; 0, out_tracked - out_Budget, 0)))</f>
        <v>50</v>
      </c>
      <c r="AF21" s="7"/>
      <c r="AG21" s="8"/>
      <c r="AH21" s="8"/>
      <c r="AI21" s="96" t="str">
        <f ca="1">Calculations!E40</f>
        <v/>
      </c>
      <c r="AJ21" s="97" t="str">
        <f ca="1">Calculations!F40</f>
        <v/>
      </c>
      <c r="AK21" s="9"/>
      <c r="AM21" s="7"/>
      <c r="AN21" s="8"/>
      <c r="AO21" s="8"/>
      <c r="AP21" s="8"/>
      <c r="AQ21" s="8"/>
      <c r="AR21" s="9"/>
    </row>
    <row r="22" spans="3:44" x14ac:dyDescent="0.3">
      <c r="C22" s="7" cm="1">
        <f t="array" ref="C22">IF(C21=-1, -1, IF(C21&lt;income_max_row, C21+1, IF(C21=income_max_row, income_total_row, IF(C21=income_total_row, "/1", IF(C21="/1", expenses_header_row, IF(C21&lt;expenses_max_row, C21+1, IF(C21= expenses_max_row, expenses_total_row, IF(C21=expenses_total_row, "/2", IF(C21="/2", savings_header_row, IF(C21&lt;savings_max_row, C21+1, IF(C21=savings_max_row, savings_total_row, -1)))))))))))</f>
        <v>27</v>
      </c>
      <c r="D22" s="9">
        <f>IF(is_header, row_id, IF(NOT(is_empty), D21, -1))</f>
        <v>24</v>
      </c>
      <c r="E22" s="7" cm="1">
        <f t="array" ref="E22">1*OR(row_id=income_header_row, row_id=expenses_header_row, row_id=savings_header_row)</f>
        <v>0</v>
      </c>
      <c r="F22" s="8">
        <f>1*NOT(OR(is_header, is_total, is_empty))</f>
        <v>1</v>
      </c>
      <c r="G22" s="8" cm="1">
        <f t="array" ref="G22">1*OR(row_id=income_total_row, row_id=expenses_total_row, row_id=savings_total_row)</f>
        <v>0</v>
      </c>
      <c r="H22" s="9">
        <f>1*OR(row_id="/1", row_id="/2", row_id=-1)</f>
        <v>0</v>
      </c>
      <c r="I22" s="7" t="str" cm="1">
        <f t="array" ref="I22">IFERROR(INDEX('Budget Planning'!$C:$C, header_row_id), "")</f>
        <v>Expenses</v>
      </c>
      <c r="J22" s="8" t="str" cm="1">
        <f t="array" ref="J22">IFERROR(INDEX('Budget Planning'!$C:$C, row_id), "")</f>
        <v>Groceries</v>
      </c>
      <c r="K22" s="70" cm="1">
        <f t="array" aca="1" ref="K22"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400</v>
      </c>
      <c r="L22" s="71" cm="1">
        <f t="array" aca="1" ref="L22" ca="1">IF(OR(is_header, is_empty), "", INDEX('Budget Planning'!$E:$CI, row_id, MATCH(IF(selected_period="Total Year", selected_year, DATE(selected_year, selected_period, 1)), 'Budget Planning'!$E$10:$CI$10, 0)))</f>
        <v>350</v>
      </c>
      <c r="M22" s="7" cm="1">
        <f t="array" ref="M22">IF(is_cat, IF(header_row_id = income_header_row, MATCH(income_min_row, $C:$C, 0), IF(header_row_id = expenses_header_row, MATCH(expenses_min_row, $C:$C, 0), IF(header_row_id = savings_header_row, MATCH(savings_min_row, $C:$C, 0), ""))), "")</f>
        <v>20</v>
      </c>
      <c r="N22" s="9" cm="1">
        <f t="array" ref="N22">IF(is_cat, IF(header_row_id = income_header_row, MATCH(income_max_row, $C:$C, 0), IF(header_row_id = expenses_header_row, MATCH(expenses_max_row, $C:$C, 0), IF(header_row_id = savings_header_row, MATCH(savings_max_row, $C:$C, 0), ""))), "")</f>
        <v>28</v>
      </c>
      <c r="O22" s="7" t="str">
        <f>IF(is_cat, ADDRESS(sort_min_row, COLUMN(tracked)) &amp; ":" &amp; ADDRESS(sort_max_row, COLUMN(tracked)), "")</f>
        <v>$K$20:$K$28</v>
      </c>
      <c r="P22" s="8">
        <f ca="1">IF(is_cat, RANK(tracked, INDIRECT(tracked_range), 0), "")</f>
        <v>2</v>
      </c>
      <c r="Q22" s="8" t="str">
        <f>IF(is_cat, ADDRESS(sort_min_row, COLUMN(budget)) &amp; ":" &amp; ADDRESS(sort_max_row, COLUMN(budget)), "")</f>
        <v>$L$20:$L$28</v>
      </c>
      <c r="R22" s="9">
        <f ca="1">IF(is_cat, RANK(budget, INDIRECT(budget_range), 0), "")</f>
        <v>2</v>
      </c>
      <c r="S22" s="7">
        <f ca="1">IF(is_cat, _xlfn.NUMBERVALUE(tracked_rank &amp; budget_rank), "")</f>
        <v>22</v>
      </c>
      <c r="T22" s="8" t="str">
        <f>IF(is_cat, ADDRESS(sort_min_row, COLUMN(comb_rank)) &amp; ":" &amp; ADDRESS(sort_max_row, COLUMN(comb_rank)), "")</f>
        <v>$S$20:$S$28</v>
      </c>
      <c r="U22" s="8">
        <f ca="1">IF(is_cat, RANK(comb_rank, INDIRECT(comb_rank_range), 1), "")</f>
        <v>2</v>
      </c>
      <c r="V22" s="8" t="str">
        <f>IF(is_cat, ADDRESS(sort_min_row, COLUMN(comb_rank_norm)) &amp; ":" &amp; ADDRESS(ROW(), COLUMN(comb_rank_norm)), "")</f>
        <v>$U$20:$U$22</v>
      </c>
      <c r="W22" s="9">
        <f ca="1">IF(is_cat, comb_rank_norm + COUNTIF(INDIRECT(comb_rank_norm_run_range), comb_rank_norm)-1, "")</f>
        <v>2</v>
      </c>
      <c r="X22" s="73">
        <f ca="1">IF(is_cat, header_row_id + comb_rank_unique, row_id)</f>
        <v>26</v>
      </c>
      <c r="Y22" s="75" t="str">
        <f ca="1">IF(is_empty, "", INDEX($J:$J, MATCH(row_id, $X:$X, 0)))</f>
        <v>Transportation</v>
      </c>
      <c r="Z22" s="78">
        <f ca="1">IF(is_empty, "", IF(is_header, "Tracked", INDEX($K:$K, MATCH(row_id, $X:$X, 0))))</f>
        <v>380</v>
      </c>
      <c r="AA22" s="78">
        <f ca="1">IF(is_empty, "", IF(is_header, "Budget", INDEX($L:$L, MATCH(row_id, $X:$X, 0))))</f>
        <v>300</v>
      </c>
      <c r="AB22" s="77">
        <f ca="1">IF(is_empty, "", IF(is_header, "% Compl.", IFERROR(out_tracked / out_Budget, "-")))</f>
        <v>1.2666666666666666</v>
      </c>
      <c r="AC22" s="78">
        <f ca="1">IF(is_empty, "", IF(is_header, "Remaining", IF(out_Budget - out_tracked &gt; 0, out_Budget - out_tracked, 0)))</f>
        <v>0</v>
      </c>
      <c r="AD22" s="78">
        <f ca="1">IF(is_empty, "", IF(is_header, "Excess", IF(out_Budget - out_tracked &lt; 0, out_tracked - out_Budget, 0)))</f>
        <v>80</v>
      </c>
      <c r="AF22" s="7"/>
      <c r="AG22" s="8"/>
      <c r="AH22" s="8"/>
      <c r="AI22" s="98" t="str">
        <f>Calculations!E41</f>
        <v>Total</v>
      </c>
      <c r="AJ22" s="99">
        <f ca="1">Calculations!F41</f>
        <v>4050</v>
      </c>
      <c r="AK22" s="9"/>
      <c r="AM22" s="7"/>
      <c r="AN22" s="8"/>
      <c r="AO22" s="8"/>
      <c r="AP22" s="8"/>
      <c r="AQ22" s="8"/>
      <c r="AR22" s="9"/>
    </row>
    <row r="23" spans="3:44" x14ac:dyDescent="0.3">
      <c r="C23" s="7" cm="1">
        <f t="array" ref="C23">IF(C22=-1, -1, IF(C22&lt;income_max_row, C22+1, IF(C22=income_max_row, income_total_row, IF(C22=income_total_row, "/1", IF(C22="/1", expenses_header_row, IF(C22&lt;expenses_max_row, C22+1, IF(C22= expenses_max_row, expenses_total_row, IF(C22=expenses_total_row, "/2", IF(C22="/2", savings_header_row, IF(C22&lt;savings_max_row, C22+1, IF(C22=savings_max_row, savings_total_row, -1)))))))))))</f>
        <v>28</v>
      </c>
      <c r="D23" s="9">
        <f>IF(is_header, row_id, IF(NOT(is_empty), D22, -1))</f>
        <v>24</v>
      </c>
      <c r="E23" s="7" cm="1">
        <f t="array" ref="E23">1*OR(row_id=income_header_row, row_id=expenses_header_row, row_id=savings_header_row)</f>
        <v>0</v>
      </c>
      <c r="F23" s="8">
        <f>1*NOT(OR(is_header, is_total, is_empty))</f>
        <v>1</v>
      </c>
      <c r="G23" s="8" cm="1">
        <f t="array" ref="G23">1*OR(row_id=income_total_row, row_id=expenses_total_row, row_id=savings_total_row)</f>
        <v>0</v>
      </c>
      <c r="H23" s="9">
        <f>1*OR(row_id="/1", row_id="/2", row_id=-1)</f>
        <v>0</v>
      </c>
      <c r="I23" s="7" t="str" cm="1">
        <f t="array" ref="I23">IFERROR(INDEX('Budget Planning'!$C:$C, header_row_id), "")</f>
        <v>Expenses</v>
      </c>
      <c r="J23" s="8" t="str" cm="1">
        <f t="array" ref="J23">IFERROR(INDEX('Budget Planning'!$C:$C, row_id), "")</f>
        <v>Transportation</v>
      </c>
      <c r="K23" s="70" cm="1">
        <f t="array" aca="1" ref="K23"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380</v>
      </c>
      <c r="L23" s="71" cm="1">
        <f t="array" aca="1" ref="L23" ca="1">IF(OR(is_header, is_empty), "", INDEX('Budget Planning'!$E:$CI, row_id, MATCH(IF(selected_period="Total Year", selected_year, DATE(selected_year, selected_period, 1)), 'Budget Planning'!$E$10:$CI$10, 0)))</f>
        <v>300</v>
      </c>
      <c r="M23" s="7" cm="1">
        <f t="array" ref="M23">IF(is_cat, IF(header_row_id = income_header_row, MATCH(income_min_row, $C:$C, 0), IF(header_row_id = expenses_header_row, MATCH(expenses_min_row, $C:$C, 0), IF(header_row_id = savings_header_row, MATCH(savings_min_row, $C:$C, 0), ""))), "")</f>
        <v>20</v>
      </c>
      <c r="N23" s="9" cm="1">
        <f t="array" ref="N23">IF(is_cat, IF(header_row_id = income_header_row, MATCH(income_max_row, $C:$C, 0), IF(header_row_id = expenses_header_row, MATCH(expenses_max_row, $C:$C, 0), IF(header_row_id = savings_header_row, MATCH(savings_max_row, $C:$C, 0), ""))), "")</f>
        <v>28</v>
      </c>
      <c r="O23" s="7" t="str">
        <f>IF(is_cat, ADDRESS(sort_min_row, COLUMN(tracked)) &amp; ":" &amp; ADDRESS(sort_max_row, COLUMN(tracked)), "")</f>
        <v>$K$20:$K$28</v>
      </c>
      <c r="P23" s="8">
        <f ca="1">IF(is_cat, RANK(tracked, INDIRECT(tracked_range), 0), "")</f>
        <v>3</v>
      </c>
      <c r="Q23" s="8" t="str">
        <f>IF(is_cat, ADDRESS(sort_min_row, COLUMN(budget)) &amp; ":" &amp; ADDRESS(sort_max_row, COLUMN(budget)), "")</f>
        <v>$L$20:$L$28</v>
      </c>
      <c r="R23" s="9">
        <f ca="1">IF(is_cat, RANK(budget, INDIRECT(budget_range), 0), "")</f>
        <v>3</v>
      </c>
      <c r="S23" s="7">
        <f ca="1">IF(is_cat, _xlfn.NUMBERVALUE(tracked_rank &amp; budget_rank), "")</f>
        <v>33</v>
      </c>
      <c r="T23" s="8" t="str">
        <f>IF(is_cat, ADDRESS(sort_min_row, COLUMN(comb_rank)) &amp; ":" &amp; ADDRESS(sort_max_row, COLUMN(comb_rank)), "")</f>
        <v>$S$20:$S$28</v>
      </c>
      <c r="U23" s="8">
        <f ca="1">IF(is_cat, RANK(comb_rank, INDIRECT(comb_rank_range), 1), "")</f>
        <v>3</v>
      </c>
      <c r="V23" s="8" t="str">
        <f>IF(is_cat, ADDRESS(sort_min_row, COLUMN(comb_rank_norm)) &amp; ":" &amp; ADDRESS(ROW(), COLUMN(comb_rank_norm)), "")</f>
        <v>$U$20:$U$23</v>
      </c>
      <c r="W23" s="9">
        <f ca="1">IF(is_cat, comb_rank_norm + COUNTIF(INDIRECT(comb_rank_norm_run_range), comb_rank_norm)-1, "")</f>
        <v>3</v>
      </c>
      <c r="X23" s="73">
        <f ca="1">IF(is_cat, header_row_id + comb_rank_unique, row_id)</f>
        <v>27</v>
      </c>
      <c r="Y23" s="75" t="str">
        <f ca="1">IF(is_empty, "", INDEX($J:$J, MATCH(row_id, $X:$X, 0)))</f>
        <v>Utlities</v>
      </c>
      <c r="Z23" s="78">
        <f ca="1">IF(is_empty, "", IF(is_header, "Tracked", INDEX($K:$K, MATCH(row_id, $X:$X, 0))))</f>
        <v>300</v>
      </c>
      <c r="AA23" s="78">
        <f ca="1">IF(is_empty, "", IF(is_header, "Budget", INDEX($L:$L, MATCH(row_id, $X:$X, 0))))</f>
        <v>300</v>
      </c>
      <c r="AB23" s="77">
        <f ca="1">IF(is_empty, "", IF(is_header, "% Compl.", IFERROR(out_tracked / out_Budget, "-")))</f>
        <v>1</v>
      </c>
      <c r="AC23" s="78">
        <f ca="1">IF(is_empty, "", IF(is_header, "Remaining", IF(out_Budget - out_tracked &gt; 0, out_Budget - out_tracked, 0)))</f>
        <v>0</v>
      </c>
      <c r="AD23" s="78">
        <f ca="1">IF(is_empty, "", IF(is_header, "Excess", IF(out_Budget - out_tracked &lt; 0, out_tracked - out_Budget, 0)))</f>
        <v>0</v>
      </c>
      <c r="AF23" s="7"/>
      <c r="AG23" s="8"/>
      <c r="AH23" s="8"/>
      <c r="AI23" s="8"/>
      <c r="AJ23" s="8"/>
      <c r="AK23" s="9"/>
      <c r="AM23" s="7"/>
      <c r="AN23" s="8"/>
      <c r="AO23" s="8"/>
      <c r="AP23" s="8"/>
      <c r="AQ23" s="8"/>
      <c r="AR23" s="9"/>
    </row>
    <row r="24" spans="3:44" x14ac:dyDescent="0.3">
      <c r="C24" s="7" cm="1">
        <f t="array" ref="C24">IF(C23=-1, -1, IF(C23&lt;income_max_row, C23+1, IF(C23=income_max_row, income_total_row, IF(C23=income_total_row, "/1", IF(C23="/1", expenses_header_row, IF(C23&lt;expenses_max_row, C23+1, IF(C23= expenses_max_row, expenses_total_row, IF(C23=expenses_total_row, "/2", IF(C23="/2", savings_header_row, IF(C23&lt;savings_max_row, C23+1, IF(C23=savings_max_row, savings_total_row, -1)))))))))))</f>
        <v>29</v>
      </c>
      <c r="D24" s="9">
        <f>IF(is_header, row_id, IF(NOT(is_empty), D23, -1))</f>
        <v>24</v>
      </c>
      <c r="E24" s="7" cm="1">
        <f t="array" ref="E24">1*OR(row_id=income_header_row, row_id=expenses_header_row, row_id=savings_header_row)</f>
        <v>0</v>
      </c>
      <c r="F24" s="8">
        <f>1*NOT(OR(is_header, is_total, is_empty))</f>
        <v>1</v>
      </c>
      <c r="G24" s="8" cm="1">
        <f t="array" ref="G24">1*OR(row_id=income_total_row, row_id=expenses_total_row, row_id=savings_total_row)</f>
        <v>0</v>
      </c>
      <c r="H24" s="9">
        <f>1*OR(row_id="/1", row_id="/2", row_id=-1)</f>
        <v>0</v>
      </c>
      <c r="I24" s="7" t="str" cm="1">
        <f t="array" ref="I24">IFERROR(INDEX('Budget Planning'!$C:$C, header_row_id), "")</f>
        <v>Expenses</v>
      </c>
      <c r="J24" s="8" t="str" cm="1">
        <f t="array" ref="J24">IFERROR(INDEX('Budget Planning'!$C:$C, row_id), "")</f>
        <v>Insaurances</v>
      </c>
      <c r="K24" s="70" cm="1">
        <f t="array" aca="1" ref="K24"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0</v>
      </c>
      <c r="L24" s="71" cm="1">
        <f t="array" aca="1" ref="L24" ca="1">IF(OR(is_header, is_empty), "", INDEX('Budget Planning'!$E:$CI, row_id, MATCH(IF(selected_period="Total Year", selected_year, DATE(selected_year, selected_period, 1)), 'Budget Planning'!$E$10:$CI$10, 0)))</f>
        <v>0</v>
      </c>
      <c r="M24" s="7" cm="1">
        <f t="array" ref="M24">IF(is_cat, IF(header_row_id = income_header_row, MATCH(income_min_row, $C:$C, 0), IF(header_row_id = expenses_header_row, MATCH(expenses_min_row, $C:$C, 0), IF(header_row_id = savings_header_row, MATCH(savings_min_row, $C:$C, 0), ""))), "")</f>
        <v>20</v>
      </c>
      <c r="N24" s="9" cm="1">
        <f t="array" ref="N24">IF(is_cat, IF(header_row_id = income_header_row, MATCH(income_max_row, $C:$C, 0), IF(header_row_id = expenses_header_row, MATCH(expenses_max_row, $C:$C, 0), IF(header_row_id = savings_header_row, MATCH(savings_max_row, $C:$C, 0), ""))), "")</f>
        <v>28</v>
      </c>
      <c r="O24" s="7" t="str">
        <f>IF(is_cat, ADDRESS(sort_min_row, COLUMN(tracked)) &amp; ":" &amp; ADDRESS(sort_max_row, COLUMN(tracked)), "")</f>
        <v>$K$20:$K$28</v>
      </c>
      <c r="P24" s="8">
        <f ca="1">IF(is_cat, RANK(tracked, INDIRECT(tracked_range), 0), "")</f>
        <v>9</v>
      </c>
      <c r="Q24" s="8" t="str">
        <f>IF(is_cat, ADDRESS(sort_min_row, COLUMN(budget)) &amp; ":" &amp; ADDRESS(sort_max_row, COLUMN(budget)), "")</f>
        <v>$L$20:$L$28</v>
      </c>
      <c r="R24" s="9">
        <f ca="1">IF(is_cat, RANK(budget, INDIRECT(budget_range), 0), "")</f>
        <v>9</v>
      </c>
      <c r="S24" s="7">
        <f ca="1">IF(is_cat, _xlfn.NUMBERVALUE(tracked_rank &amp; budget_rank), "")</f>
        <v>99</v>
      </c>
      <c r="T24" s="8" t="str">
        <f>IF(is_cat, ADDRESS(sort_min_row, COLUMN(comb_rank)) &amp; ":" &amp; ADDRESS(sort_max_row, COLUMN(comb_rank)), "")</f>
        <v>$S$20:$S$28</v>
      </c>
      <c r="U24" s="8">
        <f ca="1">IF(is_cat, RANK(comb_rank, INDIRECT(comb_rank_range), 1), "")</f>
        <v>9</v>
      </c>
      <c r="V24" s="8" t="str">
        <f>IF(is_cat, ADDRESS(sort_min_row, COLUMN(comb_rank_norm)) &amp; ":" &amp; ADDRESS(ROW(), COLUMN(comb_rank_norm)), "")</f>
        <v>$U$20:$U$24</v>
      </c>
      <c r="W24" s="9">
        <f ca="1">IF(is_cat, comb_rank_norm + COUNTIF(INDIRECT(comb_rank_norm_run_range), comb_rank_norm)-1, "")</f>
        <v>9</v>
      </c>
      <c r="X24" s="73">
        <f ca="1">IF(is_cat, header_row_id + comb_rank_unique, row_id)</f>
        <v>33</v>
      </c>
      <c r="Y24" s="75" t="str">
        <f ca="1">IF(is_empty, "", INDEX($J:$J, MATCH(row_id, $X:$X, 0)))</f>
        <v>Body Care &amp; Medicine</v>
      </c>
      <c r="Z24" s="78">
        <f ca="1">IF(is_empty, "", IF(is_header, "Tracked", INDEX($K:$K, MATCH(row_id, $X:$X, 0))))</f>
        <v>270</v>
      </c>
      <c r="AA24" s="78">
        <f ca="1">IF(is_empty, "", IF(is_header, "Budget", INDEX($L:$L, MATCH(row_id, $X:$X, 0))))</f>
        <v>200</v>
      </c>
      <c r="AB24" s="77">
        <f ca="1">IF(is_empty, "", IF(is_header, "% Compl.", IFERROR(out_tracked / out_Budget, "-")))</f>
        <v>1.35</v>
      </c>
      <c r="AC24" s="78">
        <f ca="1">IF(is_empty, "", IF(is_header, "Remaining", IF(out_Budget - out_tracked &gt; 0, out_Budget - out_tracked, 0)))</f>
        <v>0</v>
      </c>
      <c r="AD24" s="78">
        <f ca="1">IF(is_empty, "", IF(is_header, "Excess", IF(out_Budget - out_tracked &lt; 0, out_tracked - out_Budget, 0)))</f>
        <v>70</v>
      </c>
      <c r="AF24" s="10"/>
      <c r="AG24" s="11"/>
      <c r="AH24" s="11"/>
      <c r="AI24" s="11"/>
      <c r="AJ24" s="11"/>
      <c r="AK24" s="12"/>
      <c r="AM24" s="10"/>
      <c r="AN24" s="11"/>
      <c r="AO24" s="11"/>
      <c r="AP24" s="11"/>
      <c r="AQ24" s="11"/>
      <c r="AR24" s="12"/>
    </row>
    <row r="25" spans="3:44" x14ac:dyDescent="0.3">
      <c r="C25" s="7" cm="1">
        <f t="array" ref="C25">IF(C24=-1, -1, IF(C24&lt;income_max_row, C24+1, IF(C24=income_max_row, income_total_row, IF(C24=income_total_row, "/1", IF(C24="/1", expenses_header_row, IF(C24&lt;expenses_max_row, C24+1, IF(C24= expenses_max_row, expenses_total_row, IF(C24=expenses_total_row, "/2", IF(C24="/2", savings_header_row, IF(C24&lt;savings_max_row, C24+1, IF(C24=savings_max_row, savings_total_row, -1)))))))))))</f>
        <v>30</v>
      </c>
      <c r="D25" s="9">
        <f>IF(is_header, row_id, IF(NOT(is_empty), D24, -1))</f>
        <v>24</v>
      </c>
      <c r="E25" s="7" cm="1">
        <f t="array" ref="E25">1*OR(row_id=income_header_row, row_id=expenses_header_row, row_id=savings_header_row)</f>
        <v>0</v>
      </c>
      <c r="F25" s="8">
        <f>1*NOT(OR(is_header, is_total, is_empty))</f>
        <v>1</v>
      </c>
      <c r="G25" s="8" cm="1">
        <f t="array" ref="G25">1*OR(row_id=income_total_row, row_id=expenses_total_row, row_id=savings_total_row)</f>
        <v>0</v>
      </c>
      <c r="H25" s="9">
        <f>1*OR(row_id="/1", row_id="/2", row_id=-1)</f>
        <v>0</v>
      </c>
      <c r="I25" s="7" t="str" cm="1">
        <f t="array" ref="I25">IFERROR(INDEX('Budget Planning'!$C:$C, header_row_id), "")</f>
        <v>Expenses</v>
      </c>
      <c r="J25" s="8" t="str" cm="1">
        <f t="array" ref="J25">IFERROR(INDEX('Budget Planning'!$C:$C, row_id), "")</f>
        <v>Clothing</v>
      </c>
      <c r="K25" s="70" cm="1">
        <f t="array" aca="1" ref="K25"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140</v>
      </c>
      <c r="L25" s="71" cm="1">
        <f t="array" aca="1" ref="L25" ca="1">IF(OR(is_header, is_empty), "", INDEX('Budget Planning'!$E:$CI, row_id, MATCH(IF(selected_period="Total Year", selected_year, DATE(selected_year, selected_period, 1)), 'Budget Planning'!$E$10:$CI$10, 0)))</f>
        <v>200</v>
      </c>
      <c r="M25" s="7" cm="1">
        <f t="array" ref="M25">IF(is_cat, IF(header_row_id = income_header_row, MATCH(income_min_row, $C:$C, 0), IF(header_row_id = expenses_header_row, MATCH(expenses_min_row, $C:$C, 0), IF(header_row_id = savings_header_row, MATCH(savings_min_row, $C:$C, 0), ""))), "")</f>
        <v>20</v>
      </c>
      <c r="N25" s="9" cm="1">
        <f t="array" ref="N25">IF(is_cat, IF(header_row_id = income_header_row, MATCH(income_max_row, $C:$C, 0), IF(header_row_id = expenses_header_row, MATCH(expenses_max_row, $C:$C, 0), IF(header_row_id = savings_header_row, MATCH(savings_max_row, $C:$C, 0), ""))), "")</f>
        <v>28</v>
      </c>
      <c r="O25" s="7" t="str">
        <f>IF(is_cat, ADDRESS(sort_min_row, COLUMN(tracked)) &amp; ":" &amp; ADDRESS(sort_max_row, COLUMN(tracked)), "")</f>
        <v>$K$20:$K$28</v>
      </c>
      <c r="P25" s="8">
        <f ca="1">IF(is_cat, RANK(tracked, INDIRECT(tracked_range), 0), "")</f>
        <v>7</v>
      </c>
      <c r="Q25" s="8" t="str">
        <f>IF(is_cat, ADDRESS(sort_min_row, COLUMN(budget)) &amp; ":" &amp; ADDRESS(sort_max_row, COLUMN(budget)), "")</f>
        <v>$L$20:$L$28</v>
      </c>
      <c r="R25" s="9">
        <f ca="1">IF(is_cat, RANK(budget, INDIRECT(budget_range), 0), "")</f>
        <v>6</v>
      </c>
      <c r="S25" s="7">
        <f ca="1">IF(is_cat, _xlfn.NUMBERVALUE(tracked_rank &amp; budget_rank), "")</f>
        <v>76</v>
      </c>
      <c r="T25" s="8" t="str">
        <f>IF(is_cat, ADDRESS(sort_min_row, COLUMN(comb_rank)) &amp; ":" &amp; ADDRESS(sort_max_row, COLUMN(comb_rank)), "")</f>
        <v>$S$20:$S$28</v>
      </c>
      <c r="U25" s="8">
        <f ca="1">IF(is_cat, RANK(comb_rank, INDIRECT(comb_rank_range), 1), "")</f>
        <v>7</v>
      </c>
      <c r="V25" s="8" t="str">
        <f>IF(is_cat, ADDRESS(sort_min_row, COLUMN(comb_rank_norm)) &amp; ":" &amp; ADDRESS(ROW(), COLUMN(comb_rank_norm)), "")</f>
        <v>$U$20:$U$25</v>
      </c>
      <c r="W25" s="9">
        <f ca="1">IF(is_cat, comb_rank_norm + COUNTIF(INDIRECT(comb_rank_norm_run_range), comb_rank_norm)-1, "")</f>
        <v>7</v>
      </c>
      <c r="X25" s="73">
        <f ca="1">IF(is_cat, header_row_id + comb_rank_unique, row_id)</f>
        <v>31</v>
      </c>
      <c r="Y25" s="75" t="str">
        <f ca="1">IF(is_empty, "", INDEX($J:$J, MATCH(row_id, $X:$X, 0)))</f>
        <v>Fun &amp; Vacation</v>
      </c>
      <c r="Z25" s="78">
        <f ca="1">IF(is_empty, "", IF(is_header, "Tracked", INDEX($K:$K, MATCH(row_id, $X:$X, 0))))</f>
        <v>250</v>
      </c>
      <c r="AA25" s="78">
        <f ca="1">IF(is_empty, "", IF(is_header, "Budget", INDEX($L:$L, MATCH(row_id, $X:$X, 0))))</f>
        <v>300</v>
      </c>
      <c r="AB25" s="77">
        <f ca="1">IF(is_empty, "", IF(is_header, "% Compl.", IFERROR(out_tracked / out_Budget, "-")))</f>
        <v>0.83333333333333337</v>
      </c>
      <c r="AC25" s="78">
        <f ca="1">IF(is_empty, "", IF(is_header, "Remaining", IF(out_Budget - out_tracked &gt; 0, out_Budget - out_tracked, 0)))</f>
        <v>50</v>
      </c>
      <c r="AD25" s="78">
        <f ca="1">IF(is_empty, "", IF(is_header, "Excess", IF(out_Budget - out_tracked &lt; 0, out_tracked - out_Budget, 0)))</f>
        <v>0</v>
      </c>
    </row>
    <row r="26" spans="3:44" x14ac:dyDescent="0.3">
      <c r="C26" s="7" cm="1">
        <f t="array" ref="C26">IF(C25=-1, -1, IF(C25&lt;income_max_row, C25+1, IF(C25=income_max_row, income_total_row, IF(C25=income_total_row, "/1", IF(C25="/1", expenses_header_row, IF(C25&lt;expenses_max_row, C25+1, IF(C25= expenses_max_row, expenses_total_row, IF(C25=expenses_total_row, "/2", IF(C25="/2", savings_header_row, IF(C25&lt;savings_max_row, C25+1, IF(C25=savings_max_row, savings_total_row, -1)))))))))))</f>
        <v>31</v>
      </c>
      <c r="D26" s="9">
        <f>IF(is_header, row_id, IF(NOT(is_empty), D25, -1))</f>
        <v>24</v>
      </c>
      <c r="E26" s="7" cm="1">
        <f t="array" ref="E26">1*OR(row_id=income_header_row, row_id=expenses_header_row, row_id=savings_header_row)</f>
        <v>0</v>
      </c>
      <c r="F26" s="8">
        <f>1*NOT(OR(is_header, is_total, is_empty))</f>
        <v>1</v>
      </c>
      <c r="G26" s="8" cm="1">
        <f t="array" ref="G26">1*OR(row_id=income_total_row, row_id=expenses_total_row, row_id=savings_total_row)</f>
        <v>0</v>
      </c>
      <c r="H26" s="9">
        <f>1*OR(row_id="/1", row_id="/2", row_id=-1)</f>
        <v>0</v>
      </c>
      <c r="I26" s="7" t="str" cm="1">
        <f t="array" ref="I26">IFERROR(INDEX('Budget Planning'!$C:$C, header_row_id), "")</f>
        <v>Expenses</v>
      </c>
      <c r="J26" s="8" t="str" cm="1">
        <f t="array" ref="J26">IFERROR(INDEX('Budget Planning'!$C:$C, row_id), "")</f>
        <v>Body Care &amp; Medicine</v>
      </c>
      <c r="K26" s="70" cm="1">
        <f t="array" aca="1" ref="K26"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270</v>
      </c>
      <c r="L26" s="71" cm="1">
        <f t="array" aca="1" ref="L26" ca="1">IF(OR(is_header, is_empty), "", INDEX('Budget Planning'!$E:$CI, row_id, MATCH(IF(selected_period="Total Year", selected_year, DATE(selected_year, selected_period, 1)), 'Budget Planning'!$E$10:$CI$10, 0)))</f>
        <v>200</v>
      </c>
      <c r="M26" s="7" cm="1">
        <f t="array" ref="M26">IF(is_cat, IF(header_row_id = income_header_row, MATCH(income_min_row, $C:$C, 0), IF(header_row_id = expenses_header_row, MATCH(expenses_min_row, $C:$C, 0), IF(header_row_id = savings_header_row, MATCH(savings_min_row, $C:$C, 0), ""))), "")</f>
        <v>20</v>
      </c>
      <c r="N26" s="9" cm="1">
        <f t="array" ref="N26">IF(is_cat, IF(header_row_id = income_header_row, MATCH(income_max_row, $C:$C, 0), IF(header_row_id = expenses_header_row, MATCH(expenses_max_row, $C:$C, 0), IF(header_row_id = savings_header_row, MATCH(savings_max_row, $C:$C, 0), ""))), "")</f>
        <v>28</v>
      </c>
      <c r="O26" s="7" t="str">
        <f>IF(is_cat, ADDRESS(sort_min_row, COLUMN(tracked)) &amp; ":" &amp; ADDRESS(sort_max_row, COLUMN(tracked)), "")</f>
        <v>$K$20:$K$28</v>
      </c>
      <c r="P26" s="8">
        <f ca="1">IF(is_cat, RANK(tracked, INDIRECT(tracked_range), 0), "")</f>
        <v>5</v>
      </c>
      <c r="Q26" s="8" t="str">
        <f>IF(is_cat, ADDRESS(sort_min_row, COLUMN(budget)) &amp; ":" &amp; ADDRESS(sort_max_row, COLUMN(budget)), "")</f>
        <v>$L$20:$L$28</v>
      </c>
      <c r="R26" s="9">
        <f ca="1">IF(is_cat, RANK(budget, INDIRECT(budget_range), 0), "")</f>
        <v>6</v>
      </c>
      <c r="S26" s="7">
        <f ca="1">IF(is_cat, _xlfn.NUMBERVALUE(tracked_rank &amp; budget_rank), "")</f>
        <v>56</v>
      </c>
      <c r="T26" s="8" t="str">
        <f>IF(is_cat, ADDRESS(sort_min_row, COLUMN(comb_rank)) &amp; ":" &amp; ADDRESS(sort_max_row, COLUMN(comb_rank)), "")</f>
        <v>$S$20:$S$28</v>
      </c>
      <c r="U26" s="8">
        <f ca="1">IF(is_cat, RANK(comb_rank, INDIRECT(comb_rank_range), 1), "")</f>
        <v>5</v>
      </c>
      <c r="V26" s="8" t="str">
        <f>IF(is_cat, ADDRESS(sort_min_row, COLUMN(comb_rank_norm)) &amp; ":" &amp; ADDRESS(ROW(), COLUMN(comb_rank_norm)), "")</f>
        <v>$U$20:$U$26</v>
      </c>
      <c r="W26" s="9">
        <f ca="1">IF(is_cat, comb_rank_norm + COUNTIF(INDIRECT(comb_rank_norm_run_range), comb_rank_norm)-1, "")</f>
        <v>5</v>
      </c>
      <c r="X26" s="73">
        <f ca="1">IF(is_cat, header_row_id + comb_rank_unique, row_id)</f>
        <v>29</v>
      </c>
      <c r="Y26" s="75" t="str">
        <f ca="1">IF(is_empty, "", INDEX($J:$J, MATCH(row_id, $X:$X, 0)))</f>
        <v>Clothing</v>
      </c>
      <c r="Z26" s="78">
        <f ca="1">IF(is_empty, "", IF(is_header, "Tracked", INDEX($K:$K, MATCH(row_id, $X:$X, 0))))</f>
        <v>140</v>
      </c>
      <c r="AA26" s="78">
        <f ca="1">IF(is_empty, "", IF(is_header, "Budget", INDEX($L:$L, MATCH(row_id, $X:$X, 0))))</f>
        <v>200</v>
      </c>
      <c r="AB26" s="77">
        <f ca="1">IF(is_empty, "", IF(is_header, "% Compl.", IFERROR(out_tracked / out_Budget, "-")))</f>
        <v>0.7</v>
      </c>
      <c r="AC26" s="78">
        <f ca="1">IF(is_empty, "", IF(is_header, "Remaining", IF(out_Budget - out_tracked &gt; 0, out_Budget - out_tracked, 0)))</f>
        <v>60</v>
      </c>
      <c r="AD26" s="78">
        <f ca="1">IF(is_empty, "", IF(is_header, "Excess", IF(out_Budget - out_tracked &lt; 0, out_tracked - out_Budget, 0)))</f>
        <v>0</v>
      </c>
      <c r="AF26" s="80"/>
      <c r="AG26" s="81"/>
      <c r="AH26" s="81"/>
      <c r="AI26" s="81"/>
      <c r="AJ26" s="81"/>
      <c r="AK26" s="82"/>
      <c r="AM26" s="80"/>
      <c r="AN26" s="81"/>
      <c r="AO26" s="81"/>
      <c r="AP26" s="81"/>
      <c r="AQ26" s="81"/>
      <c r="AR26" s="82"/>
    </row>
    <row r="27" spans="3:44" x14ac:dyDescent="0.3">
      <c r="C27" s="7" cm="1">
        <f t="array" ref="C27">IF(C26=-1, -1, IF(C26&lt;income_max_row, C26+1, IF(C26=income_max_row, income_total_row, IF(C26=income_total_row, "/1", IF(C26="/1", expenses_header_row, IF(C26&lt;expenses_max_row, C26+1, IF(C26= expenses_max_row, expenses_total_row, IF(C26=expenses_total_row, "/2", IF(C26="/2", savings_header_row, IF(C26&lt;savings_max_row, C26+1, IF(C26=savings_max_row, savings_total_row, -1)))))))))))</f>
        <v>32</v>
      </c>
      <c r="D27" s="9">
        <f>IF(is_header, row_id, IF(NOT(is_empty), D26, -1))</f>
        <v>24</v>
      </c>
      <c r="E27" s="7" cm="1">
        <f t="array" ref="E27">1*OR(row_id=income_header_row, row_id=expenses_header_row, row_id=savings_header_row)</f>
        <v>0</v>
      </c>
      <c r="F27" s="8">
        <f>1*NOT(OR(is_header, is_total, is_empty))</f>
        <v>1</v>
      </c>
      <c r="G27" s="8" cm="1">
        <f t="array" ref="G27">1*OR(row_id=income_total_row, row_id=expenses_total_row, row_id=savings_total_row)</f>
        <v>0</v>
      </c>
      <c r="H27" s="9">
        <f>1*OR(row_id="/1", row_id="/2", row_id=-1)</f>
        <v>0</v>
      </c>
      <c r="I27" s="7" t="str" cm="1">
        <f t="array" ref="I27">IFERROR(INDEX('Budget Planning'!$C:$C, header_row_id), "")</f>
        <v>Expenses</v>
      </c>
      <c r="J27" s="8" t="str" cm="1">
        <f t="array" ref="J27">IFERROR(INDEX('Budget Planning'!$C:$C, row_id), "")</f>
        <v>Media</v>
      </c>
      <c r="K27" s="70" cm="1">
        <f t="array" aca="1" ref="K27"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70</v>
      </c>
      <c r="L27" s="71" cm="1">
        <f t="array" aca="1" ref="L27" ca="1">IF(OR(is_header, is_empty), "", INDEX('Budget Planning'!$E:$CI, row_id, MATCH(IF(selected_period="Total Year", selected_year, DATE(selected_year, selected_period, 1)), 'Budget Planning'!$E$10:$CI$10, 0)))</f>
        <v>50</v>
      </c>
      <c r="M27" s="7" cm="1">
        <f t="array" ref="M27">IF(is_cat, IF(header_row_id = income_header_row, MATCH(income_min_row, $C:$C, 0), IF(header_row_id = expenses_header_row, MATCH(expenses_min_row, $C:$C, 0), IF(header_row_id = savings_header_row, MATCH(savings_min_row, $C:$C, 0), ""))), "")</f>
        <v>20</v>
      </c>
      <c r="N27" s="9" cm="1">
        <f t="array" ref="N27">IF(is_cat, IF(header_row_id = income_header_row, MATCH(income_max_row, $C:$C, 0), IF(header_row_id = expenses_header_row, MATCH(expenses_max_row, $C:$C, 0), IF(header_row_id = savings_header_row, MATCH(savings_max_row, $C:$C, 0), ""))), "")</f>
        <v>28</v>
      </c>
      <c r="O27" s="7" t="str">
        <f>IF(is_cat, ADDRESS(sort_min_row, COLUMN(tracked)) &amp; ":" &amp; ADDRESS(sort_max_row, COLUMN(tracked)), "")</f>
        <v>$K$20:$K$28</v>
      </c>
      <c r="P27" s="8">
        <f ca="1">IF(is_cat, RANK(tracked, INDIRECT(tracked_range), 0), "")</f>
        <v>8</v>
      </c>
      <c r="Q27" s="8" t="str">
        <f>IF(is_cat, ADDRESS(sort_min_row, COLUMN(budget)) &amp; ":" &amp; ADDRESS(sort_max_row, COLUMN(budget)), "")</f>
        <v>$L$20:$L$28</v>
      </c>
      <c r="R27" s="9">
        <f ca="1">IF(is_cat, RANK(budget, INDIRECT(budget_range), 0), "")</f>
        <v>8</v>
      </c>
      <c r="S27" s="7">
        <f ca="1">IF(is_cat, _xlfn.NUMBERVALUE(tracked_rank &amp; budget_rank), "")</f>
        <v>88</v>
      </c>
      <c r="T27" s="8" t="str">
        <f>IF(is_cat, ADDRESS(sort_min_row, COLUMN(comb_rank)) &amp; ":" &amp; ADDRESS(sort_max_row, COLUMN(comb_rank)), "")</f>
        <v>$S$20:$S$28</v>
      </c>
      <c r="U27" s="8">
        <f ca="1">IF(is_cat, RANK(comb_rank, INDIRECT(comb_rank_range), 1), "")</f>
        <v>8</v>
      </c>
      <c r="V27" s="8" t="str">
        <f>IF(is_cat, ADDRESS(sort_min_row, COLUMN(comb_rank_norm)) &amp; ":" &amp; ADDRESS(ROW(), COLUMN(comb_rank_norm)), "")</f>
        <v>$U$20:$U$27</v>
      </c>
      <c r="W27" s="9">
        <f ca="1">IF(is_cat, comb_rank_norm + COUNTIF(INDIRECT(comb_rank_norm_run_range), comb_rank_norm)-1, "")</f>
        <v>8</v>
      </c>
      <c r="X27" s="73">
        <f ca="1">IF(is_cat, header_row_id + comb_rank_unique, row_id)</f>
        <v>32</v>
      </c>
      <c r="Y27" s="75" t="str">
        <f ca="1">IF(is_empty, "", INDEX($J:$J, MATCH(row_id, $X:$X, 0)))</f>
        <v>Media</v>
      </c>
      <c r="Z27" s="78">
        <f ca="1">IF(is_empty, "", IF(is_header, "Tracked", INDEX($K:$K, MATCH(row_id, $X:$X, 0))))</f>
        <v>70</v>
      </c>
      <c r="AA27" s="78">
        <f ca="1">IF(is_empty, "", IF(is_header, "Budget", INDEX($L:$L, MATCH(row_id, $X:$X, 0))))</f>
        <v>50</v>
      </c>
      <c r="AB27" s="77">
        <f ca="1">IF(is_empty, "", IF(is_header, "% Compl.", IFERROR(out_tracked / out_Budget, "-")))</f>
        <v>1.4</v>
      </c>
      <c r="AC27" s="78">
        <f ca="1">IF(is_empty, "", IF(is_header, "Remaining", IF(out_Budget - out_tracked &gt; 0, out_Budget - out_tracked, 0)))</f>
        <v>0</v>
      </c>
      <c r="AD27" s="78">
        <f ca="1">IF(is_empty, "", IF(is_header, "Excess", IF(out_Budget - out_tracked &lt; 0, out_tracked - out_Budget, 0)))</f>
        <v>20</v>
      </c>
      <c r="AF27" s="7"/>
      <c r="AG27" s="8"/>
      <c r="AH27" s="8"/>
      <c r="AI27" s="8"/>
      <c r="AJ27" s="8"/>
      <c r="AK27" s="9"/>
      <c r="AM27" s="7"/>
      <c r="AN27" s="8"/>
      <c r="AO27" s="8"/>
      <c r="AP27" s="8"/>
      <c r="AQ27" s="8"/>
      <c r="AR27" s="9"/>
    </row>
    <row r="28" spans="3:44" x14ac:dyDescent="0.3">
      <c r="C28" s="7" cm="1">
        <f t="array" ref="C28">IF(C27=-1, -1, IF(C27&lt;income_max_row, C27+1, IF(C27=income_max_row, income_total_row, IF(C27=income_total_row, "/1", IF(C27="/1", expenses_header_row, IF(C27&lt;expenses_max_row, C27+1, IF(C27= expenses_max_row, expenses_total_row, IF(C27=expenses_total_row, "/2", IF(C27="/2", savings_header_row, IF(C27&lt;savings_max_row, C27+1, IF(C27=savings_max_row, savings_total_row, -1)))))))))))</f>
        <v>33</v>
      </c>
      <c r="D28" s="9">
        <f>IF(is_header, row_id, IF(NOT(is_empty), D27, -1))</f>
        <v>24</v>
      </c>
      <c r="E28" s="7" cm="1">
        <f t="array" ref="E28">1*OR(row_id=income_header_row, row_id=expenses_header_row, row_id=savings_header_row)</f>
        <v>0</v>
      </c>
      <c r="F28" s="8">
        <f>1*NOT(OR(is_header, is_total, is_empty))</f>
        <v>1</v>
      </c>
      <c r="G28" s="8" cm="1">
        <f t="array" ref="G28">1*OR(row_id=income_total_row, row_id=expenses_total_row, row_id=savings_total_row)</f>
        <v>0</v>
      </c>
      <c r="H28" s="9">
        <f>1*OR(row_id="/1", row_id="/2", row_id=-1)</f>
        <v>0</v>
      </c>
      <c r="I28" s="7" t="str" cm="1">
        <f t="array" ref="I28">IFERROR(INDEX('Budget Planning'!$C:$C, header_row_id), "")</f>
        <v>Expenses</v>
      </c>
      <c r="J28" s="8" t="str" cm="1">
        <f t="array" ref="J28">IFERROR(INDEX('Budget Planning'!$C:$C, row_id), "")</f>
        <v>Fun &amp; Vacation</v>
      </c>
      <c r="K28" s="70" cm="1">
        <f t="array" aca="1" ref="K28"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250</v>
      </c>
      <c r="L28" s="71" cm="1">
        <f t="array" aca="1" ref="L28" ca="1">IF(OR(is_header, is_empty), "", INDEX('Budget Planning'!$E:$CI, row_id, MATCH(IF(selected_period="Total Year", selected_year, DATE(selected_year, selected_period, 1)), 'Budget Planning'!$E$10:$CI$10, 0)))</f>
        <v>300</v>
      </c>
      <c r="M28" s="7" cm="1">
        <f t="array" ref="M28">IF(is_cat, IF(header_row_id = income_header_row, MATCH(income_min_row, $C:$C, 0), IF(header_row_id = expenses_header_row, MATCH(expenses_min_row, $C:$C, 0), IF(header_row_id = savings_header_row, MATCH(savings_min_row, $C:$C, 0), ""))), "")</f>
        <v>20</v>
      </c>
      <c r="N28" s="9" cm="1">
        <f t="array" ref="N28">IF(is_cat, IF(header_row_id = income_header_row, MATCH(income_max_row, $C:$C, 0), IF(header_row_id = expenses_header_row, MATCH(expenses_max_row, $C:$C, 0), IF(header_row_id = savings_header_row, MATCH(savings_max_row, $C:$C, 0), ""))), "")</f>
        <v>28</v>
      </c>
      <c r="O28" s="7" t="str">
        <f>IF(is_cat, ADDRESS(sort_min_row, COLUMN(tracked)) &amp; ":" &amp; ADDRESS(sort_max_row, COLUMN(tracked)), "")</f>
        <v>$K$20:$K$28</v>
      </c>
      <c r="P28" s="8">
        <f ca="1">IF(is_cat, RANK(tracked, INDIRECT(tracked_range), 0), "")</f>
        <v>6</v>
      </c>
      <c r="Q28" s="8" t="str">
        <f>IF(is_cat, ADDRESS(sort_min_row, COLUMN(budget)) &amp; ":" &amp; ADDRESS(sort_max_row, COLUMN(budget)), "")</f>
        <v>$L$20:$L$28</v>
      </c>
      <c r="R28" s="9">
        <f ca="1">IF(is_cat, RANK(budget, INDIRECT(budget_range), 0), "")</f>
        <v>3</v>
      </c>
      <c r="S28" s="7">
        <f ca="1">IF(is_cat, _xlfn.NUMBERVALUE(tracked_rank &amp; budget_rank), "")</f>
        <v>63</v>
      </c>
      <c r="T28" s="8" t="str">
        <f>IF(is_cat, ADDRESS(sort_min_row, COLUMN(comb_rank)) &amp; ":" &amp; ADDRESS(sort_max_row, COLUMN(comb_rank)), "")</f>
        <v>$S$20:$S$28</v>
      </c>
      <c r="U28" s="8">
        <f ca="1">IF(is_cat, RANK(comb_rank, INDIRECT(comb_rank_range), 1), "")</f>
        <v>6</v>
      </c>
      <c r="V28" s="8" t="str">
        <f>IF(is_cat, ADDRESS(sort_min_row, COLUMN(comb_rank_norm)) &amp; ":" &amp; ADDRESS(ROW(), COLUMN(comb_rank_norm)), "")</f>
        <v>$U$20:$U$28</v>
      </c>
      <c r="W28" s="9">
        <f ca="1">IF(is_cat, comb_rank_norm + COUNTIF(INDIRECT(comb_rank_norm_run_range), comb_rank_norm)-1, "")</f>
        <v>6</v>
      </c>
      <c r="X28" s="73">
        <f ca="1">IF(is_cat, header_row_id + comb_rank_unique, row_id)</f>
        <v>30</v>
      </c>
      <c r="Y28" s="75" t="str">
        <f ca="1">IF(is_empty, "", INDEX($J:$J, MATCH(row_id, $X:$X, 0)))</f>
        <v>Insaurances</v>
      </c>
      <c r="Z28" s="78">
        <f ca="1">IF(is_empty, "", IF(is_header, "Tracked", INDEX($K:$K, MATCH(row_id, $X:$X, 0))))</f>
        <v>0</v>
      </c>
      <c r="AA28" s="78">
        <f ca="1">IF(is_empty, "", IF(is_header, "Budget", INDEX($L:$L, MATCH(row_id, $X:$X, 0))))</f>
        <v>0</v>
      </c>
      <c r="AB28" s="77" t="str">
        <f ca="1">IF(is_empty, "", IF(is_header, "% Compl.", IFERROR(out_tracked / out_Budget, "-")))</f>
        <v>-</v>
      </c>
      <c r="AC28" s="78">
        <f ca="1">IF(is_empty, "", IF(is_header, "Remaining", IF(out_Budget - out_tracked &gt; 0, out_Budget - out_tracked, 0)))</f>
        <v>0</v>
      </c>
      <c r="AD28" s="78">
        <f ca="1">IF(is_empty, "", IF(is_header, "Excess", IF(out_Budget - out_tracked &lt; 0, out_tracked - out_Budget, 0)))</f>
        <v>0</v>
      </c>
      <c r="AF28" s="7"/>
      <c r="AG28" s="8"/>
      <c r="AH28" s="8"/>
      <c r="AI28" s="8"/>
      <c r="AJ28" s="8"/>
      <c r="AK28" s="9"/>
      <c r="AM28" s="7"/>
      <c r="AN28" s="8"/>
      <c r="AO28" s="8"/>
      <c r="AP28" s="8"/>
      <c r="AQ28" s="8"/>
      <c r="AR28" s="9"/>
    </row>
    <row r="29" spans="3:44" x14ac:dyDescent="0.3">
      <c r="C29" s="7" cm="1">
        <f t="array" ref="C29">IF(C28=-1, -1, IF(C28&lt;income_max_row, C28+1, IF(C28=income_max_row, income_total_row, IF(C28=income_total_row, "/1", IF(C28="/1", expenses_header_row, IF(C28&lt;expenses_max_row, C28+1, IF(C28= expenses_max_row, expenses_total_row, IF(C28=expenses_total_row, "/2", IF(C28="/2", savings_header_row, IF(C28&lt;savings_max_row, C28+1, IF(C28=savings_max_row, savings_total_row, -1)))))))))))</f>
        <v>41</v>
      </c>
      <c r="D29" s="9">
        <f>IF(is_header, row_id, IF(NOT(is_empty), D28, -1))</f>
        <v>24</v>
      </c>
      <c r="E29" s="7" cm="1">
        <f t="array" ref="E29">1*OR(row_id=income_header_row, row_id=expenses_header_row, row_id=savings_header_row)</f>
        <v>0</v>
      </c>
      <c r="F29" s="8">
        <f>1*NOT(OR(is_header, is_total, is_empty))</f>
        <v>0</v>
      </c>
      <c r="G29" s="8" cm="1">
        <f t="array" ref="G29">1*OR(row_id=income_total_row, row_id=expenses_total_row, row_id=savings_total_row)</f>
        <v>1</v>
      </c>
      <c r="H29" s="9">
        <f>1*OR(row_id="/1", row_id="/2", row_id=-1)</f>
        <v>0</v>
      </c>
      <c r="I29" s="7" t="str" cm="1">
        <f t="array" ref="I29">IFERROR(INDEX('Budget Planning'!$C:$C, header_row_id), "")</f>
        <v>Expenses</v>
      </c>
      <c r="J29" s="8" t="str" cm="1">
        <f t="array" ref="J29">IFERROR(INDEX('Budget Planning'!$C:$C, row_id), "")</f>
        <v>Total</v>
      </c>
      <c r="K29" s="70" cm="1">
        <f t="array" aca="1" ref="K29"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3010</v>
      </c>
      <c r="L29" s="71" cm="1">
        <f t="array" aca="1" ref="L29" ca="1">IF(OR(is_header, is_empty), "", INDEX('Budget Planning'!$E:$CI, row_id, MATCH(IF(selected_period="Total Year", selected_year, DATE(selected_year, selected_period, 1)), 'Budget Planning'!$E$10:$CI$10, 0)))</f>
        <v>2900</v>
      </c>
      <c r="M29" s="7" t="str" cm="1">
        <f t="array" ref="M29">IF(is_cat, IF(header_row_id = income_header_row, MATCH(income_min_row, $C:$C, 0), IF(header_row_id = expenses_header_row, MATCH(expenses_min_row, $C:$C, 0), IF(header_row_id = savings_header_row, MATCH(savings_min_row, $C:$C, 0), ""))), "")</f>
        <v/>
      </c>
      <c r="N29" s="9" t="str" cm="1">
        <f t="array" ref="N29">IF(is_cat, IF(header_row_id = income_header_row, MATCH(income_max_row, $C:$C, 0), IF(header_row_id = expenses_header_row, MATCH(expenses_max_row, $C:$C, 0), IF(header_row_id = savings_header_row, MATCH(savings_max_row, $C:$C, 0), ""))), "")</f>
        <v/>
      </c>
      <c r="O29" s="7" t="str">
        <f>IF(is_cat, ADDRESS(sort_min_row, COLUMN(tracked)) &amp; ":" &amp; ADDRESS(sort_max_row, COLUMN(tracked)), "")</f>
        <v/>
      </c>
      <c r="P29" s="8" t="str">
        <f ca="1">IF(is_cat, RANK(tracked, INDIRECT(tracked_range), 0), "")</f>
        <v/>
      </c>
      <c r="Q29" s="8" t="str">
        <f>IF(is_cat, ADDRESS(sort_min_row, COLUMN(budget)) &amp; ":" &amp; ADDRESS(sort_max_row, COLUMN(budget)), "")</f>
        <v/>
      </c>
      <c r="R29" s="9" t="str">
        <f ca="1">IF(is_cat, RANK(budget, INDIRECT(budget_range), 0), "")</f>
        <v/>
      </c>
      <c r="S29" s="7" t="str">
        <f>IF(is_cat, _xlfn.NUMBERVALUE(tracked_rank &amp; budget_rank), "")</f>
        <v/>
      </c>
      <c r="T29" s="8" t="str">
        <f>IF(is_cat, ADDRESS(sort_min_row, COLUMN(comb_rank)) &amp; ":" &amp; ADDRESS(sort_max_row, COLUMN(comb_rank)), "")</f>
        <v/>
      </c>
      <c r="U29" s="8" t="str">
        <f ca="1">IF(is_cat, RANK(comb_rank, INDIRECT(comb_rank_range), 1), "")</f>
        <v/>
      </c>
      <c r="V29" s="8" t="str">
        <f>IF(is_cat, ADDRESS(sort_min_row, COLUMN(comb_rank_norm)) &amp; ":" &amp; ADDRESS(ROW(), COLUMN(comb_rank_norm)), "")</f>
        <v/>
      </c>
      <c r="W29" s="9" t="str">
        <f ca="1">IF(is_cat, comb_rank_norm + COUNTIF(INDIRECT(comb_rank_norm_run_range), comb_rank_norm)-1, "")</f>
        <v/>
      </c>
      <c r="X29" s="73">
        <f>IF(is_cat, header_row_id + comb_rank_unique, row_id)</f>
        <v>41</v>
      </c>
      <c r="Y29" s="75" t="str">
        <f ca="1">IF(is_empty, "", INDEX($J:$J, MATCH(row_id, $X:$X, 0)))</f>
        <v>Total</v>
      </c>
      <c r="Z29" s="78">
        <f ca="1">IF(is_empty, "", IF(is_header, "Tracked", INDEX($K:$K, MATCH(row_id, $X:$X, 0))))</f>
        <v>3010</v>
      </c>
      <c r="AA29" s="78">
        <f ca="1">IF(is_empty, "", IF(is_header, "Budget", INDEX($L:$L, MATCH(row_id, $X:$X, 0))))</f>
        <v>2900</v>
      </c>
      <c r="AB29" s="77">
        <f ca="1">IF(is_empty, "", IF(is_header, "% Compl.", IFERROR(out_tracked / out_Budget, "-")))</f>
        <v>1.0379310344827586</v>
      </c>
      <c r="AC29" s="78">
        <f ca="1">IF(is_empty, "", IF(is_header, "Remaining", IF(out_Budget - out_tracked &gt; 0, out_Budget - out_tracked, 0)))</f>
        <v>0</v>
      </c>
      <c r="AD29" s="78">
        <f ca="1">IF(is_empty, "", IF(is_header, "Excess", IF(out_Budget - out_tracked &lt; 0, out_tracked - out_Budget, 0)))</f>
        <v>110</v>
      </c>
      <c r="AF29" s="7"/>
      <c r="AG29" s="8"/>
      <c r="AH29" s="8"/>
      <c r="AI29" s="96" t="str">
        <f ca="1">Calculations!I35</f>
        <v>Housing</v>
      </c>
      <c r="AJ29" s="97">
        <f ca="1">Calculations!J35</f>
        <v>1200</v>
      </c>
      <c r="AK29" s="9"/>
      <c r="AM29" s="7"/>
      <c r="AN29" s="8"/>
      <c r="AO29" s="8"/>
      <c r="AP29" s="96" t="str">
        <f ca="1">Calculations!M35</f>
        <v>Stock Portfolio</v>
      </c>
      <c r="AQ29" s="97">
        <f ca="1">Calculations!N35</f>
        <v>500</v>
      </c>
      <c r="AR29" s="9"/>
    </row>
    <row r="30" spans="3:44" x14ac:dyDescent="0.3">
      <c r="C30" s="7" t="str" cm="1">
        <f t="array" ref="C30">IF(C29=-1, -1, IF(C29&lt;income_max_row, C29+1, IF(C29=income_max_row, income_total_row, IF(C29=income_total_row, "/1", IF(C29="/1", expenses_header_row, IF(C29&lt;expenses_max_row, C29+1, IF(C29= expenses_max_row, expenses_total_row, IF(C29=expenses_total_row, "/2", IF(C29="/2", savings_header_row, IF(C29&lt;savings_max_row, C29+1, IF(C29=savings_max_row, savings_total_row, -1)))))))))))</f>
        <v>/2</v>
      </c>
      <c r="D30" s="9">
        <f>IF(is_header, row_id, IF(NOT(is_empty), D29, -1))</f>
        <v>-1</v>
      </c>
      <c r="E30" s="7" cm="1">
        <f t="array" ref="E30">1*OR(row_id=income_header_row, row_id=expenses_header_row, row_id=savings_header_row)</f>
        <v>0</v>
      </c>
      <c r="F30" s="8">
        <f>1*NOT(OR(is_header, is_total, is_empty))</f>
        <v>0</v>
      </c>
      <c r="G30" s="8" cm="1">
        <f t="array" ref="G30">1*OR(row_id=income_total_row, row_id=expenses_total_row, row_id=savings_total_row)</f>
        <v>0</v>
      </c>
      <c r="H30" s="9">
        <f>1*OR(row_id="/1", row_id="/2", row_id=-1)</f>
        <v>1</v>
      </c>
      <c r="I30" s="7" t="str" cm="1">
        <f t="array" ref="I30">IFERROR(INDEX('Budget Planning'!$C:$C, header_row_id), "")</f>
        <v/>
      </c>
      <c r="J30" s="8" t="str" cm="1">
        <f t="array" ref="J30">IFERROR(INDEX('Budget Planning'!$C:$C, row_id), "")</f>
        <v/>
      </c>
      <c r="K30" s="70" t="str" cm="1">
        <f t="array" ref="K30">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30" s="71" t="str" cm="1">
        <f t="array" ref="L30">IF(OR(is_header, is_empty), "", INDEX('Budget Planning'!$E:$CI, row_id, MATCH(IF(selected_period="Total Year", selected_year, DATE(selected_year, selected_period, 1)), 'Budget Planning'!$E$10:$CI$10, 0)))</f>
        <v/>
      </c>
      <c r="M30" s="7" t="str" cm="1">
        <f t="array" ref="M30">IF(is_cat, IF(header_row_id = income_header_row, MATCH(income_min_row, $C:$C, 0), IF(header_row_id = expenses_header_row, MATCH(expenses_min_row, $C:$C, 0), IF(header_row_id = savings_header_row, MATCH(savings_min_row, $C:$C, 0), ""))), "")</f>
        <v/>
      </c>
      <c r="N30" s="9" t="str" cm="1">
        <f t="array" ref="N30">IF(is_cat, IF(header_row_id = income_header_row, MATCH(income_max_row, $C:$C, 0), IF(header_row_id = expenses_header_row, MATCH(expenses_max_row, $C:$C, 0), IF(header_row_id = savings_header_row, MATCH(savings_max_row, $C:$C, 0), ""))), "")</f>
        <v/>
      </c>
      <c r="O30" s="7" t="str">
        <f>IF(is_cat, ADDRESS(sort_min_row, COLUMN(tracked)) &amp; ":" &amp; ADDRESS(sort_max_row, COLUMN(tracked)), "")</f>
        <v/>
      </c>
      <c r="P30" s="8" t="str">
        <f ca="1">IF(is_cat, RANK(tracked, INDIRECT(tracked_range), 0), "")</f>
        <v/>
      </c>
      <c r="Q30" s="8" t="str">
        <f>IF(is_cat, ADDRESS(sort_min_row, COLUMN(budget)) &amp; ":" &amp; ADDRESS(sort_max_row, COLUMN(budget)), "")</f>
        <v/>
      </c>
      <c r="R30" s="9" t="str">
        <f ca="1">IF(is_cat, RANK(budget, INDIRECT(budget_range), 0), "")</f>
        <v/>
      </c>
      <c r="S30" s="7" t="str">
        <f>IF(is_cat, _xlfn.NUMBERVALUE(tracked_rank &amp; budget_rank), "")</f>
        <v/>
      </c>
      <c r="T30" s="8" t="str">
        <f>IF(is_cat, ADDRESS(sort_min_row, COLUMN(comb_rank)) &amp; ":" &amp; ADDRESS(sort_max_row, COLUMN(comb_rank)), "")</f>
        <v/>
      </c>
      <c r="U30" s="8" t="str">
        <f ca="1">IF(is_cat, RANK(comb_rank, INDIRECT(comb_rank_range), 1), "")</f>
        <v/>
      </c>
      <c r="V30" s="8" t="str">
        <f>IF(is_cat, ADDRESS(sort_min_row, COLUMN(comb_rank_norm)) &amp; ":" &amp; ADDRESS(ROW(), COLUMN(comb_rank_norm)), "")</f>
        <v/>
      </c>
      <c r="W30" s="9" t="str">
        <f ca="1">IF(is_cat, comb_rank_norm + COUNTIF(INDIRECT(comb_rank_norm_run_range), comb_rank_norm)-1, "")</f>
        <v/>
      </c>
      <c r="X30" s="73" t="str">
        <f>IF(is_cat, header_row_id + comb_rank_unique, row_id)</f>
        <v>/2</v>
      </c>
      <c r="Y30" s="75" t="str">
        <f>IF(is_empty, "", INDEX($J:$J, MATCH(row_id, $X:$X, 0)))</f>
        <v/>
      </c>
      <c r="Z30" s="78" t="str">
        <f>IF(is_empty, "", IF(is_header, "Tracked", INDEX($K:$K, MATCH(row_id, $X:$X, 0))))</f>
        <v/>
      </c>
      <c r="AA30" s="78" t="str">
        <f>IF(is_empty, "", IF(is_header, "Budget", INDEX($L:$L, MATCH(row_id, $X:$X, 0))))</f>
        <v/>
      </c>
      <c r="AB30" s="77" t="str">
        <f>IF(is_empty, "", IF(is_header, "% Compl.", IFERROR(out_tracked / out_Budget, "-")))</f>
        <v/>
      </c>
      <c r="AC30" s="78" t="str">
        <f>IF(is_empty, "", IF(is_header, "Remaining", IF(out_Budget - out_tracked &gt; 0, out_Budget - out_tracked, 0)))</f>
        <v/>
      </c>
      <c r="AD30" s="78" t="str">
        <f>IF(is_empty, "", IF(is_header, "Excess", IF(out_Budget - out_tracked &lt; 0, out_tracked - out_Budget, 0)))</f>
        <v/>
      </c>
      <c r="AF30" s="7"/>
      <c r="AG30" s="8"/>
      <c r="AH30" s="8"/>
      <c r="AI30" s="96" t="str">
        <f ca="1">Calculations!I36</f>
        <v>Groceries</v>
      </c>
      <c r="AJ30" s="97">
        <f ca="1">Calculations!J36</f>
        <v>400</v>
      </c>
      <c r="AK30" s="9"/>
      <c r="AM30" s="7"/>
      <c r="AN30" s="8"/>
      <c r="AO30" s="8"/>
      <c r="AP30" s="96" t="str">
        <f ca="1">Calculations!M36</f>
        <v>Retirement Account</v>
      </c>
      <c r="AQ30" s="97">
        <f ca="1">Calculations!N36</f>
        <v>400</v>
      </c>
      <c r="AR30" s="9"/>
    </row>
    <row r="31" spans="3:44" x14ac:dyDescent="0.3">
      <c r="C31" s="7" cm="1">
        <f t="array" ref="C31">IF(C30=-1, -1, IF(C30&lt;income_max_row, C30+1, IF(C30=income_max_row, income_total_row, IF(C30=income_total_row, "/1", IF(C30="/1", expenses_header_row, IF(C30&lt;expenses_max_row, C30+1, IF(C30= expenses_max_row, expenses_total_row, IF(C30=expenses_total_row, "/2", IF(C30="/2", savings_header_row, IF(C30&lt;savings_max_row, C30+1, IF(C30=savings_max_row, savings_total_row, -1)))))))))))</f>
        <v>43</v>
      </c>
      <c r="D31" s="9">
        <f>IF(is_header, row_id, IF(NOT(is_empty), D30, -1))</f>
        <v>43</v>
      </c>
      <c r="E31" s="7" cm="1">
        <f t="array" ref="E31">1*OR(row_id=income_header_row, row_id=expenses_header_row, row_id=savings_header_row)</f>
        <v>1</v>
      </c>
      <c r="F31" s="8">
        <f>1*NOT(OR(is_header, is_total, is_empty))</f>
        <v>0</v>
      </c>
      <c r="G31" s="8" cm="1">
        <f t="array" ref="G31">1*OR(row_id=income_total_row, row_id=expenses_total_row, row_id=savings_total_row)</f>
        <v>0</v>
      </c>
      <c r="H31" s="9">
        <f>1*OR(row_id="/1", row_id="/2", row_id=-1)</f>
        <v>0</v>
      </c>
      <c r="I31" s="7" t="str" cm="1">
        <f t="array" ref="I31">IFERROR(INDEX('Budget Planning'!$C:$C, header_row_id), "")</f>
        <v>Savings</v>
      </c>
      <c r="J31" s="8" t="str" cm="1">
        <f t="array" ref="J31">IFERROR(INDEX('Budget Planning'!$C:$C, row_id), "")</f>
        <v>Savings</v>
      </c>
      <c r="K31" s="70" t="str" cm="1">
        <f t="array" ref="K3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31" s="71" t="str" cm="1">
        <f t="array" ref="L31">IF(OR(is_header, is_empty), "", INDEX('Budget Planning'!$E:$CI, row_id, MATCH(IF(selected_period="Total Year", selected_year, DATE(selected_year, selected_period, 1)), 'Budget Planning'!$E$10:$CI$10, 0)))</f>
        <v/>
      </c>
      <c r="M31" s="7" t="str" cm="1">
        <f t="array" ref="M31">IF(is_cat, IF(header_row_id = income_header_row, MATCH(income_min_row, $C:$C, 0), IF(header_row_id = expenses_header_row, MATCH(expenses_min_row, $C:$C, 0), IF(header_row_id = savings_header_row, MATCH(savings_min_row, $C:$C, 0), ""))), "")</f>
        <v/>
      </c>
      <c r="N31" s="9" t="str" cm="1">
        <f t="array" ref="N31">IF(is_cat, IF(header_row_id = income_header_row, MATCH(income_max_row, $C:$C, 0), IF(header_row_id = expenses_header_row, MATCH(expenses_max_row, $C:$C, 0), IF(header_row_id = savings_header_row, MATCH(savings_max_row, $C:$C, 0), ""))), "")</f>
        <v/>
      </c>
      <c r="O31" s="7" t="str">
        <f>IF(is_cat, ADDRESS(sort_min_row, COLUMN(tracked)) &amp; ":" &amp; ADDRESS(sort_max_row, COLUMN(tracked)), "")</f>
        <v/>
      </c>
      <c r="P31" s="8" t="str">
        <f ca="1">IF(is_cat, RANK(tracked, INDIRECT(tracked_range), 0), "")</f>
        <v/>
      </c>
      <c r="Q31" s="8" t="str">
        <f>IF(is_cat, ADDRESS(sort_min_row, COLUMN(budget)) &amp; ":" &amp; ADDRESS(sort_max_row, COLUMN(budget)), "")</f>
        <v/>
      </c>
      <c r="R31" s="9" t="str">
        <f ca="1">IF(is_cat, RANK(budget, INDIRECT(budget_range), 0), "")</f>
        <v/>
      </c>
      <c r="S31" s="7" t="str">
        <f>IF(is_cat, _xlfn.NUMBERVALUE(tracked_rank &amp; budget_rank), "")</f>
        <v/>
      </c>
      <c r="T31" s="8" t="str">
        <f>IF(is_cat, ADDRESS(sort_min_row, COLUMN(comb_rank)) &amp; ":" &amp; ADDRESS(sort_max_row, COLUMN(comb_rank)), "")</f>
        <v/>
      </c>
      <c r="U31" s="8" t="str">
        <f ca="1">IF(is_cat, RANK(comb_rank, INDIRECT(comb_rank_range), 1), "")</f>
        <v/>
      </c>
      <c r="V31" s="8" t="str">
        <f>IF(is_cat, ADDRESS(sort_min_row, COLUMN(comb_rank_norm)) &amp; ":" &amp; ADDRESS(ROW(), COLUMN(comb_rank_norm)), "")</f>
        <v/>
      </c>
      <c r="W31" s="9" t="str">
        <f ca="1">IF(is_cat, comb_rank_norm + COUNTIF(INDIRECT(comb_rank_norm_run_range), comb_rank_norm)-1, "")</f>
        <v/>
      </c>
      <c r="X31" s="73">
        <f>IF(is_cat, header_row_id + comb_rank_unique, row_id)</f>
        <v>43</v>
      </c>
      <c r="Y31" s="75" t="str">
        <f ca="1">IF(is_empty, "", INDEX($J:$J, MATCH(row_id, $X:$X, 0)))</f>
        <v>Savings</v>
      </c>
      <c r="Z31" s="78" t="str">
        <f>IF(is_empty, "", IF(is_header, "Tracked", INDEX($K:$K, MATCH(row_id, $X:$X, 0))))</f>
        <v>Tracked</v>
      </c>
      <c r="AA31" s="78" t="str">
        <f>IF(is_empty, "", IF(is_header, "Budget", INDEX($L:$L, MATCH(row_id, $X:$X, 0))))</f>
        <v>Budget</v>
      </c>
      <c r="AB31" s="77" t="str">
        <f>IF(is_empty, "", IF(is_header, "% Compl.", IFERROR(out_tracked / out_Budget, "-")))</f>
        <v>% Compl.</v>
      </c>
      <c r="AC31" s="78" t="str">
        <f>IF(is_empty, "", IF(is_header, "Remaining", IF(out_Budget - out_tracked &gt; 0, out_Budget - out_tracked, 0)))</f>
        <v>Remaining</v>
      </c>
      <c r="AD31" s="78" t="str">
        <f>IF(is_empty, "", IF(is_header, "Excess", IF(out_Budget - out_tracked &lt; 0, out_tracked - out_Budget, 0)))</f>
        <v>Excess</v>
      </c>
      <c r="AF31" s="7"/>
      <c r="AG31" s="8"/>
      <c r="AH31" s="8"/>
      <c r="AI31" s="96" t="str">
        <f ca="1">Calculations!I37</f>
        <v>Transportation</v>
      </c>
      <c r="AJ31" s="97">
        <f ca="1">Calculations!J37</f>
        <v>380</v>
      </c>
      <c r="AK31" s="9"/>
      <c r="AM31" s="7"/>
      <c r="AN31" s="8"/>
      <c r="AO31" s="8"/>
      <c r="AP31" s="96" t="str">
        <f ca="1">Calculations!M37</f>
        <v>Emergency Fund</v>
      </c>
      <c r="AQ31" s="97">
        <f ca="1">Calculations!N37</f>
        <v>140</v>
      </c>
      <c r="AR31" s="9"/>
    </row>
    <row r="32" spans="3:44" x14ac:dyDescent="0.3">
      <c r="C32" s="7" cm="1">
        <f t="array" ref="C32">IF(C31=-1, -1, IF(C31&lt;income_max_row, C31+1, IF(C31=income_max_row, income_total_row, IF(C31=income_total_row, "/1", IF(C31="/1", expenses_header_row, IF(C31&lt;expenses_max_row, C31+1, IF(C31= expenses_max_row, expenses_total_row, IF(C31=expenses_total_row, "/2", IF(C31="/2", savings_header_row, IF(C31&lt;savings_max_row, C31+1, IF(C31=savings_max_row, savings_total_row, -1)))))))))))</f>
        <v>44</v>
      </c>
      <c r="D32" s="9">
        <f>IF(is_header, row_id, IF(NOT(is_empty), D31, -1))</f>
        <v>43</v>
      </c>
      <c r="E32" s="7" cm="1">
        <f t="array" ref="E32">1*OR(row_id=income_header_row, row_id=expenses_header_row, row_id=savings_header_row)</f>
        <v>0</v>
      </c>
      <c r="F32" s="8">
        <f>1*NOT(OR(is_header, is_total, is_empty))</f>
        <v>1</v>
      </c>
      <c r="G32" s="8" cm="1">
        <f t="array" ref="G32">1*OR(row_id=income_total_row, row_id=expenses_total_row, row_id=savings_total_row)</f>
        <v>0</v>
      </c>
      <c r="H32" s="9">
        <f>1*OR(row_id="/1", row_id="/2", row_id=-1)</f>
        <v>0</v>
      </c>
      <c r="I32" s="7" t="str" cm="1">
        <f t="array" ref="I32">IFERROR(INDEX('Budget Planning'!$C:$C, header_row_id), "")</f>
        <v>Savings</v>
      </c>
      <c r="J32" s="8" t="str" cm="1">
        <f t="array" ref="J32">IFERROR(INDEX('Budget Planning'!$C:$C, row_id), "")</f>
        <v>Emergency Fund</v>
      </c>
      <c r="K32" s="70" cm="1">
        <f t="array" aca="1" ref="K32"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140</v>
      </c>
      <c r="L32" s="71" cm="1">
        <f t="array" aca="1" ref="L32" ca="1">IF(OR(is_header, is_empty), "", INDEX('Budget Planning'!$E:$CI, row_id, MATCH(IF(selected_period="Total Year", selected_year, DATE(selected_year, selected_period, 1)), 'Budget Planning'!$E$10:$CI$10, 0)))</f>
        <v>1000</v>
      </c>
      <c r="M32" s="7" cm="1">
        <f t="array" ref="M32">IF(is_cat, IF(header_row_id = income_header_row, MATCH(income_min_row, $C:$C, 0), IF(header_row_id = expenses_header_row, MATCH(expenses_min_row, $C:$C, 0), IF(header_row_id = savings_header_row, MATCH(savings_min_row, $C:$C, 0), ""))), "")</f>
        <v>32</v>
      </c>
      <c r="N32" s="9" cm="1">
        <f t="array" ref="N32">IF(is_cat, IF(header_row_id = income_header_row, MATCH(income_max_row, $C:$C, 0), IF(header_row_id = expenses_header_row, MATCH(expenses_max_row, $C:$C, 0), IF(header_row_id = savings_header_row, MATCH(savings_max_row, $C:$C, 0), ""))), "")</f>
        <v>36</v>
      </c>
      <c r="O32" s="7" t="str">
        <f>IF(is_cat, ADDRESS(sort_min_row, COLUMN(tracked)) &amp; ":" &amp; ADDRESS(sort_max_row, COLUMN(tracked)), "")</f>
        <v>$K$32:$K$36</v>
      </c>
      <c r="P32" s="8">
        <f ca="1">IF(is_cat, RANK(tracked, INDIRECT(tracked_range), 0), "")</f>
        <v>3</v>
      </c>
      <c r="Q32" s="8" t="str">
        <f>IF(is_cat, ADDRESS(sort_min_row, COLUMN(budget)) &amp; ":" &amp; ADDRESS(sort_max_row, COLUMN(budget)), "")</f>
        <v>$L$32:$L$36</v>
      </c>
      <c r="R32" s="9">
        <f ca="1">IF(is_cat, RANK(budget, INDIRECT(budget_range), 0), "")</f>
        <v>1</v>
      </c>
      <c r="S32" s="7">
        <f ca="1">IF(is_cat, _xlfn.NUMBERVALUE(tracked_rank &amp; budget_rank), "")</f>
        <v>31</v>
      </c>
      <c r="T32" s="8" t="str">
        <f>IF(is_cat, ADDRESS(sort_min_row, COLUMN(comb_rank)) &amp; ":" &amp; ADDRESS(sort_max_row, COLUMN(comb_rank)), "")</f>
        <v>$S$32:$S$36</v>
      </c>
      <c r="U32" s="8">
        <f ca="1">IF(is_cat, RANK(comb_rank, INDIRECT(comb_rank_range), 1), "")</f>
        <v>3</v>
      </c>
      <c r="V32" s="8" t="str">
        <f>IF(is_cat, ADDRESS(sort_min_row, COLUMN(comb_rank_norm)) &amp; ":" &amp; ADDRESS(ROW(), COLUMN(comb_rank_norm)), "")</f>
        <v>$U$32:$U$32</v>
      </c>
      <c r="W32" s="9">
        <f ca="1">IF(is_cat, comb_rank_norm + COUNTIF(INDIRECT(comb_rank_norm_run_range), comb_rank_norm)-1, "")</f>
        <v>3</v>
      </c>
      <c r="X32" s="73">
        <f ca="1">IF(is_cat, header_row_id + comb_rank_unique, row_id)</f>
        <v>46</v>
      </c>
      <c r="Y32" s="75" t="str">
        <f ca="1">IF(is_empty, "", INDEX($J:$J, MATCH(row_id, $X:$X, 0)))</f>
        <v>Stock Portfolio</v>
      </c>
      <c r="Z32" s="78">
        <f ca="1">IF(is_empty, "", IF(is_header, "Tracked", INDEX($K:$K, MATCH(row_id, $X:$X, 0))))</f>
        <v>500</v>
      </c>
      <c r="AA32" s="78">
        <f ca="1">IF(is_empty, "", IF(is_header, "Budget", INDEX($L:$L, MATCH(row_id, $X:$X, 0))))</f>
        <v>150</v>
      </c>
      <c r="AB32" s="77">
        <f ca="1">IF(is_empty, "", IF(is_header, "% Compl.", IFERROR(out_tracked / out_Budget, "-")))</f>
        <v>3.3333333333333335</v>
      </c>
      <c r="AC32" s="78">
        <f ca="1">IF(is_empty, "", IF(is_header, "Remaining", IF(out_Budget - out_tracked &gt; 0, out_Budget - out_tracked, 0)))</f>
        <v>0</v>
      </c>
      <c r="AD32" s="78">
        <f ca="1">IF(is_empty, "", IF(is_header, "Excess", IF(out_Budget - out_tracked &lt; 0, out_tracked - out_Budget, 0)))</f>
        <v>350</v>
      </c>
      <c r="AF32" s="7"/>
      <c r="AG32" s="8"/>
      <c r="AH32" s="8"/>
      <c r="AI32" s="96" t="str">
        <f ca="1">Calculations!I38</f>
        <v>Utlities</v>
      </c>
      <c r="AJ32" s="97">
        <f ca="1">Calculations!J38</f>
        <v>300</v>
      </c>
      <c r="AK32" s="9"/>
      <c r="AM32" s="7"/>
      <c r="AN32" s="8"/>
      <c r="AO32" s="8"/>
      <c r="AP32" s="96" t="str">
        <f ca="1">Calculations!M38</f>
        <v/>
      </c>
      <c r="AQ32" s="97" t="str">
        <f ca="1">Calculations!N38</f>
        <v/>
      </c>
      <c r="AR32" s="9"/>
    </row>
    <row r="33" spans="3:44" x14ac:dyDescent="0.3">
      <c r="C33" s="7" cm="1">
        <f t="array" ref="C33">IF(C32=-1, -1, IF(C32&lt;income_max_row, C32+1, IF(C32=income_max_row, income_total_row, IF(C32=income_total_row, "/1", IF(C32="/1", expenses_header_row, IF(C32&lt;expenses_max_row, C32+1, IF(C32= expenses_max_row, expenses_total_row, IF(C32=expenses_total_row, "/2", IF(C32="/2", savings_header_row, IF(C32&lt;savings_max_row, C32+1, IF(C32=savings_max_row, savings_total_row, -1)))))))))))</f>
        <v>45</v>
      </c>
      <c r="D33" s="9">
        <f>IF(is_header, row_id, IF(NOT(is_empty), D32, -1))</f>
        <v>43</v>
      </c>
      <c r="E33" s="7" cm="1">
        <f t="array" ref="E33">1*OR(row_id=income_header_row, row_id=expenses_header_row, row_id=savings_header_row)</f>
        <v>0</v>
      </c>
      <c r="F33" s="8">
        <f>1*NOT(OR(is_header, is_total, is_empty))</f>
        <v>1</v>
      </c>
      <c r="G33" s="8" cm="1">
        <f t="array" ref="G33">1*OR(row_id=income_total_row, row_id=expenses_total_row, row_id=savings_total_row)</f>
        <v>0</v>
      </c>
      <c r="H33" s="9">
        <f>1*OR(row_id="/1", row_id="/2", row_id=-1)</f>
        <v>0</v>
      </c>
      <c r="I33" s="7" t="str" cm="1">
        <f t="array" ref="I33">IFERROR(INDEX('Budget Planning'!$C:$C, header_row_id), "")</f>
        <v>Savings</v>
      </c>
      <c r="J33" s="8" t="str" cm="1">
        <f t="array" ref="J33">IFERROR(INDEX('Budget Planning'!$C:$C, row_id), "")</f>
        <v>Retirement Account</v>
      </c>
      <c r="K33" s="70" cm="1">
        <f t="array" aca="1" ref="K33"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400</v>
      </c>
      <c r="L33" s="71" cm="1">
        <f t="array" aca="1" ref="L33" ca="1">IF(OR(is_header, is_empty), "", INDEX('Budget Planning'!$E:$CI, row_id, MATCH(IF(selected_period="Total Year", selected_year, DATE(selected_year, selected_period, 1)), 'Budget Planning'!$E$10:$CI$10, 0)))</f>
        <v>400</v>
      </c>
      <c r="M33" s="7" cm="1">
        <f t="array" ref="M33">IF(is_cat, IF(header_row_id = income_header_row, MATCH(income_min_row, $C:$C, 0), IF(header_row_id = expenses_header_row, MATCH(expenses_min_row, $C:$C, 0), IF(header_row_id = savings_header_row, MATCH(savings_min_row, $C:$C, 0), ""))), "")</f>
        <v>32</v>
      </c>
      <c r="N33" s="9" cm="1">
        <f t="array" ref="N33">IF(is_cat, IF(header_row_id = income_header_row, MATCH(income_max_row, $C:$C, 0), IF(header_row_id = expenses_header_row, MATCH(expenses_max_row, $C:$C, 0), IF(header_row_id = savings_header_row, MATCH(savings_max_row, $C:$C, 0), ""))), "")</f>
        <v>36</v>
      </c>
      <c r="O33" s="7" t="str">
        <f>IF(is_cat, ADDRESS(sort_min_row, COLUMN(tracked)) &amp; ":" &amp; ADDRESS(sort_max_row, COLUMN(tracked)), "")</f>
        <v>$K$32:$K$36</v>
      </c>
      <c r="P33" s="8">
        <f ca="1">IF(is_cat, RANK(tracked, INDIRECT(tracked_range), 0), "")</f>
        <v>2</v>
      </c>
      <c r="Q33" s="8" t="str">
        <f>IF(is_cat, ADDRESS(sort_min_row, COLUMN(budget)) &amp; ":" &amp; ADDRESS(sort_max_row, COLUMN(budget)), "")</f>
        <v>$L$32:$L$36</v>
      </c>
      <c r="R33" s="9">
        <f ca="1">IF(is_cat, RANK(budget, INDIRECT(budget_range), 0), "")</f>
        <v>2</v>
      </c>
      <c r="S33" s="7">
        <f ca="1">IF(is_cat, _xlfn.NUMBERVALUE(tracked_rank &amp; budget_rank), "")</f>
        <v>22</v>
      </c>
      <c r="T33" s="8" t="str">
        <f>IF(is_cat, ADDRESS(sort_min_row, COLUMN(comb_rank)) &amp; ":" &amp; ADDRESS(sort_max_row, COLUMN(comb_rank)), "")</f>
        <v>$S$32:$S$36</v>
      </c>
      <c r="U33" s="8">
        <f ca="1">IF(is_cat, RANK(comb_rank, INDIRECT(comb_rank_range), 1), "")</f>
        <v>2</v>
      </c>
      <c r="V33" s="8" t="str">
        <f>IF(is_cat, ADDRESS(sort_min_row, COLUMN(comb_rank_norm)) &amp; ":" &amp; ADDRESS(ROW(), COLUMN(comb_rank_norm)), "")</f>
        <v>$U$32:$U$33</v>
      </c>
      <c r="W33" s="9">
        <f ca="1">IF(is_cat, comb_rank_norm + COUNTIF(INDIRECT(comb_rank_norm_run_range), comb_rank_norm)-1, "")</f>
        <v>2</v>
      </c>
      <c r="X33" s="73">
        <f ca="1">IF(is_cat, header_row_id + comb_rank_unique, row_id)</f>
        <v>45</v>
      </c>
      <c r="Y33" s="75" t="str">
        <f ca="1">IF(is_empty, "", INDEX($J:$J, MATCH(row_id, $X:$X, 0)))</f>
        <v>Retirement Account</v>
      </c>
      <c r="Z33" s="78">
        <f ca="1">IF(is_empty, "", IF(is_header, "Tracked", INDEX($K:$K, MATCH(row_id, $X:$X, 0))))</f>
        <v>400</v>
      </c>
      <c r="AA33" s="78">
        <f ca="1">IF(is_empty, "", IF(is_header, "Budget", INDEX($L:$L, MATCH(row_id, $X:$X, 0))))</f>
        <v>400</v>
      </c>
      <c r="AB33" s="77">
        <f ca="1">IF(is_empty, "", IF(is_header, "% Compl.", IFERROR(out_tracked / out_Budget, "-")))</f>
        <v>1</v>
      </c>
      <c r="AC33" s="78">
        <f ca="1">IF(is_empty, "", IF(is_header, "Remaining", IF(out_Budget - out_tracked &gt; 0, out_Budget - out_tracked, 0)))</f>
        <v>0</v>
      </c>
      <c r="AD33" s="78">
        <f ca="1">IF(is_empty, "", IF(is_header, "Excess", IF(out_Budget - out_tracked &lt; 0, out_tracked - out_Budget, 0)))</f>
        <v>0</v>
      </c>
      <c r="AF33" s="7"/>
      <c r="AG33" s="8"/>
      <c r="AH33" s="8"/>
      <c r="AI33" s="96" t="str">
        <f ca="1">Calculations!I39</f>
        <v>Body Care &amp; Medicine</v>
      </c>
      <c r="AJ33" s="97">
        <f ca="1">Calculations!J39</f>
        <v>270</v>
      </c>
      <c r="AK33" s="9"/>
      <c r="AM33" s="7"/>
      <c r="AN33" s="8"/>
      <c r="AO33" s="8"/>
      <c r="AP33" s="96" t="str">
        <f ca="1">Calculations!M39</f>
        <v/>
      </c>
      <c r="AQ33" s="97" t="str">
        <f ca="1">Calculations!N39</f>
        <v/>
      </c>
      <c r="AR33" s="9"/>
    </row>
    <row r="34" spans="3:44" x14ac:dyDescent="0.3">
      <c r="C34" s="7" cm="1">
        <f t="array" ref="C34">IF(C33=-1, -1, IF(C33&lt;income_max_row, C33+1, IF(C33=income_max_row, income_total_row, IF(C33=income_total_row, "/1", IF(C33="/1", expenses_header_row, IF(C33&lt;expenses_max_row, C33+1, IF(C33= expenses_max_row, expenses_total_row, IF(C33=expenses_total_row, "/2", IF(C33="/2", savings_header_row, IF(C33&lt;savings_max_row, C33+1, IF(C33=savings_max_row, savings_total_row, -1)))))))))))</f>
        <v>46</v>
      </c>
      <c r="D34" s="9">
        <f>IF(is_header, row_id, IF(NOT(is_empty), D33, -1))</f>
        <v>43</v>
      </c>
      <c r="E34" s="7" cm="1">
        <f t="array" ref="E34">1*OR(row_id=income_header_row, row_id=expenses_header_row, row_id=savings_header_row)</f>
        <v>0</v>
      </c>
      <c r="F34" s="8">
        <f>1*NOT(OR(is_header, is_total, is_empty))</f>
        <v>1</v>
      </c>
      <c r="G34" s="8" cm="1">
        <f t="array" ref="G34">1*OR(row_id=income_total_row, row_id=expenses_total_row, row_id=savings_total_row)</f>
        <v>0</v>
      </c>
      <c r="H34" s="9">
        <f>1*OR(row_id="/1", row_id="/2", row_id=-1)</f>
        <v>0</v>
      </c>
      <c r="I34" s="7" t="str" cm="1">
        <f t="array" ref="I34">IFERROR(INDEX('Budget Planning'!$C:$C, header_row_id), "")</f>
        <v>Savings</v>
      </c>
      <c r="J34" s="8" t="str" cm="1">
        <f t="array" ref="J34">IFERROR(INDEX('Budget Planning'!$C:$C, row_id), "")</f>
        <v>Stock Portfolio</v>
      </c>
      <c r="K34" s="70" cm="1">
        <f t="array" aca="1" ref="K34"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500</v>
      </c>
      <c r="L34" s="71" cm="1">
        <f t="array" aca="1" ref="L34" ca="1">IF(OR(is_header, is_empty), "", INDEX('Budget Planning'!$E:$CI, row_id, MATCH(IF(selected_period="Total Year", selected_year, DATE(selected_year, selected_period, 1)), 'Budget Planning'!$E$10:$CI$10, 0)))</f>
        <v>150</v>
      </c>
      <c r="M34" s="7" cm="1">
        <f t="array" ref="M34">IF(is_cat, IF(header_row_id = income_header_row, MATCH(income_min_row, $C:$C, 0), IF(header_row_id = expenses_header_row, MATCH(expenses_min_row, $C:$C, 0), IF(header_row_id = savings_header_row, MATCH(savings_min_row, $C:$C, 0), ""))), "")</f>
        <v>32</v>
      </c>
      <c r="N34" s="9" cm="1">
        <f t="array" ref="N34">IF(is_cat, IF(header_row_id = income_header_row, MATCH(income_max_row, $C:$C, 0), IF(header_row_id = expenses_header_row, MATCH(expenses_max_row, $C:$C, 0), IF(header_row_id = savings_header_row, MATCH(savings_max_row, $C:$C, 0), ""))), "")</f>
        <v>36</v>
      </c>
      <c r="O34" s="7" t="str">
        <f>IF(is_cat, ADDRESS(sort_min_row, COLUMN(tracked)) &amp; ":" &amp; ADDRESS(sort_max_row, COLUMN(tracked)), "")</f>
        <v>$K$32:$K$36</v>
      </c>
      <c r="P34" s="8">
        <f ca="1">IF(is_cat, RANK(tracked, INDIRECT(tracked_range), 0), "")</f>
        <v>1</v>
      </c>
      <c r="Q34" s="8" t="str">
        <f>IF(is_cat, ADDRESS(sort_min_row, COLUMN(budget)) &amp; ":" &amp; ADDRESS(sort_max_row, COLUMN(budget)), "")</f>
        <v>$L$32:$L$36</v>
      </c>
      <c r="R34" s="9">
        <f ca="1">IF(is_cat, RANK(budget, INDIRECT(budget_range), 0), "")</f>
        <v>3</v>
      </c>
      <c r="S34" s="7">
        <f ca="1">IF(is_cat, _xlfn.NUMBERVALUE(tracked_rank &amp; budget_rank), "")</f>
        <v>13</v>
      </c>
      <c r="T34" s="8" t="str">
        <f>IF(is_cat, ADDRESS(sort_min_row, COLUMN(comb_rank)) &amp; ":" &amp; ADDRESS(sort_max_row, COLUMN(comb_rank)), "")</f>
        <v>$S$32:$S$36</v>
      </c>
      <c r="U34" s="8">
        <f ca="1">IF(is_cat, RANK(comb_rank, INDIRECT(comb_rank_range), 1), "")</f>
        <v>1</v>
      </c>
      <c r="V34" s="8" t="str">
        <f>IF(is_cat, ADDRESS(sort_min_row, COLUMN(comb_rank_norm)) &amp; ":" &amp; ADDRESS(ROW(), COLUMN(comb_rank_norm)), "")</f>
        <v>$U$32:$U$34</v>
      </c>
      <c r="W34" s="9">
        <f ca="1">IF(is_cat, comb_rank_norm + COUNTIF(INDIRECT(comb_rank_norm_run_range), comb_rank_norm)-1, "")</f>
        <v>1</v>
      </c>
      <c r="X34" s="73">
        <f ca="1">IF(is_cat, header_row_id + comb_rank_unique, row_id)</f>
        <v>44</v>
      </c>
      <c r="Y34" s="75" t="str">
        <f ca="1">IF(is_empty, "", INDEX($J:$J, MATCH(row_id, $X:$X, 0)))</f>
        <v>Emergency Fund</v>
      </c>
      <c r="Z34" s="78">
        <f ca="1">IF(is_empty, "", IF(is_header, "Tracked", INDEX($K:$K, MATCH(row_id, $X:$X, 0))))</f>
        <v>140</v>
      </c>
      <c r="AA34" s="78">
        <f ca="1">IF(is_empty, "", IF(is_header, "Budget", INDEX($L:$L, MATCH(row_id, $X:$X, 0))))</f>
        <v>1000</v>
      </c>
      <c r="AB34" s="77">
        <f ca="1">IF(is_empty, "", IF(is_header, "% Compl.", IFERROR(out_tracked / out_Budget, "-")))</f>
        <v>0.14000000000000001</v>
      </c>
      <c r="AC34" s="78">
        <f ca="1">IF(is_empty, "", IF(is_header, "Remaining", IF(out_Budget - out_tracked &gt; 0, out_Budget - out_tracked, 0)))</f>
        <v>860</v>
      </c>
      <c r="AD34" s="78">
        <f ca="1">IF(is_empty, "", IF(is_header, "Excess", IF(out_Budget - out_tracked &lt; 0, out_tracked - out_Budget, 0)))</f>
        <v>0</v>
      </c>
      <c r="AF34" s="7"/>
      <c r="AG34" s="8"/>
      <c r="AH34" s="8"/>
      <c r="AI34" s="96" t="str">
        <f ca="1">Calculations!I40</f>
        <v>Others</v>
      </c>
      <c r="AJ34" s="97">
        <f ca="1">Calculations!J40</f>
        <v>460</v>
      </c>
      <c r="AK34" s="9"/>
      <c r="AM34" s="7"/>
      <c r="AN34" s="8"/>
      <c r="AO34" s="8"/>
      <c r="AP34" s="96" t="str">
        <f ca="1">Calculations!M40</f>
        <v/>
      </c>
      <c r="AQ34" s="97" t="str">
        <f ca="1">Calculations!N40</f>
        <v/>
      </c>
      <c r="AR34" s="9"/>
    </row>
    <row r="35" spans="3:44" x14ac:dyDescent="0.3">
      <c r="C35" s="7" cm="1">
        <f t="array" ref="C35">IF(C34=-1, -1, IF(C34&lt;income_max_row, C34+1, IF(C34=income_max_row, income_total_row, IF(C34=income_total_row, "/1", IF(C34="/1", expenses_header_row, IF(C34&lt;expenses_max_row, C34+1, IF(C34= expenses_max_row, expenses_total_row, IF(C34=expenses_total_row, "/2", IF(C34="/2", savings_header_row, IF(C34&lt;savings_max_row, C34+1, IF(C34=savings_max_row, savings_total_row, -1)))))))))))</f>
        <v>47</v>
      </c>
      <c r="D35" s="9">
        <f>IF(is_header, row_id, IF(NOT(is_empty), D34, -1))</f>
        <v>43</v>
      </c>
      <c r="E35" s="7" cm="1">
        <f t="array" ref="E35">1*OR(row_id=income_header_row, row_id=expenses_header_row, row_id=savings_header_row)</f>
        <v>0</v>
      </c>
      <c r="F35" s="8">
        <f>1*NOT(OR(is_header, is_total, is_empty))</f>
        <v>1</v>
      </c>
      <c r="G35" s="8" cm="1">
        <f t="array" ref="G35">1*OR(row_id=income_total_row, row_id=expenses_total_row, row_id=savings_total_row)</f>
        <v>0</v>
      </c>
      <c r="H35" s="9">
        <f>1*OR(row_id="/1", row_id="/2", row_id=-1)</f>
        <v>0</v>
      </c>
      <c r="I35" s="7" t="str" cm="1">
        <f t="array" ref="I35">IFERROR(INDEX('Budget Planning'!$C:$C, header_row_id), "")</f>
        <v>Savings</v>
      </c>
      <c r="J35" s="8" t="str" cm="1">
        <f t="array" ref="J35">IFERROR(INDEX('Budget Planning'!$C:$C, row_id), "")</f>
        <v>Sinking Fund Down Payment</v>
      </c>
      <c r="K35" s="70" cm="1">
        <f t="array" aca="1" ref="K35"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0</v>
      </c>
      <c r="L35" s="71" cm="1">
        <f t="array" aca="1" ref="L35" ca="1">IF(OR(is_header, is_empty), "", INDEX('Budget Planning'!$E:$CI, row_id, MATCH(IF(selected_period="Total Year", selected_year, DATE(selected_year, selected_period, 1)), 'Budget Planning'!$E$10:$CI$10, 0)))</f>
        <v>0</v>
      </c>
      <c r="M35" s="7" cm="1">
        <f t="array" ref="M35">IF(is_cat, IF(header_row_id = income_header_row, MATCH(income_min_row, $C:$C, 0), IF(header_row_id = expenses_header_row, MATCH(expenses_min_row, $C:$C, 0), IF(header_row_id = savings_header_row, MATCH(savings_min_row, $C:$C, 0), ""))), "")</f>
        <v>32</v>
      </c>
      <c r="N35" s="9" cm="1">
        <f t="array" ref="N35">IF(is_cat, IF(header_row_id = income_header_row, MATCH(income_max_row, $C:$C, 0), IF(header_row_id = expenses_header_row, MATCH(expenses_max_row, $C:$C, 0), IF(header_row_id = savings_header_row, MATCH(savings_max_row, $C:$C, 0), ""))), "")</f>
        <v>36</v>
      </c>
      <c r="O35" s="7" t="str">
        <f>IF(is_cat, ADDRESS(sort_min_row, COLUMN(tracked)) &amp; ":" &amp; ADDRESS(sort_max_row, COLUMN(tracked)), "")</f>
        <v>$K$32:$K$36</v>
      </c>
      <c r="P35" s="8">
        <f ca="1">IF(is_cat, RANK(tracked, INDIRECT(tracked_range), 0), "")</f>
        <v>4</v>
      </c>
      <c r="Q35" s="8" t="str">
        <f>IF(is_cat, ADDRESS(sort_min_row, COLUMN(budget)) &amp; ":" &amp; ADDRESS(sort_max_row, COLUMN(budget)), "")</f>
        <v>$L$32:$L$36</v>
      </c>
      <c r="R35" s="9">
        <f ca="1">IF(is_cat, RANK(budget, INDIRECT(budget_range), 0), "")</f>
        <v>5</v>
      </c>
      <c r="S35" s="7">
        <f ca="1">IF(is_cat, _xlfn.NUMBERVALUE(tracked_rank &amp; budget_rank), "")</f>
        <v>45</v>
      </c>
      <c r="T35" s="8" t="str">
        <f>IF(is_cat, ADDRESS(sort_min_row, COLUMN(comb_rank)) &amp; ":" &amp; ADDRESS(sort_max_row, COLUMN(comb_rank)), "")</f>
        <v>$S$32:$S$36</v>
      </c>
      <c r="U35" s="8">
        <f ca="1">IF(is_cat, RANK(comb_rank, INDIRECT(comb_rank_range), 1), "")</f>
        <v>5</v>
      </c>
      <c r="V35" s="8" t="str">
        <f>IF(is_cat, ADDRESS(sort_min_row, COLUMN(comb_rank_norm)) &amp; ":" &amp; ADDRESS(ROW(), COLUMN(comb_rank_norm)), "")</f>
        <v>$U$32:$U$35</v>
      </c>
      <c r="W35" s="9">
        <f ca="1">IF(is_cat, comb_rank_norm + COUNTIF(INDIRECT(comb_rank_norm_run_range), comb_rank_norm)-1, "")</f>
        <v>5</v>
      </c>
      <c r="X35" s="73">
        <f ca="1">IF(is_cat, header_row_id + comb_rank_unique, row_id)</f>
        <v>48</v>
      </c>
      <c r="Y35" s="75" t="str">
        <f ca="1">IF(is_empty, "", INDEX($J:$J, MATCH(row_id, $X:$X, 0)))</f>
        <v>Sinking Fund Rest</v>
      </c>
      <c r="Z35" s="78">
        <f ca="1">IF(is_empty, "", IF(is_header, "Tracked", INDEX($K:$K, MATCH(row_id, $X:$X, 0))))</f>
        <v>0</v>
      </c>
      <c r="AA35" s="78">
        <f ca="1">IF(is_empty, "", IF(is_header, "Budget", INDEX($L:$L, MATCH(row_id, $X:$X, 0))))</f>
        <v>100</v>
      </c>
      <c r="AB35" s="77">
        <f ca="1">IF(is_empty, "", IF(is_header, "% Compl.", IFERROR(out_tracked / out_Budget, "-")))</f>
        <v>0</v>
      </c>
      <c r="AC35" s="78">
        <f ca="1">IF(is_empty, "", IF(is_header, "Remaining", IF(out_Budget - out_tracked &gt; 0, out_Budget - out_tracked, 0)))</f>
        <v>100</v>
      </c>
      <c r="AD35" s="78">
        <f ca="1">IF(is_empty, "", IF(is_header, "Excess", IF(out_Budget - out_tracked &lt; 0, out_tracked - out_Budget, 0)))</f>
        <v>0</v>
      </c>
      <c r="AF35" s="7"/>
      <c r="AG35" s="8"/>
      <c r="AH35" s="8"/>
      <c r="AI35" s="98" t="str">
        <f>Calculations!I41</f>
        <v>Total</v>
      </c>
      <c r="AJ35" s="99">
        <f ca="1">Calculations!J41</f>
        <v>3010</v>
      </c>
      <c r="AK35" s="9"/>
      <c r="AM35" s="7"/>
      <c r="AN35" s="8"/>
      <c r="AO35" s="8"/>
      <c r="AP35" s="98" t="str">
        <f>Calculations!M41</f>
        <v>Total</v>
      </c>
      <c r="AQ35" s="99">
        <f ca="1">Calculations!N41</f>
        <v>1040</v>
      </c>
      <c r="AR35" s="9"/>
    </row>
    <row r="36" spans="3:44" x14ac:dyDescent="0.3">
      <c r="C36" s="7" cm="1">
        <f t="array" ref="C36">IF(C35=-1, -1, IF(C35&lt;income_max_row, C35+1, IF(C35=income_max_row, income_total_row, IF(C35=income_total_row, "/1", IF(C35="/1", expenses_header_row, IF(C35&lt;expenses_max_row, C35+1, IF(C35= expenses_max_row, expenses_total_row, IF(C35=expenses_total_row, "/2", IF(C35="/2", savings_header_row, IF(C35&lt;savings_max_row, C35+1, IF(C35=savings_max_row, savings_total_row, -1)))))))))))</f>
        <v>48</v>
      </c>
      <c r="D36" s="9">
        <f>IF(is_header, row_id, IF(NOT(is_empty), D35, -1))</f>
        <v>43</v>
      </c>
      <c r="E36" s="7" cm="1">
        <f t="array" ref="E36">1*OR(row_id=income_header_row, row_id=expenses_header_row, row_id=savings_header_row)</f>
        <v>0</v>
      </c>
      <c r="F36" s="8">
        <f>1*NOT(OR(is_header, is_total, is_empty))</f>
        <v>1</v>
      </c>
      <c r="G36" s="8" cm="1">
        <f t="array" ref="G36">1*OR(row_id=income_total_row, row_id=expenses_total_row, row_id=savings_total_row)</f>
        <v>0</v>
      </c>
      <c r="H36" s="9">
        <f>1*OR(row_id="/1", row_id="/2", row_id=-1)</f>
        <v>0</v>
      </c>
      <c r="I36" s="7" t="str" cm="1">
        <f t="array" ref="I36">IFERROR(INDEX('Budget Planning'!$C:$C, header_row_id), "")</f>
        <v>Savings</v>
      </c>
      <c r="J36" s="8" t="str" cm="1">
        <f t="array" ref="J36">IFERROR(INDEX('Budget Planning'!$C:$C, row_id), "")</f>
        <v>Sinking Fund Rest</v>
      </c>
      <c r="K36" s="70" cm="1">
        <f t="array" aca="1" ref="K36"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0</v>
      </c>
      <c r="L36" s="71" cm="1">
        <f t="array" aca="1" ref="L36" ca="1">IF(OR(is_header, is_empty), "", INDEX('Budget Planning'!$E:$CI, row_id, MATCH(IF(selected_period="Total Year", selected_year, DATE(selected_year, selected_period, 1)), 'Budget Planning'!$E$10:$CI$10, 0)))</f>
        <v>100</v>
      </c>
      <c r="M36" s="7" cm="1">
        <f t="array" ref="M36">IF(is_cat, IF(header_row_id = income_header_row, MATCH(income_min_row, $C:$C, 0), IF(header_row_id = expenses_header_row, MATCH(expenses_min_row, $C:$C, 0), IF(header_row_id = savings_header_row, MATCH(savings_min_row, $C:$C, 0), ""))), "")</f>
        <v>32</v>
      </c>
      <c r="N36" s="9" cm="1">
        <f t="array" ref="N36">IF(is_cat, IF(header_row_id = income_header_row, MATCH(income_max_row, $C:$C, 0), IF(header_row_id = expenses_header_row, MATCH(expenses_max_row, $C:$C, 0), IF(header_row_id = savings_header_row, MATCH(savings_max_row, $C:$C, 0), ""))), "")</f>
        <v>36</v>
      </c>
      <c r="O36" s="7" t="str">
        <f>IF(is_cat, ADDRESS(sort_min_row, COLUMN(tracked)) &amp; ":" &amp; ADDRESS(sort_max_row, COLUMN(tracked)), "")</f>
        <v>$K$32:$K$36</v>
      </c>
      <c r="P36" s="8">
        <f ca="1">IF(is_cat, RANK(tracked, INDIRECT(tracked_range), 0), "")</f>
        <v>4</v>
      </c>
      <c r="Q36" s="8" t="str">
        <f>IF(is_cat, ADDRESS(sort_min_row, COLUMN(budget)) &amp; ":" &amp; ADDRESS(sort_max_row, COLUMN(budget)), "")</f>
        <v>$L$32:$L$36</v>
      </c>
      <c r="R36" s="9">
        <f ca="1">IF(is_cat, RANK(budget, INDIRECT(budget_range), 0), "")</f>
        <v>4</v>
      </c>
      <c r="S36" s="7">
        <f ca="1">IF(is_cat, _xlfn.NUMBERVALUE(tracked_rank &amp; budget_rank), "")</f>
        <v>44</v>
      </c>
      <c r="T36" s="8" t="str">
        <f>IF(is_cat, ADDRESS(sort_min_row, COLUMN(comb_rank)) &amp; ":" &amp; ADDRESS(sort_max_row, COLUMN(comb_rank)), "")</f>
        <v>$S$32:$S$36</v>
      </c>
      <c r="U36" s="8">
        <f ca="1">IF(is_cat, RANK(comb_rank, INDIRECT(comb_rank_range), 1), "")</f>
        <v>4</v>
      </c>
      <c r="V36" s="8" t="str">
        <f>IF(is_cat, ADDRESS(sort_min_row, COLUMN(comb_rank_norm)) &amp; ":" &amp; ADDRESS(ROW(), COLUMN(comb_rank_norm)), "")</f>
        <v>$U$32:$U$36</v>
      </c>
      <c r="W36" s="9">
        <f ca="1">IF(is_cat, comb_rank_norm + COUNTIF(INDIRECT(comb_rank_norm_run_range), comb_rank_norm)-1, "")</f>
        <v>4</v>
      </c>
      <c r="X36" s="73">
        <f ca="1">IF(is_cat, header_row_id + comb_rank_unique, row_id)</f>
        <v>47</v>
      </c>
      <c r="Y36" s="75" t="str">
        <f ca="1">IF(is_empty, "", INDEX($J:$J, MATCH(row_id, $X:$X, 0)))</f>
        <v>Sinking Fund Down Payment</v>
      </c>
      <c r="Z36" s="78">
        <f ca="1">IF(is_empty, "", IF(is_header, "Tracked", INDEX($K:$K, MATCH(row_id, $X:$X, 0))))</f>
        <v>0</v>
      </c>
      <c r="AA36" s="78">
        <f ca="1">IF(is_empty, "", IF(is_header, "Budget", INDEX($L:$L, MATCH(row_id, $X:$X, 0))))</f>
        <v>0</v>
      </c>
      <c r="AB36" s="77" t="str">
        <f ca="1">IF(is_empty, "", IF(is_header, "% Compl.", IFERROR(out_tracked / out_Budget, "-")))</f>
        <v>-</v>
      </c>
      <c r="AC36" s="78">
        <f ca="1">IF(is_empty, "", IF(is_header, "Remaining", IF(out_Budget - out_tracked &gt; 0, out_Budget - out_tracked, 0)))</f>
        <v>0</v>
      </c>
      <c r="AD36" s="78">
        <f ca="1">IF(is_empty, "", IF(is_header, "Excess", IF(out_Budget - out_tracked &lt; 0, out_tracked - out_Budget, 0)))</f>
        <v>0</v>
      </c>
      <c r="AF36" s="7"/>
      <c r="AG36" s="8"/>
      <c r="AH36" s="8"/>
      <c r="AI36" s="8"/>
      <c r="AJ36" s="8"/>
      <c r="AK36" s="9"/>
      <c r="AM36" s="7"/>
      <c r="AN36" s="8"/>
      <c r="AO36" s="8"/>
      <c r="AP36" s="8"/>
      <c r="AQ36" s="8"/>
      <c r="AR36" s="9"/>
    </row>
    <row r="37" spans="3:44" x14ac:dyDescent="0.3">
      <c r="C37" s="7" cm="1">
        <f t="array" ref="C37">IF(C36=-1, -1, IF(C36&lt;income_max_row, C36+1, IF(C36=income_max_row, income_total_row, IF(C36=income_total_row, "/1", IF(C36="/1", expenses_header_row, IF(C36&lt;expenses_max_row, C36+1, IF(C36= expenses_max_row, expenses_total_row, IF(C36=expenses_total_row, "/2", IF(C36="/2", savings_header_row, IF(C36&lt;savings_max_row, C36+1, IF(C36=savings_max_row, savings_total_row, -1)))))))))))</f>
        <v>59</v>
      </c>
      <c r="D37" s="9">
        <f>IF(is_header, row_id, IF(NOT(is_empty), D36, -1))</f>
        <v>43</v>
      </c>
      <c r="E37" s="7" cm="1">
        <f t="array" ref="E37">1*OR(row_id=income_header_row, row_id=expenses_header_row, row_id=savings_header_row)</f>
        <v>0</v>
      </c>
      <c r="F37" s="8">
        <f>1*NOT(OR(is_header, is_total, is_empty))</f>
        <v>0</v>
      </c>
      <c r="G37" s="8" cm="1">
        <f t="array" ref="G37">1*OR(row_id=income_total_row, row_id=expenses_total_row, row_id=savings_total_row)</f>
        <v>1</v>
      </c>
      <c r="H37" s="9">
        <f>1*OR(row_id="/1", row_id="/2", row_id=-1)</f>
        <v>0</v>
      </c>
      <c r="I37" s="7" t="str" cm="1">
        <f t="array" ref="I37">IFERROR(INDEX('Budget Planning'!$C:$C, header_row_id), "")</f>
        <v>Savings</v>
      </c>
      <c r="J37" s="8" t="str" cm="1">
        <f t="array" ref="J37">IFERROR(INDEX('Budget Planning'!$C:$C, row_id), "")</f>
        <v>Total</v>
      </c>
      <c r="K37" s="70" cm="1">
        <f t="array" aca="1" ref="K37" ca="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1040</v>
      </c>
      <c r="L37" s="71" cm="1">
        <f t="array" aca="1" ref="L37" ca="1">IF(OR(is_header, is_empty), "", INDEX('Budget Planning'!$E:$CI, row_id, MATCH(IF(selected_period="Total Year", selected_year, DATE(selected_year, selected_period, 1)), 'Budget Planning'!$E$10:$CI$10, 0)))</f>
        <v>1650</v>
      </c>
      <c r="M37" s="7" t="str" cm="1">
        <f t="array" ref="M37">IF(is_cat, IF(header_row_id = income_header_row, MATCH(income_min_row, $C:$C, 0), IF(header_row_id = expenses_header_row, MATCH(expenses_min_row, $C:$C, 0), IF(header_row_id = savings_header_row, MATCH(savings_min_row, $C:$C, 0), ""))), "")</f>
        <v/>
      </c>
      <c r="N37" s="9" t="str" cm="1">
        <f t="array" ref="N37">IF(is_cat, IF(header_row_id = income_header_row, MATCH(income_max_row, $C:$C, 0), IF(header_row_id = expenses_header_row, MATCH(expenses_max_row, $C:$C, 0), IF(header_row_id = savings_header_row, MATCH(savings_max_row, $C:$C, 0), ""))), "")</f>
        <v/>
      </c>
      <c r="O37" s="7" t="str">
        <f>IF(is_cat, ADDRESS(sort_min_row, COLUMN(tracked)) &amp; ":" &amp; ADDRESS(sort_max_row, COLUMN(tracked)), "")</f>
        <v/>
      </c>
      <c r="P37" s="8" t="str">
        <f ca="1">IF(is_cat, RANK(tracked, INDIRECT(tracked_range), 0), "")</f>
        <v/>
      </c>
      <c r="Q37" s="8" t="str">
        <f>IF(is_cat, ADDRESS(sort_min_row, COLUMN(budget)) &amp; ":" &amp; ADDRESS(sort_max_row, COLUMN(budget)), "")</f>
        <v/>
      </c>
      <c r="R37" s="9" t="str">
        <f ca="1">IF(is_cat, RANK(budget, INDIRECT(budget_range), 0), "")</f>
        <v/>
      </c>
      <c r="S37" s="7" t="str">
        <f>IF(is_cat, _xlfn.NUMBERVALUE(tracked_rank &amp; budget_rank), "")</f>
        <v/>
      </c>
      <c r="T37" s="8" t="str">
        <f>IF(is_cat, ADDRESS(sort_min_row, COLUMN(comb_rank)) &amp; ":" &amp; ADDRESS(sort_max_row, COLUMN(comb_rank)), "")</f>
        <v/>
      </c>
      <c r="U37" s="8" t="str">
        <f ca="1">IF(is_cat, RANK(comb_rank, INDIRECT(comb_rank_range), 1), "")</f>
        <v/>
      </c>
      <c r="V37" s="8" t="str">
        <f>IF(is_cat, ADDRESS(sort_min_row, COLUMN(comb_rank_norm)) &amp; ":" &amp; ADDRESS(ROW(), COLUMN(comb_rank_norm)), "")</f>
        <v/>
      </c>
      <c r="W37" s="9" t="str">
        <f ca="1">IF(is_cat, comb_rank_norm + COUNTIF(INDIRECT(comb_rank_norm_run_range), comb_rank_norm)-1, "")</f>
        <v/>
      </c>
      <c r="X37" s="73">
        <f>IF(is_cat, header_row_id + comb_rank_unique, row_id)</f>
        <v>59</v>
      </c>
      <c r="Y37" s="75" t="str">
        <f ca="1">IF(is_empty, "", INDEX($J:$J, MATCH(row_id, $X:$X, 0)))</f>
        <v>Total</v>
      </c>
      <c r="Z37" s="78">
        <f ca="1">IF(is_empty, "", IF(is_header, "Tracked", INDEX($K:$K, MATCH(row_id, $X:$X, 0))))</f>
        <v>1040</v>
      </c>
      <c r="AA37" s="78">
        <f ca="1">IF(is_empty, "", IF(is_header, "Budget", INDEX($L:$L, MATCH(row_id, $X:$X, 0))))</f>
        <v>1650</v>
      </c>
      <c r="AB37" s="77">
        <f ca="1">IF(is_empty, "", IF(is_header, "% Compl.", IFERROR(out_tracked / out_Budget, "-")))</f>
        <v>0.63030303030303025</v>
      </c>
      <c r="AC37" s="78">
        <f ca="1">IF(is_empty, "", IF(is_header, "Remaining", IF(out_Budget - out_tracked &gt; 0, out_Budget - out_tracked, 0)))</f>
        <v>610</v>
      </c>
      <c r="AD37" s="78">
        <f ca="1">IF(is_empty, "", IF(is_header, "Excess", IF(out_Budget - out_tracked &lt; 0, out_tracked - out_Budget, 0)))</f>
        <v>0</v>
      </c>
      <c r="AF37" s="10"/>
      <c r="AG37" s="11"/>
      <c r="AH37" s="11"/>
      <c r="AI37" s="11"/>
      <c r="AJ37" s="11"/>
      <c r="AK37" s="12"/>
      <c r="AM37" s="10"/>
      <c r="AN37" s="11"/>
      <c r="AO37" s="11"/>
      <c r="AP37" s="11"/>
      <c r="AQ37" s="11"/>
      <c r="AR37" s="12"/>
    </row>
    <row r="38" spans="3:44" x14ac:dyDescent="0.3">
      <c r="C38" s="7" cm="1">
        <f t="array" ref="C38">IF(C37=-1, -1, IF(C37&lt;income_max_row, C37+1, IF(C37=income_max_row, income_total_row, IF(C37=income_total_row, "/1", IF(C37="/1", expenses_header_row, IF(C37&lt;expenses_max_row, C37+1, IF(C37= expenses_max_row, expenses_total_row, IF(C37=expenses_total_row, "/2", IF(C37="/2", savings_header_row, IF(C37&lt;savings_max_row, C37+1, IF(C37=savings_max_row, savings_total_row, -1)))))))))))</f>
        <v>-1</v>
      </c>
      <c r="D38" s="9">
        <f>IF(is_header, row_id, IF(NOT(is_empty), D37, -1))</f>
        <v>-1</v>
      </c>
      <c r="E38" s="7" cm="1">
        <f t="array" ref="E38">1*OR(row_id=income_header_row, row_id=expenses_header_row, row_id=savings_header_row)</f>
        <v>0</v>
      </c>
      <c r="F38" s="8">
        <f>1*NOT(OR(is_header, is_total, is_empty))</f>
        <v>0</v>
      </c>
      <c r="G38" s="8" cm="1">
        <f t="array" ref="G38">1*OR(row_id=income_total_row, row_id=expenses_total_row, row_id=savings_total_row)</f>
        <v>0</v>
      </c>
      <c r="H38" s="9">
        <f>1*OR(row_id="/1", row_id="/2", row_id=-1)</f>
        <v>1</v>
      </c>
      <c r="I38" s="7" t="str" cm="1">
        <f t="array" ref="I38">IFERROR(INDEX('Budget Planning'!$C:$C, header_row_id), "")</f>
        <v/>
      </c>
      <c r="J38" s="8" t="str" cm="1">
        <f t="array" ref="J38">IFERROR(INDEX('Budget Planning'!$C:$C, row_id), "")</f>
        <v/>
      </c>
      <c r="K38" s="70" t="str" cm="1">
        <f t="array" ref="K38">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38" s="71" t="str" cm="1">
        <f t="array" ref="L38">IF(OR(is_header, is_empty), "", INDEX('Budget Planning'!$E:$CI, row_id, MATCH(IF(selected_period="Total Year", selected_year, DATE(selected_year, selected_period, 1)), 'Budget Planning'!$E$10:$CI$10, 0)))</f>
        <v/>
      </c>
      <c r="M38" s="7" t="str" cm="1">
        <f t="array" ref="M38">IF(is_cat, IF(header_row_id = income_header_row, MATCH(income_min_row, $C:$C, 0), IF(header_row_id = expenses_header_row, MATCH(expenses_min_row, $C:$C, 0), IF(header_row_id = savings_header_row, MATCH(savings_min_row, $C:$C, 0), ""))), "")</f>
        <v/>
      </c>
      <c r="N38" s="9" t="str" cm="1">
        <f t="array" ref="N38">IF(is_cat, IF(header_row_id = income_header_row, MATCH(income_max_row, $C:$C, 0), IF(header_row_id = expenses_header_row, MATCH(expenses_max_row, $C:$C, 0), IF(header_row_id = savings_header_row, MATCH(savings_max_row, $C:$C, 0), ""))), "")</f>
        <v/>
      </c>
      <c r="O38" s="7" t="str">
        <f>IF(is_cat, ADDRESS(sort_min_row, COLUMN(tracked)) &amp; ":" &amp; ADDRESS(sort_max_row, COLUMN(tracked)), "")</f>
        <v/>
      </c>
      <c r="P38" s="8" t="str">
        <f ca="1">IF(is_cat, RANK(tracked, INDIRECT(tracked_range), 0), "")</f>
        <v/>
      </c>
      <c r="Q38" s="8" t="str">
        <f>IF(is_cat, ADDRESS(sort_min_row, COLUMN(budget)) &amp; ":" &amp; ADDRESS(sort_max_row, COLUMN(budget)), "")</f>
        <v/>
      </c>
      <c r="R38" s="9" t="str">
        <f ca="1">IF(is_cat, RANK(budget, INDIRECT(budget_range), 0), "")</f>
        <v/>
      </c>
      <c r="S38" s="7" t="str">
        <f>IF(is_cat, _xlfn.NUMBERVALUE(tracked_rank &amp; budget_rank), "")</f>
        <v/>
      </c>
      <c r="T38" s="8" t="str">
        <f>IF(is_cat, ADDRESS(sort_min_row, COLUMN(comb_rank)) &amp; ":" &amp; ADDRESS(sort_max_row, COLUMN(comb_rank)), "")</f>
        <v/>
      </c>
      <c r="U38" s="8" t="str">
        <f ca="1">IF(is_cat, RANK(comb_rank, INDIRECT(comb_rank_range), 1), "")</f>
        <v/>
      </c>
      <c r="V38" s="8" t="str">
        <f>IF(is_cat, ADDRESS(sort_min_row, COLUMN(comb_rank_norm)) &amp; ":" &amp; ADDRESS(ROW(), COLUMN(comb_rank_norm)), "")</f>
        <v/>
      </c>
      <c r="W38" s="9" t="str">
        <f ca="1">IF(is_cat, comb_rank_norm + COUNTIF(INDIRECT(comb_rank_norm_run_range), comb_rank_norm)-1, "")</f>
        <v/>
      </c>
      <c r="X38" s="73">
        <f>IF(is_cat, header_row_id + comb_rank_unique, row_id)</f>
        <v>-1</v>
      </c>
      <c r="Y38" s="75" t="str">
        <f>IF(is_empty, "", INDEX($J:$J, MATCH(row_id, $X:$X, 0)))</f>
        <v/>
      </c>
      <c r="Z38" s="78" t="str">
        <f>IF(is_empty, "", IF(is_header, "Tracked", INDEX($K:$K, MATCH(row_id, $X:$X, 0))))</f>
        <v/>
      </c>
      <c r="AA38" s="78" t="str">
        <f>IF(is_empty, "", IF(is_header, "Budget", INDEX($L:$L, MATCH(row_id, $X:$X, 0))))</f>
        <v/>
      </c>
      <c r="AB38" s="77" t="str">
        <f>IF(is_empty, "", IF(is_header, "% Compl.", IFERROR(out_tracked / out_Budget, "-")))</f>
        <v/>
      </c>
      <c r="AC38" s="78" t="str">
        <f>IF(is_empty, "", IF(is_header, "Remaining", IF(out_Budget - out_tracked &gt; 0, out_Budget - out_tracked, 0)))</f>
        <v/>
      </c>
      <c r="AD38" s="78" t="str">
        <f>IF(is_empty, "", IF(is_header, "Excess", IF(out_Budget - out_tracked &lt; 0, out_tracked - out_Budget, 0)))</f>
        <v/>
      </c>
    </row>
    <row r="39" spans="3:44" x14ac:dyDescent="0.3">
      <c r="C39" s="7" cm="1">
        <f t="array" ref="C39">IF(C38=-1, -1, IF(C38&lt;income_max_row, C38+1, IF(C38=income_max_row, income_total_row, IF(C38=income_total_row, "/1", IF(C38="/1", expenses_header_row, IF(C38&lt;expenses_max_row, C38+1, IF(C38= expenses_max_row, expenses_total_row, IF(C38=expenses_total_row, "/2", IF(C38="/2", savings_header_row, IF(C38&lt;savings_max_row, C38+1, IF(C38=savings_max_row, savings_total_row, -1)))))))))))</f>
        <v>-1</v>
      </c>
      <c r="D39" s="9">
        <f>IF(is_header, row_id, IF(NOT(is_empty), D38, -1))</f>
        <v>-1</v>
      </c>
      <c r="E39" s="7" cm="1">
        <f t="array" ref="E39">1*OR(row_id=income_header_row, row_id=expenses_header_row, row_id=savings_header_row)</f>
        <v>0</v>
      </c>
      <c r="F39" s="8">
        <f>1*NOT(OR(is_header, is_total, is_empty))</f>
        <v>0</v>
      </c>
      <c r="G39" s="8" cm="1">
        <f t="array" ref="G39">1*OR(row_id=income_total_row, row_id=expenses_total_row, row_id=savings_total_row)</f>
        <v>0</v>
      </c>
      <c r="H39" s="9">
        <f>1*OR(row_id="/1", row_id="/2", row_id=-1)</f>
        <v>1</v>
      </c>
      <c r="I39" s="7" t="str" cm="1">
        <f t="array" ref="I39">IFERROR(INDEX('Budget Planning'!$C:$C, header_row_id), "")</f>
        <v/>
      </c>
      <c r="J39" s="8" t="str" cm="1">
        <f t="array" ref="J39">IFERROR(INDEX('Budget Planning'!$C:$C, row_id), "")</f>
        <v/>
      </c>
      <c r="K39" s="70" t="str" cm="1">
        <f t="array" ref="K39">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39" s="71" t="str" cm="1">
        <f t="array" ref="L39">IF(OR(is_header, is_empty), "", INDEX('Budget Planning'!$E:$CI, row_id, MATCH(IF(selected_period="Total Year", selected_year, DATE(selected_year, selected_period, 1)), 'Budget Planning'!$E$10:$CI$10, 0)))</f>
        <v/>
      </c>
      <c r="M39" s="7" t="str" cm="1">
        <f t="array" ref="M39">IF(is_cat, IF(header_row_id = income_header_row, MATCH(income_min_row, $C:$C, 0), IF(header_row_id = expenses_header_row, MATCH(expenses_min_row, $C:$C, 0), IF(header_row_id = savings_header_row, MATCH(savings_min_row, $C:$C, 0), ""))), "")</f>
        <v/>
      </c>
      <c r="N39" s="9" t="str" cm="1">
        <f t="array" ref="N39">IF(is_cat, IF(header_row_id = income_header_row, MATCH(income_max_row, $C:$C, 0), IF(header_row_id = expenses_header_row, MATCH(expenses_max_row, $C:$C, 0), IF(header_row_id = savings_header_row, MATCH(savings_max_row, $C:$C, 0), ""))), "")</f>
        <v/>
      </c>
      <c r="O39" s="7" t="str">
        <f>IF(is_cat, ADDRESS(sort_min_row, COLUMN(tracked)) &amp; ":" &amp; ADDRESS(sort_max_row, COLUMN(tracked)), "")</f>
        <v/>
      </c>
      <c r="P39" s="8" t="str">
        <f ca="1">IF(is_cat, RANK(tracked, INDIRECT(tracked_range), 0), "")</f>
        <v/>
      </c>
      <c r="Q39" s="8" t="str">
        <f>IF(is_cat, ADDRESS(sort_min_row, COLUMN(budget)) &amp; ":" &amp; ADDRESS(sort_max_row, COLUMN(budget)), "")</f>
        <v/>
      </c>
      <c r="R39" s="9" t="str">
        <f ca="1">IF(is_cat, RANK(budget, INDIRECT(budget_range), 0), "")</f>
        <v/>
      </c>
      <c r="S39" s="7" t="str">
        <f>IF(is_cat, _xlfn.NUMBERVALUE(tracked_rank &amp; budget_rank), "")</f>
        <v/>
      </c>
      <c r="T39" s="8" t="str">
        <f>IF(is_cat, ADDRESS(sort_min_row, COLUMN(comb_rank)) &amp; ":" &amp; ADDRESS(sort_max_row, COLUMN(comb_rank)), "")</f>
        <v/>
      </c>
      <c r="U39" s="8" t="str">
        <f ca="1">IF(is_cat, RANK(comb_rank, INDIRECT(comb_rank_range), 1), "")</f>
        <v/>
      </c>
      <c r="V39" s="8" t="str">
        <f>IF(is_cat, ADDRESS(sort_min_row, COLUMN(comb_rank_norm)) &amp; ":" &amp; ADDRESS(ROW(), COLUMN(comb_rank_norm)), "")</f>
        <v/>
      </c>
      <c r="W39" s="9" t="str">
        <f ca="1">IF(is_cat, comb_rank_norm + COUNTIF(INDIRECT(comb_rank_norm_run_range), comb_rank_norm)-1, "")</f>
        <v/>
      </c>
      <c r="X39" s="73">
        <f>IF(is_cat, header_row_id + comb_rank_unique, row_id)</f>
        <v>-1</v>
      </c>
      <c r="Y39" s="75" t="str">
        <f>IF(is_empty, "", INDEX($J:$J, MATCH(row_id, $X:$X, 0)))</f>
        <v/>
      </c>
      <c r="Z39" s="78" t="str">
        <f>IF(is_empty, "", IF(is_header, "Tracked", INDEX($K:$K, MATCH(row_id, $X:$X, 0))))</f>
        <v/>
      </c>
      <c r="AA39" s="78" t="str">
        <f>IF(is_empty, "", IF(is_header, "Budget", INDEX($L:$L, MATCH(row_id, $X:$X, 0))))</f>
        <v/>
      </c>
      <c r="AB39" s="77" t="str">
        <f>IF(is_empty, "", IF(is_header, "% Compl.", IFERROR(out_tracked / out_Budget, "-")))</f>
        <v/>
      </c>
      <c r="AC39" s="78" t="str">
        <f>IF(is_empty, "", IF(is_header, "Remaining", IF(out_Budget - out_tracked &gt; 0, out_Budget - out_tracked, 0)))</f>
        <v/>
      </c>
      <c r="AD39" s="78" t="str">
        <f>IF(is_empty, "", IF(is_header, "Excess", IF(out_Budget - out_tracked &lt; 0, out_tracked - out_Budget, 0)))</f>
        <v/>
      </c>
    </row>
    <row r="40" spans="3:44" x14ac:dyDescent="0.3">
      <c r="C40" s="7" cm="1">
        <f t="array" ref="C40">IF(C39=-1, -1, IF(C39&lt;income_max_row, C39+1, IF(C39=income_max_row, income_total_row, IF(C39=income_total_row, "/1", IF(C39="/1", expenses_header_row, IF(C39&lt;expenses_max_row, C39+1, IF(C39= expenses_max_row, expenses_total_row, IF(C39=expenses_total_row, "/2", IF(C39="/2", savings_header_row, IF(C39&lt;savings_max_row, C39+1, IF(C39=savings_max_row, savings_total_row, -1)))))))))))</f>
        <v>-1</v>
      </c>
      <c r="D40" s="9">
        <f>IF(is_header, row_id, IF(NOT(is_empty), D39, -1))</f>
        <v>-1</v>
      </c>
      <c r="E40" s="7" cm="1">
        <f t="array" ref="E40">1*OR(row_id=income_header_row, row_id=expenses_header_row, row_id=savings_header_row)</f>
        <v>0</v>
      </c>
      <c r="F40" s="8">
        <f>1*NOT(OR(is_header, is_total, is_empty))</f>
        <v>0</v>
      </c>
      <c r="G40" s="8" cm="1">
        <f t="array" ref="G40">1*OR(row_id=income_total_row, row_id=expenses_total_row, row_id=savings_total_row)</f>
        <v>0</v>
      </c>
      <c r="H40" s="9">
        <f>1*OR(row_id="/1", row_id="/2", row_id=-1)</f>
        <v>1</v>
      </c>
      <c r="I40" s="7" t="str" cm="1">
        <f t="array" ref="I40">IFERROR(INDEX('Budget Planning'!$C:$C, header_row_id), "")</f>
        <v/>
      </c>
      <c r="J40" s="8" t="str" cm="1">
        <f t="array" ref="J40">IFERROR(INDEX('Budget Planning'!$C:$C, row_id), "")</f>
        <v/>
      </c>
      <c r="K40" s="70" t="str" cm="1">
        <f t="array" ref="K40">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40" s="71" t="str" cm="1">
        <f t="array" ref="L40">IF(OR(is_header, is_empty), "", INDEX('Budget Planning'!$E:$CI, row_id, MATCH(IF(selected_period="Total Year", selected_year, DATE(selected_year, selected_period, 1)), 'Budget Planning'!$E$10:$CI$10, 0)))</f>
        <v/>
      </c>
      <c r="M40" s="7" t="str" cm="1">
        <f t="array" ref="M40">IF(is_cat, IF(header_row_id = income_header_row, MATCH(income_min_row, $C:$C, 0), IF(header_row_id = expenses_header_row, MATCH(expenses_min_row, $C:$C, 0), IF(header_row_id = savings_header_row, MATCH(savings_min_row, $C:$C, 0), ""))), "")</f>
        <v/>
      </c>
      <c r="N40" s="9" t="str" cm="1">
        <f t="array" ref="N40">IF(is_cat, IF(header_row_id = income_header_row, MATCH(income_max_row, $C:$C, 0), IF(header_row_id = expenses_header_row, MATCH(expenses_max_row, $C:$C, 0), IF(header_row_id = savings_header_row, MATCH(savings_max_row, $C:$C, 0), ""))), "")</f>
        <v/>
      </c>
      <c r="O40" s="7" t="str">
        <f>IF(is_cat, ADDRESS(sort_min_row, COLUMN(tracked)) &amp; ":" &amp; ADDRESS(sort_max_row, COLUMN(tracked)), "")</f>
        <v/>
      </c>
      <c r="P40" s="8" t="str">
        <f ca="1">IF(is_cat, RANK(tracked, INDIRECT(tracked_range), 0), "")</f>
        <v/>
      </c>
      <c r="Q40" s="8" t="str">
        <f>IF(is_cat, ADDRESS(sort_min_row, COLUMN(budget)) &amp; ":" &amp; ADDRESS(sort_max_row, COLUMN(budget)), "")</f>
        <v/>
      </c>
      <c r="R40" s="9" t="str">
        <f ca="1">IF(is_cat, RANK(budget, INDIRECT(budget_range), 0), "")</f>
        <v/>
      </c>
      <c r="S40" s="7" t="str">
        <f>IF(is_cat, _xlfn.NUMBERVALUE(tracked_rank &amp; budget_rank), "")</f>
        <v/>
      </c>
      <c r="T40" s="8" t="str">
        <f>IF(is_cat, ADDRESS(sort_min_row, COLUMN(comb_rank)) &amp; ":" &amp; ADDRESS(sort_max_row, COLUMN(comb_rank)), "")</f>
        <v/>
      </c>
      <c r="U40" s="8" t="str">
        <f ca="1">IF(is_cat, RANK(comb_rank, INDIRECT(comb_rank_range), 1), "")</f>
        <v/>
      </c>
      <c r="V40" s="8" t="str">
        <f>IF(is_cat, ADDRESS(sort_min_row, COLUMN(comb_rank_norm)) &amp; ":" &amp; ADDRESS(ROW(), COLUMN(comb_rank_norm)), "")</f>
        <v/>
      </c>
      <c r="W40" s="9" t="str">
        <f ca="1">IF(is_cat, comb_rank_norm + COUNTIF(INDIRECT(comb_rank_norm_run_range), comb_rank_norm)-1, "")</f>
        <v/>
      </c>
      <c r="X40" s="73">
        <f>IF(is_cat, header_row_id + comb_rank_unique, row_id)</f>
        <v>-1</v>
      </c>
      <c r="Y40" s="75" t="str">
        <f>IF(is_empty, "", INDEX($J:$J, MATCH(row_id, $X:$X, 0)))</f>
        <v/>
      </c>
      <c r="Z40" s="78" t="str">
        <f>IF(is_empty, "", IF(is_header, "Tracked", INDEX($K:$K, MATCH(row_id, $X:$X, 0))))</f>
        <v/>
      </c>
      <c r="AA40" s="78" t="str">
        <f>IF(is_empty, "", IF(is_header, "Budget", INDEX($L:$L, MATCH(row_id, $X:$X, 0))))</f>
        <v/>
      </c>
      <c r="AB40" s="77" t="str">
        <f>IF(is_empty, "", IF(is_header, "% Compl.", IFERROR(out_tracked / out_Budget, "-")))</f>
        <v/>
      </c>
      <c r="AC40" s="78" t="str">
        <f>IF(is_empty, "", IF(is_header, "Remaining", IF(out_Budget - out_tracked &gt; 0, out_Budget - out_tracked, 0)))</f>
        <v/>
      </c>
      <c r="AD40" s="78" t="str">
        <f>IF(is_empty, "", IF(is_header, "Excess", IF(out_Budget - out_tracked &lt; 0, out_tracked - out_Budget, 0)))</f>
        <v/>
      </c>
    </row>
    <row r="41" spans="3:44" x14ac:dyDescent="0.3">
      <c r="C41" s="7" cm="1">
        <f t="array" ref="C41">IF(C40=-1, -1, IF(C40&lt;income_max_row, C40+1, IF(C40=income_max_row, income_total_row, IF(C40=income_total_row, "/1", IF(C40="/1", expenses_header_row, IF(C40&lt;expenses_max_row, C40+1, IF(C40= expenses_max_row, expenses_total_row, IF(C40=expenses_total_row, "/2", IF(C40="/2", savings_header_row, IF(C40&lt;savings_max_row, C40+1, IF(C40=savings_max_row, savings_total_row, -1)))))))))))</f>
        <v>-1</v>
      </c>
      <c r="D41" s="9">
        <f>IF(is_header, row_id, IF(NOT(is_empty), D40, -1))</f>
        <v>-1</v>
      </c>
      <c r="E41" s="7" cm="1">
        <f t="array" ref="E41">1*OR(row_id=income_header_row, row_id=expenses_header_row, row_id=savings_header_row)</f>
        <v>0</v>
      </c>
      <c r="F41" s="8">
        <f>1*NOT(OR(is_header, is_total, is_empty))</f>
        <v>0</v>
      </c>
      <c r="G41" s="8" cm="1">
        <f t="array" ref="G41">1*OR(row_id=income_total_row, row_id=expenses_total_row, row_id=savings_total_row)</f>
        <v>0</v>
      </c>
      <c r="H41" s="9">
        <f>1*OR(row_id="/1", row_id="/2", row_id=-1)</f>
        <v>1</v>
      </c>
      <c r="I41" s="7" t="str" cm="1">
        <f t="array" ref="I41">IFERROR(INDEX('Budget Planning'!$C:$C, header_row_id), "")</f>
        <v/>
      </c>
      <c r="J41" s="8" t="str" cm="1">
        <f t="array" ref="J41">IFERROR(INDEX('Budget Planning'!$C:$C, row_id), "")</f>
        <v/>
      </c>
      <c r="K41" s="70" t="str" cm="1">
        <f t="array" ref="K4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41" s="71" t="str" cm="1">
        <f t="array" ref="L41">IF(OR(is_header, is_empty), "", INDEX('Budget Planning'!$E:$CI, row_id, MATCH(IF(selected_period="Total Year", selected_year, DATE(selected_year, selected_period, 1)), 'Budget Planning'!$E$10:$CI$10, 0)))</f>
        <v/>
      </c>
      <c r="M41" s="7" t="str" cm="1">
        <f t="array" ref="M41">IF(is_cat, IF(header_row_id = income_header_row, MATCH(income_min_row, $C:$C, 0), IF(header_row_id = expenses_header_row, MATCH(expenses_min_row, $C:$C, 0), IF(header_row_id = savings_header_row, MATCH(savings_min_row, $C:$C, 0), ""))), "")</f>
        <v/>
      </c>
      <c r="N41" s="9" t="str" cm="1">
        <f t="array" ref="N41">IF(is_cat, IF(header_row_id = income_header_row, MATCH(income_max_row, $C:$C, 0), IF(header_row_id = expenses_header_row, MATCH(expenses_max_row, $C:$C, 0), IF(header_row_id = savings_header_row, MATCH(savings_max_row, $C:$C, 0), ""))), "")</f>
        <v/>
      </c>
      <c r="O41" s="7" t="str">
        <f>IF(is_cat, ADDRESS(sort_min_row, COLUMN(tracked)) &amp; ":" &amp; ADDRESS(sort_max_row, COLUMN(tracked)), "")</f>
        <v/>
      </c>
      <c r="P41" s="8" t="str">
        <f ca="1">IF(is_cat, RANK(tracked, INDIRECT(tracked_range), 0), "")</f>
        <v/>
      </c>
      <c r="Q41" s="8" t="str">
        <f>IF(is_cat, ADDRESS(sort_min_row, COLUMN(budget)) &amp; ":" &amp; ADDRESS(sort_max_row, COLUMN(budget)), "")</f>
        <v/>
      </c>
      <c r="R41" s="9" t="str">
        <f ca="1">IF(is_cat, RANK(budget, INDIRECT(budget_range), 0), "")</f>
        <v/>
      </c>
      <c r="S41" s="7" t="str">
        <f>IF(is_cat, _xlfn.NUMBERVALUE(tracked_rank &amp; budget_rank), "")</f>
        <v/>
      </c>
      <c r="T41" s="8" t="str">
        <f>IF(is_cat, ADDRESS(sort_min_row, COLUMN(comb_rank)) &amp; ":" &amp; ADDRESS(sort_max_row, COLUMN(comb_rank)), "")</f>
        <v/>
      </c>
      <c r="U41" s="8" t="str">
        <f ca="1">IF(is_cat, RANK(comb_rank, INDIRECT(comb_rank_range), 1), "")</f>
        <v/>
      </c>
      <c r="V41" s="8" t="str">
        <f>IF(is_cat, ADDRESS(sort_min_row, COLUMN(comb_rank_norm)) &amp; ":" &amp; ADDRESS(ROW(), COLUMN(comb_rank_norm)), "")</f>
        <v/>
      </c>
      <c r="W41" s="9" t="str">
        <f ca="1">IF(is_cat, comb_rank_norm + COUNTIF(INDIRECT(comb_rank_norm_run_range), comb_rank_norm)-1, "")</f>
        <v/>
      </c>
      <c r="X41" s="73">
        <f>IF(is_cat, header_row_id + comb_rank_unique, row_id)</f>
        <v>-1</v>
      </c>
      <c r="Y41" s="75" t="str">
        <f>IF(is_empty, "", INDEX($J:$J, MATCH(row_id, $X:$X, 0)))</f>
        <v/>
      </c>
      <c r="Z41" s="78" t="str">
        <f>IF(is_empty, "", IF(is_header, "Tracked", INDEX($K:$K, MATCH(row_id, $X:$X, 0))))</f>
        <v/>
      </c>
      <c r="AA41" s="78" t="str">
        <f>IF(is_empty, "", IF(is_header, "Budget", INDEX($L:$L, MATCH(row_id, $X:$X, 0))))</f>
        <v/>
      </c>
      <c r="AB41" s="77" t="str">
        <f>IF(is_empty, "", IF(is_header, "% Compl.", IFERROR(out_tracked / out_Budget, "-")))</f>
        <v/>
      </c>
      <c r="AC41" s="78" t="str">
        <f>IF(is_empty, "", IF(is_header, "Remaining", IF(out_Budget - out_tracked &gt; 0, out_Budget - out_tracked, 0)))</f>
        <v/>
      </c>
      <c r="AD41" s="78" t="str">
        <f>IF(is_empty, "", IF(is_header, "Excess", IF(out_Budget - out_tracked &lt; 0, out_tracked - out_Budget, 0)))</f>
        <v/>
      </c>
    </row>
    <row r="42" spans="3:44" x14ac:dyDescent="0.3">
      <c r="C42" s="7" cm="1">
        <f t="array" ref="C42">IF(C41=-1, -1, IF(C41&lt;income_max_row, C41+1, IF(C41=income_max_row, income_total_row, IF(C41=income_total_row, "/1", IF(C41="/1", expenses_header_row, IF(C41&lt;expenses_max_row, C41+1, IF(C41= expenses_max_row, expenses_total_row, IF(C41=expenses_total_row, "/2", IF(C41="/2", savings_header_row, IF(C41&lt;savings_max_row, C41+1, IF(C41=savings_max_row, savings_total_row, -1)))))))))))</f>
        <v>-1</v>
      </c>
      <c r="D42" s="9">
        <f>IF(is_header, row_id, IF(NOT(is_empty), D41, -1))</f>
        <v>-1</v>
      </c>
      <c r="E42" s="7" cm="1">
        <f t="array" ref="E42">1*OR(row_id=income_header_row, row_id=expenses_header_row, row_id=savings_header_row)</f>
        <v>0</v>
      </c>
      <c r="F42" s="8">
        <f>1*NOT(OR(is_header, is_total, is_empty))</f>
        <v>0</v>
      </c>
      <c r="G42" s="8" cm="1">
        <f t="array" ref="G42">1*OR(row_id=income_total_row, row_id=expenses_total_row, row_id=savings_total_row)</f>
        <v>0</v>
      </c>
      <c r="H42" s="9">
        <f>1*OR(row_id="/1", row_id="/2", row_id=-1)</f>
        <v>1</v>
      </c>
      <c r="I42" s="7" t="str" cm="1">
        <f t="array" ref="I42">IFERROR(INDEX('Budget Planning'!$C:$C, header_row_id), "")</f>
        <v/>
      </c>
      <c r="J42" s="8" t="str" cm="1">
        <f t="array" ref="J42">IFERROR(INDEX('Budget Planning'!$C:$C, row_id), "")</f>
        <v/>
      </c>
      <c r="K42" s="70" t="str" cm="1">
        <f t="array" ref="K42">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42" s="71" t="str" cm="1">
        <f t="array" ref="L42">IF(OR(is_header, is_empty), "", INDEX('Budget Planning'!$E:$CI, row_id, MATCH(IF(selected_period="Total Year", selected_year, DATE(selected_year, selected_period, 1)), 'Budget Planning'!$E$10:$CI$10, 0)))</f>
        <v/>
      </c>
      <c r="M42" s="7" t="str" cm="1">
        <f t="array" ref="M42">IF(is_cat, IF(header_row_id = income_header_row, MATCH(income_min_row, $C:$C, 0), IF(header_row_id = expenses_header_row, MATCH(expenses_min_row, $C:$C, 0), IF(header_row_id = savings_header_row, MATCH(savings_min_row, $C:$C, 0), ""))), "")</f>
        <v/>
      </c>
      <c r="N42" s="9" t="str" cm="1">
        <f t="array" ref="N42">IF(is_cat, IF(header_row_id = income_header_row, MATCH(income_max_row, $C:$C, 0), IF(header_row_id = expenses_header_row, MATCH(expenses_max_row, $C:$C, 0), IF(header_row_id = savings_header_row, MATCH(savings_max_row, $C:$C, 0), ""))), "")</f>
        <v/>
      </c>
      <c r="O42" s="7" t="str">
        <f>IF(is_cat, ADDRESS(sort_min_row, COLUMN(tracked)) &amp; ":" &amp; ADDRESS(sort_max_row, COLUMN(tracked)), "")</f>
        <v/>
      </c>
      <c r="P42" s="8" t="str">
        <f ca="1">IF(is_cat, RANK(tracked, INDIRECT(tracked_range), 0), "")</f>
        <v/>
      </c>
      <c r="Q42" s="8" t="str">
        <f>IF(is_cat, ADDRESS(sort_min_row, COLUMN(budget)) &amp; ":" &amp; ADDRESS(sort_max_row, COLUMN(budget)), "")</f>
        <v/>
      </c>
      <c r="R42" s="9" t="str">
        <f ca="1">IF(is_cat, RANK(budget, INDIRECT(budget_range), 0), "")</f>
        <v/>
      </c>
      <c r="S42" s="7" t="str">
        <f>IF(is_cat, _xlfn.NUMBERVALUE(tracked_rank &amp; budget_rank), "")</f>
        <v/>
      </c>
      <c r="T42" s="8" t="str">
        <f>IF(is_cat, ADDRESS(sort_min_row, COLUMN(comb_rank)) &amp; ":" &amp; ADDRESS(sort_max_row, COLUMN(comb_rank)), "")</f>
        <v/>
      </c>
      <c r="U42" s="8" t="str">
        <f ca="1">IF(is_cat, RANK(comb_rank, INDIRECT(comb_rank_range), 1), "")</f>
        <v/>
      </c>
      <c r="V42" s="8" t="str">
        <f>IF(is_cat, ADDRESS(sort_min_row, COLUMN(comb_rank_norm)) &amp; ":" &amp; ADDRESS(ROW(), COLUMN(comb_rank_norm)), "")</f>
        <v/>
      </c>
      <c r="W42" s="9" t="str">
        <f ca="1">IF(is_cat, comb_rank_norm + COUNTIF(INDIRECT(comb_rank_norm_run_range), comb_rank_norm)-1, "")</f>
        <v/>
      </c>
      <c r="X42" s="73">
        <f>IF(is_cat, header_row_id + comb_rank_unique, row_id)</f>
        <v>-1</v>
      </c>
      <c r="Y42" s="75" t="str">
        <f>IF(is_empty, "", INDEX($J:$J, MATCH(row_id, $X:$X, 0)))</f>
        <v/>
      </c>
      <c r="Z42" s="78" t="str">
        <f>IF(is_empty, "", IF(is_header, "Tracked", INDEX($K:$K, MATCH(row_id, $X:$X, 0))))</f>
        <v/>
      </c>
      <c r="AA42" s="78" t="str">
        <f>IF(is_empty, "", IF(is_header, "Budget", INDEX($L:$L, MATCH(row_id, $X:$X, 0))))</f>
        <v/>
      </c>
      <c r="AB42" s="77" t="str">
        <f>IF(is_empty, "", IF(is_header, "% Compl.", IFERROR(out_tracked / out_Budget, "-")))</f>
        <v/>
      </c>
      <c r="AC42" s="78" t="str">
        <f>IF(is_empty, "", IF(is_header, "Remaining", IF(out_Budget - out_tracked &gt; 0, out_Budget - out_tracked, 0)))</f>
        <v/>
      </c>
      <c r="AD42" s="78" t="str">
        <f>IF(is_empty, "", IF(is_header, "Excess", IF(out_Budget - out_tracked &lt; 0, out_tracked - out_Budget, 0)))</f>
        <v/>
      </c>
    </row>
    <row r="43" spans="3:44" x14ac:dyDescent="0.3">
      <c r="C43" s="7" cm="1">
        <f t="array" ref="C43">IF(C42=-1, -1, IF(C42&lt;income_max_row, C42+1, IF(C42=income_max_row, income_total_row, IF(C42=income_total_row, "/1", IF(C42="/1", expenses_header_row, IF(C42&lt;expenses_max_row, C42+1, IF(C42= expenses_max_row, expenses_total_row, IF(C42=expenses_total_row, "/2", IF(C42="/2", savings_header_row, IF(C42&lt;savings_max_row, C42+1, IF(C42=savings_max_row, savings_total_row, -1)))))))))))</f>
        <v>-1</v>
      </c>
      <c r="D43" s="9">
        <f>IF(is_header, row_id, IF(NOT(is_empty), D42, -1))</f>
        <v>-1</v>
      </c>
      <c r="E43" s="7" cm="1">
        <f t="array" ref="E43">1*OR(row_id=income_header_row, row_id=expenses_header_row, row_id=savings_header_row)</f>
        <v>0</v>
      </c>
      <c r="F43" s="8">
        <f>1*NOT(OR(is_header, is_total, is_empty))</f>
        <v>0</v>
      </c>
      <c r="G43" s="8" cm="1">
        <f t="array" ref="G43">1*OR(row_id=income_total_row, row_id=expenses_total_row, row_id=savings_total_row)</f>
        <v>0</v>
      </c>
      <c r="H43" s="9">
        <f>1*OR(row_id="/1", row_id="/2", row_id=-1)</f>
        <v>1</v>
      </c>
      <c r="I43" s="7" t="str" cm="1">
        <f t="array" ref="I43">IFERROR(INDEX('Budget Planning'!$C:$C, header_row_id), "")</f>
        <v/>
      </c>
      <c r="J43" s="8" t="str" cm="1">
        <f t="array" ref="J43">IFERROR(INDEX('Budget Planning'!$C:$C, row_id), "")</f>
        <v/>
      </c>
      <c r="K43" s="70" t="str" cm="1">
        <f t="array" ref="K43">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43" s="71" t="str" cm="1">
        <f t="array" ref="L43">IF(OR(is_header, is_empty), "", INDEX('Budget Planning'!$E:$CI, row_id, MATCH(IF(selected_period="Total Year", selected_year, DATE(selected_year, selected_period, 1)), 'Budget Planning'!$E$10:$CI$10, 0)))</f>
        <v/>
      </c>
      <c r="M43" s="7" t="str" cm="1">
        <f t="array" ref="M43">IF(is_cat, IF(header_row_id = income_header_row, MATCH(income_min_row, $C:$C, 0), IF(header_row_id = expenses_header_row, MATCH(expenses_min_row, $C:$C, 0), IF(header_row_id = savings_header_row, MATCH(savings_min_row, $C:$C, 0), ""))), "")</f>
        <v/>
      </c>
      <c r="N43" s="9" t="str" cm="1">
        <f t="array" ref="N43">IF(is_cat, IF(header_row_id = income_header_row, MATCH(income_max_row, $C:$C, 0), IF(header_row_id = expenses_header_row, MATCH(expenses_max_row, $C:$C, 0), IF(header_row_id = savings_header_row, MATCH(savings_max_row, $C:$C, 0), ""))), "")</f>
        <v/>
      </c>
      <c r="O43" s="7" t="str">
        <f>IF(is_cat, ADDRESS(sort_min_row, COLUMN(tracked)) &amp; ":" &amp; ADDRESS(sort_max_row, COLUMN(tracked)), "")</f>
        <v/>
      </c>
      <c r="P43" s="8" t="str">
        <f ca="1">IF(is_cat, RANK(tracked, INDIRECT(tracked_range), 0), "")</f>
        <v/>
      </c>
      <c r="Q43" s="8" t="str">
        <f>IF(is_cat, ADDRESS(sort_min_row, COLUMN(budget)) &amp; ":" &amp; ADDRESS(sort_max_row, COLUMN(budget)), "")</f>
        <v/>
      </c>
      <c r="R43" s="9" t="str">
        <f ca="1">IF(is_cat, RANK(budget, INDIRECT(budget_range), 0), "")</f>
        <v/>
      </c>
      <c r="S43" s="7" t="str">
        <f>IF(is_cat, _xlfn.NUMBERVALUE(tracked_rank &amp; budget_rank), "")</f>
        <v/>
      </c>
      <c r="T43" s="8" t="str">
        <f>IF(is_cat, ADDRESS(sort_min_row, COLUMN(comb_rank)) &amp; ":" &amp; ADDRESS(sort_max_row, COLUMN(comb_rank)), "")</f>
        <v/>
      </c>
      <c r="U43" s="8" t="str">
        <f ca="1">IF(is_cat, RANK(comb_rank, INDIRECT(comb_rank_range), 1), "")</f>
        <v/>
      </c>
      <c r="V43" s="8" t="str">
        <f>IF(is_cat, ADDRESS(sort_min_row, COLUMN(comb_rank_norm)) &amp; ":" &amp; ADDRESS(ROW(), COLUMN(comb_rank_norm)), "")</f>
        <v/>
      </c>
      <c r="W43" s="9" t="str">
        <f ca="1">IF(is_cat, comb_rank_norm + COUNTIF(INDIRECT(comb_rank_norm_run_range), comb_rank_norm)-1, "")</f>
        <v/>
      </c>
      <c r="X43" s="73">
        <f>IF(is_cat, header_row_id + comb_rank_unique, row_id)</f>
        <v>-1</v>
      </c>
      <c r="Y43" s="75" t="str">
        <f>IF(is_empty, "", INDEX($J:$J, MATCH(row_id, $X:$X, 0)))</f>
        <v/>
      </c>
      <c r="Z43" s="78" t="str">
        <f>IF(is_empty, "", IF(is_header, "Tracked", INDEX($K:$K, MATCH(row_id, $X:$X, 0))))</f>
        <v/>
      </c>
      <c r="AA43" s="78" t="str">
        <f>IF(is_empty, "", IF(is_header, "Budget", INDEX($L:$L, MATCH(row_id, $X:$X, 0))))</f>
        <v/>
      </c>
      <c r="AB43" s="77" t="str">
        <f>IF(is_empty, "", IF(is_header, "% Compl.", IFERROR(out_tracked / out_Budget, "-")))</f>
        <v/>
      </c>
      <c r="AC43" s="78" t="str">
        <f>IF(is_empty, "", IF(is_header, "Remaining", IF(out_Budget - out_tracked &gt; 0, out_Budget - out_tracked, 0)))</f>
        <v/>
      </c>
      <c r="AD43" s="78" t="str">
        <f>IF(is_empty, "", IF(is_header, "Excess", IF(out_Budget - out_tracked &lt; 0, out_tracked - out_Budget, 0)))</f>
        <v/>
      </c>
    </row>
    <row r="44" spans="3:44" x14ac:dyDescent="0.3">
      <c r="C44" s="7" cm="1">
        <f t="array" ref="C44">IF(C43=-1, -1, IF(C43&lt;income_max_row, C43+1, IF(C43=income_max_row, income_total_row, IF(C43=income_total_row, "/1", IF(C43="/1", expenses_header_row, IF(C43&lt;expenses_max_row, C43+1, IF(C43= expenses_max_row, expenses_total_row, IF(C43=expenses_total_row, "/2", IF(C43="/2", savings_header_row, IF(C43&lt;savings_max_row, C43+1, IF(C43=savings_max_row, savings_total_row, -1)))))))))))</f>
        <v>-1</v>
      </c>
      <c r="D44" s="9">
        <f>IF(is_header, row_id, IF(NOT(is_empty), D43, -1))</f>
        <v>-1</v>
      </c>
      <c r="E44" s="7" cm="1">
        <f t="array" ref="E44">1*OR(row_id=income_header_row, row_id=expenses_header_row, row_id=savings_header_row)</f>
        <v>0</v>
      </c>
      <c r="F44" s="8">
        <f>1*NOT(OR(is_header, is_total, is_empty))</f>
        <v>0</v>
      </c>
      <c r="G44" s="8" cm="1">
        <f t="array" ref="G44">1*OR(row_id=income_total_row, row_id=expenses_total_row, row_id=savings_total_row)</f>
        <v>0</v>
      </c>
      <c r="H44" s="9">
        <f>1*OR(row_id="/1", row_id="/2", row_id=-1)</f>
        <v>1</v>
      </c>
      <c r="I44" s="7" t="str" cm="1">
        <f t="array" ref="I44">IFERROR(INDEX('Budget Planning'!$C:$C, header_row_id), "")</f>
        <v/>
      </c>
      <c r="J44" s="8" t="str" cm="1">
        <f t="array" ref="J44">IFERROR(INDEX('Budget Planning'!$C:$C, row_id), "")</f>
        <v/>
      </c>
      <c r="K44" s="70" t="str" cm="1">
        <f t="array" ref="K44">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44" s="71" t="str" cm="1">
        <f t="array" ref="L44">IF(OR(is_header, is_empty), "", INDEX('Budget Planning'!$E:$CI, row_id, MATCH(IF(selected_period="Total Year", selected_year, DATE(selected_year, selected_period, 1)), 'Budget Planning'!$E$10:$CI$10, 0)))</f>
        <v/>
      </c>
      <c r="M44" s="7" t="str" cm="1">
        <f t="array" ref="M44">IF(is_cat, IF(header_row_id = income_header_row, MATCH(income_min_row, $C:$C, 0), IF(header_row_id = expenses_header_row, MATCH(expenses_min_row, $C:$C, 0), IF(header_row_id = savings_header_row, MATCH(savings_min_row, $C:$C, 0), ""))), "")</f>
        <v/>
      </c>
      <c r="N44" s="9" t="str" cm="1">
        <f t="array" ref="N44">IF(is_cat, IF(header_row_id = income_header_row, MATCH(income_max_row, $C:$C, 0), IF(header_row_id = expenses_header_row, MATCH(expenses_max_row, $C:$C, 0), IF(header_row_id = savings_header_row, MATCH(savings_max_row, $C:$C, 0), ""))), "")</f>
        <v/>
      </c>
      <c r="O44" s="7" t="str">
        <f>IF(is_cat, ADDRESS(sort_min_row, COLUMN(tracked)) &amp; ":" &amp; ADDRESS(sort_max_row, COLUMN(tracked)), "")</f>
        <v/>
      </c>
      <c r="P44" s="8" t="str">
        <f ca="1">IF(is_cat, RANK(tracked, INDIRECT(tracked_range), 0), "")</f>
        <v/>
      </c>
      <c r="Q44" s="8" t="str">
        <f>IF(is_cat, ADDRESS(sort_min_row, COLUMN(budget)) &amp; ":" &amp; ADDRESS(sort_max_row, COLUMN(budget)), "")</f>
        <v/>
      </c>
      <c r="R44" s="9" t="str">
        <f ca="1">IF(is_cat, RANK(budget, INDIRECT(budget_range), 0), "")</f>
        <v/>
      </c>
      <c r="S44" s="7" t="str">
        <f>IF(is_cat, _xlfn.NUMBERVALUE(tracked_rank &amp; budget_rank), "")</f>
        <v/>
      </c>
      <c r="T44" s="8" t="str">
        <f>IF(is_cat, ADDRESS(sort_min_row, COLUMN(comb_rank)) &amp; ":" &amp; ADDRESS(sort_max_row, COLUMN(comb_rank)), "")</f>
        <v/>
      </c>
      <c r="U44" s="8" t="str">
        <f ca="1">IF(is_cat, RANK(comb_rank, INDIRECT(comb_rank_range), 1), "")</f>
        <v/>
      </c>
      <c r="V44" s="8" t="str">
        <f>IF(is_cat, ADDRESS(sort_min_row, COLUMN(comb_rank_norm)) &amp; ":" &amp; ADDRESS(ROW(), COLUMN(comb_rank_norm)), "")</f>
        <v/>
      </c>
      <c r="W44" s="9" t="str">
        <f ca="1">IF(is_cat, comb_rank_norm + COUNTIF(INDIRECT(comb_rank_norm_run_range), comb_rank_norm)-1, "")</f>
        <v/>
      </c>
      <c r="X44" s="73">
        <f>IF(is_cat, header_row_id + comb_rank_unique, row_id)</f>
        <v>-1</v>
      </c>
      <c r="Y44" s="75" t="str">
        <f>IF(is_empty, "", INDEX($J:$J, MATCH(row_id, $X:$X, 0)))</f>
        <v/>
      </c>
      <c r="Z44" s="78" t="str">
        <f>IF(is_empty, "", IF(is_header, "Tracked", INDEX($K:$K, MATCH(row_id, $X:$X, 0))))</f>
        <v/>
      </c>
      <c r="AA44" s="78" t="str">
        <f>IF(is_empty, "", IF(is_header, "Budget", INDEX($L:$L, MATCH(row_id, $X:$X, 0))))</f>
        <v/>
      </c>
      <c r="AB44" s="77" t="str">
        <f>IF(is_empty, "", IF(is_header, "% Compl.", IFERROR(out_tracked / out_Budget, "-")))</f>
        <v/>
      </c>
      <c r="AC44" s="78" t="str">
        <f>IF(is_empty, "", IF(is_header, "Remaining", IF(out_Budget - out_tracked &gt; 0, out_Budget - out_tracked, 0)))</f>
        <v/>
      </c>
      <c r="AD44" s="78" t="str">
        <f>IF(is_empty, "", IF(is_header, "Excess", IF(out_Budget - out_tracked &lt; 0, out_tracked - out_Budget, 0)))</f>
        <v/>
      </c>
    </row>
    <row r="45" spans="3:44" x14ac:dyDescent="0.3">
      <c r="C45" s="7" cm="1">
        <f t="array" ref="C45">IF(C44=-1, -1, IF(C44&lt;income_max_row, C44+1, IF(C44=income_max_row, income_total_row, IF(C44=income_total_row, "/1", IF(C44="/1", expenses_header_row, IF(C44&lt;expenses_max_row, C44+1, IF(C44= expenses_max_row, expenses_total_row, IF(C44=expenses_total_row, "/2", IF(C44="/2", savings_header_row, IF(C44&lt;savings_max_row, C44+1, IF(C44=savings_max_row, savings_total_row, -1)))))))))))</f>
        <v>-1</v>
      </c>
      <c r="D45" s="9">
        <f>IF(is_header, row_id, IF(NOT(is_empty), D44, -1))</f>
        <v>-1</v>
      </c>
      <c r="E45" s="7" cm="1">
        <f t="array" ref="E45">1*OR(row_id=income_header_row, row_id=expenses_header_row, row_id=savings_header_row)</f>
        <v>0</v>
      </c>
      <c r="F45" s="8">
        <f>1*NOT(OR(is_header, is_total, is_empty))</f>
        <v>0</v>
      </c>
      <c r="G45" s="8" cm="1">
        <f t="array" ref="G45">1*OR(row_id=income_total_row, row_id=expenses_total_row, row_id=savings_total_row)</f>
        <v>0</v>
      </c>
      <c r="H45" s="9">
        <f>1*OR(row_id="/1", row_id="/2", row_id=-1)</f>
        <v>1</v>
      </c>
      <c r="I45" s="7" t="str" cm="1">
        <f t="array" ref="I45">IFERROR(INDEX('Budget Planning'!$C:$C, header_row_id), "")</f>
        <v/>
      </c>
      <c r="J45" s="8" t="str" cm="1">
        <f t="array" ref="J45">IFERROR(INDEX('Budget Planning'!$C:$C, row_id), "")</f>
        <v/>
      </c>
      <c r="K45" s="70" t="str" cm="1">
        <f t="array" ref="K45">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45" s="71" t="str" cm="1">
        <f t="array" ref="L45">IF(OR(is_header, is_empty), "", INDEX('Budget Planning'!$E:$CI, row_id, MATCH(IF(selected_period="Total Year", selected_year, DATE(selected_year, selected_period, 1)), 'Budget Planning'!$E$10:$CI$10, 0)))</f>
        <v/>
      </c>
      <c r="M45" s="7" t="str" cm="1">
        <f t="array" ref="M45">IF(is_cat, IF(header_row_id = income_header_row, MATCH(income_min_row, $C:$C, 0), IF(header_row_id = expenses_header_row, MATCH(expenses_min_row, $C:$C, 0), IF(header_row_id = savings_header_row, MATCH(savings_min_row, $C:$C, 0), ""))), "")</f>
        <v/>
      </c>
      <c r="N45" s="9" t="str" cm="1">
        <f t="array" ref="N45">IF(is_cat, IF(header_row_id = income_header_row, MATCH(income_max_row, $C:$C, 0), IF(header_row_id = expenses_header_row, MATCH(expenses_max_row, $C:$C, 0), IF(header_row_id = savings_header_row, MATCH(savings_max_row, $C:$C, 0), ""))), "")</f>
        <v/>
      </c>
      <c r="O45" s="7" t="str">
        <f>IF(is_cat, ADDRESS(sort_min_row, COLUMN(tracked)) &amp; ":" &amp; ADDRESS(sort_max_row, COLUMN(tracked)), "")</f>
        <v/>
      </c>
      <c r="P45" s="8" t="str">
        <f ca="1">IF(is_cat, RANK(tracked, INDIRECT(tracked_range), 0), "")</f>
        <v/>
      </c>
      <c r="Q45" s="8" t="str">
        <f>IF(is_cat, ADDRESS(sort_min_row, COLUMN(budget)) &amp; ":" &amp; ADDRESS(sort_max_row, COLUMN(budget)), "")</f>
        <v/>
      </c>
      <c r="R45" s="9" t="str">
        <f ca="1">IF(is_cat, RANK(budget, INDIRECT(budget_range), 0), "")</f>
        <v/>
      </c>
      <c r="S45" s="7" t="str">
        <f>IF(is_cat, _xlfn.NUMBERVALUE(tracked_rank &amp; budget_rank), "")</f>
        <v/>
      </c>
      <c r="T45" s="8" t="str">
        <f>IF(is_cat, ADDRESS(sort_min_row, COLUMN(comb_rank)) &amp; ":" &amp; ADDRESS(sort_max_row, COLUMN(comb_rank)), "")</f>
        <v/>
      </c>
      <c r="U45" s="8" t="str">
        <f ca="1">IF(is_cat, RANK(comb_rank, INDIRECT(comb_rank_range), 1), "")</f>
        <v/>
      </c>
      <c r="V45" s="8" t="str">
        <f>IF(is_cat, ADDRESS(sort_min_row, COLUMN(comb_rank_norm)) &amp; ":" &amp; ADDRESS(ROW(), COLUMN(comb_rank_norm)), "")</f>
        <v/>
      </c>
      <c r="W45" s="9" t="str">
        <f ca="1">IF(is_cat, comb_rank_norm + COUNTIF(INDIRECT(comb_rank_norm_run_range), comb_rank_norm)-1, "")</f>
        <v/>
      </c>
      <c r="X45" s="73">
        <f>IF(is_cat, header_row_id + comb_rank_unique, row_id)</f>
        <v>-1</v>
      </c>
      <c r="Y45" s="75" t="str">
        <f>IF(is_empty, "", INDEX($J:$J, MATCH(row_id, $X:$X, 0)))</f>
        <v/>
      </c>
      <c r="Z45" s="78" t="str">
        <f>IF(is_empty, "", IF(is_header, "Tracked", INDEX($K:$K, MATCH(row_id, $X:$X, 0))))</f>
        <v/>
      </c>
      <c r="AA45" s="78" t="str">
        <f>IF(is_empty, "", IF(is_header, "Budget", INDEX($L:$L, MATCH(row_id, $X:$X, 0))))</f>
        <v/>
      </c>
      <c r="AB45" s="77" t="str">
        <f>IF(is_empty, "", IF(is_header, "% Compl.", IFERROR(out_tracked / out_Budget, "-")))</f>
        <v/>
      </c>
      <c r="AC45" s="78" t="str">
        <f>IF(is_empty, "", IF(is_header, "Remaining", IF(out_Budget - out_tracked &gt; 0, out_Budget - out_tracked, 0)))</f>
        <v/>
      </c>
      <c r="AD45" s="78" t="str">
        <f>IF(is_empty, "", IF(is_header, "Excess", IF(out_Budget - out_tracked &lt; 0, out_tracked - out_Budget, 0)))</f>
        <v/>
      </c>
    </row>
    <row r="46" spans="3:44" x14ac:dyDescent="0.3">
      <c r="C46" s="7" cm="1">
        <f t="array" ref="C46">IF(C45=-1, -1, IF(C45&lt;income_max_row, C45+1, IF(C45=income_max_row, income_total_row, IF(C45=income_total_row, "/1", IF(C45="/1", expenses_header_row, IF(C45&lt;expenses_max_row, C45+1, IF(C45= expenses_max_row, expenses_total_row, IF(C45=expenses_total_row, "/2", IF(C45="/2", savings_header_row, IF(C45&lt;savings_max_row, C45+1, IF(C45=savings_max_row, savings_total_row, -1)))))))))))</f>
        <v>-1</v>
      </c>
      <c r="D46" s="9">
        <f>IF(is_header, row_id, IF(NOT(is_empty), D45, -1))</f>
        <v>-1</v>
      </c>
      <c r="E46" s="7" cm="1">
        <f t="array" ref="E46">1*OR(row_id=income_header_row, row_id=expenses_header_row, row_id=savings_header_row)</f>
        <v>0</v>
      </c>
      <c r="F46" s="8">
        <f>1*NOT(OR(is_header, is_total, is_empty))</f>
        <v>0</v>
      </c>
      <c r="G46" s="8" cm="1">
        <f t="array" ref="G46">1*OR(row_id=income_total_row, row_id=expenses_total_row, row_id=savings_total_row)</f>
        <v>0</v>
      </c>
      <c r="H46" s="9">
        <f>1*OR(row_id="/1", row_id="/2", row_id=-1)</f>
        <v>1</v>
      </c>
      <c r="I46" s="7" t="str" cm="1">
        <f t="array" ref="I46">IFERROR(INDEX('Budget Planning'!$C:$C, header_row_id), "")</f>
        <v/>
      </c>
      <c r="J46" s="8" t="str" cm="1">
        <f t="array" ref="J46">IFERROR(INDEX('Budget Planning'!$C:$C, row_id), "")</f>
        <v/>
      </c>
      <c r="K46" s="70" t="str" cm="1">
        <f t="array" ref="K46">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46" s="71" t="str" cm="1">
        <f t="array" ref="L46">IF(OR(is_header, is_empty), "", INDEX('Budget Planning'!$E:$CI, row_id, MATCH(IF(selected_period="Total Year", selected_year, DATE(selected_year, selected_period, 1)), 'Budget Planning'!$E$10:$CI$10, 0)))</f>
        <v/>
      </c>
      <c r="M46" s="7" t="str" cm="1">
        <f t="array" ref="M46">IF(is_cat, IF(header_row_id = income_header_row, MATCH(income_min_row, $C:$C, 0), IF(header_row_id = expenses_header_row, MATCH(expenses_min_row, $C:$C, 0), IF(header_row_id = savings_header_row, MATCH(savings_min_row, $C:$C, 0), ""))), "")</f>
        <v/>
      </c>
      <c r="N46" s="9" t="str" cm="1">
        <f t="array" ref="N46">IF(is_cat, IF(header_row_id = income_header_row, MATCH(income_max_row, $C:$C, 0), IF(header_row_id = expenses_header_row, MATCH(expenses_max_row, $C:$C, 0), IF(header_row_id = savings_header_row, MATCH(savings_max_row, $C:$C, 0), ""))), "")</f>
        <v/>
      </c>
      <c r="O46" s="7" t="str">
        <f>IF(is_cat, ADDRESS(sort_min_row, COLUMN(tracked)) &amp; ":" &amp; ADDRESS(sort_max_row, COLUMN(tracked)), "")</f>
        <v/>
      </c>
      <c r="P46" s="8" t="str">
        <f ca="1">IF(is_cat, RANK(tracked, INDIRECT(tracked_range), 0), "")</f>
        <v/>
      </c>
      <c r="Q46" s="8" t="str">
        <f>IF(is_cat, ADDRESS(sort_min_row, COLUMN(budget)) &amp; ":" &amp; ADDRESS(sort_max_row, COLUMN(budget)), "")</f>
        <v/>
      </c>
      <c r="R46" s="9" t="str">
        <f ca="1">IF(is_cat, RANK(budget, INDIRECT(budget_range), 0), "")</f>
        <v/>
      </c>
      <c r="S46" s="7" t="str">
        <f>IF(is_cat, _xlfn.NUMBERVALUE(tracked_rank &amp; budget_rank), "")</f>
        <v/>
      </c>
      <c r="T46" s="8" t="str">
        <f>IF(is_cat, ADDRESS(sort_min_row, COLUMN(comb_rank)) &amp; ":" &amp; ADDRESS(sort_max_row, COLUMN(comb_rank)), "")</f>
        <v/>
      </c>
      <c r="U46" s="8" t="str">
        <f ca="1">IF(is_cat, RANK(comb_rank, INDIRECT(comb_rank_range), 1), "")</f>
        <v/>
      </c>
      <c r="V46" s="8" t="str">
        <f>IF(is_cat, ADDRESS(sort_min_row, COLUMN(comb_rank_norm)) &amp; ":" &amp; ADDRESS(ROW(), COLUMN(comb_rank_norm)), "")</f>
        <v/>
      </c>
      <c r="W46" s="9" t="str">
        <f ca="1">IF(is_cat, comb_rank_norm + COUNTIF(INDIRECT(comb_rank_norm_run_range), comb_rank_norm)-1, "")</f>
        <v/>
      </c>
      <c r="X46" s="73">
        <f>IF(is_cat, header_row_id + comb_rank_unique, row_id)</f>
        <v>-1</v>
      </c>
      <c r="Y46" s="75" t="str">
        <f>IF(is_empty, "", INDEX($J:$J, MATCH(row_id, $X:$X, 0)))</f>
        <v/>
      </c>
      <c r="Z46" s="78" t="str">
        <f>IF(is_empty, "", IF(is_header, "Tracked", INDEX($K:$K, MATCH(row_id, $X:$X, 0))))</f>
        <v/>
      </c>
      <c r="AA46" s="78" t="str">
        <f>IF(is_empty, "", IF(is_header, "Budget", INDEX($L:$L, MATCH(row_id, $X:$X, 0))))</f>
        <v/>
      </c>
      <c r="AB46" s="77" t="str">
        <f>IF(is_empty, "", IF(is_header, "% Compl.", IFERROR(out_tracked / out_Budget, "-")))</f>
        <v/>
      </c>
      <c r="AC46" s="78" t="str">
        <f>IF(is_empty, "", IF(is_header, "Remaining", IF(out_Budget - out_tracked &gt; 0, out_Budget - out_tracked, 0)))</f>
        <v/>
      </c>
      <c r="AD46" s="78" t="str">
        <f>IF(is_empty, "", IF(is_header, "Excess", IF(out_Budget - out_tracked &lt; 0, out_tracked - out_Budget, 0)))</f>
        <v/>
      </c>
    </row>
    <row r="47" spans="3:44" x14ac:dyDescent="0.3">
      <c r="C47" s="7" cm="1">
        <f t="array" ref="C47">IF(C46=-1, -1, IF(C46&lt;income_max_row, C46+1, IF(C46=income_max_row, income_total_row, IF(C46=income_total_row, "/1", IF(C46="/1", expenses_header_row, IF(C46&lt;expenses_max_row, C46+1, IF(C46= expenses_max_row, expenses_total_row, IF(C46=expenses_total_row, "/2", IF(C46="/2", savings_header_row, IF(C46&lt;savings_max_row, C46+1, IF(C46=savings_max_row, savings_total_row, -1)))))))))))</f>
        <v>-1</v>
      </c>
      <c r="D47" s="9">
        <f>IF(is_header, row_id, IF(NOT(is_empty), D46, -1))</f>
        <v>-1</v>
      </c>
      <c r="E47" s="7" cm="1">
        <f t="array" ref="E47">1*OR(row_id=income_header_row, row_id=expenses_header_row, row_id=savings_header_row)</f>
        <v>0</v>
      </c>
      <c r="F47" s="8">
        <f>1*NOT(OR(is_header, is_total, is_empty))</f>
        <v>0</v>
      </c>
      <c r="G47" s="8" cm="1">
        <f t="array" ref="G47">1*OR(row_id=income_total_row, row_id=expenses_total_row, row_id=savings_total_row)</f>
        <v>0</v>
      </c>
      <c r="H47" s="9">
        <f>1*OR(row_id="/1", row_id="/2", row_id=-1)</f>
        <v>1</v>
      </c>
      <c r="I47" s="7" t="str" cm="1">
        <f t="array" ref="I47">IFERROR(INDEX('Budget Planning'!$C:$C, header_row_id), "")</f>
        <v/>
      </c>
      <c r="J47" s="8" t="str" cm="1">
        <f t="array" ref="J47">IFERROR(INDEX('Budget Planning'!$C:$C, row_id), "")</f>
        <v/>
      </c>
      <c r="K47" s="70" t="str" cm="1">
        <f t="array" ref="K47">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47" s="71" t="str" cm="1">
        <f t="array" ref="L47">IF(OR(is_header, is_empty), "", INDEX('Budget Planning'!$E:$CI, row_id, MATCH(IF(selected_period="Total Year", selected_year, DATE(selected_year, selected_period, 1)), 'Budget Planning'!$E$10:$CI$10, 0)))</f>
        <v/>
      </c>
      <c r="M47" s="7" t="str" cm="1">
        <f t="array" ref="M47">IF(is_cat, IF(header_row_id = income_header_row, MATCH(income_min_row, $C:$C, 0), IF(header_row_id = expenses_header_row, MATCH(expenses_min_row, $C:$C, 0), IF(header_row_id = savings_header_row, MATCH(savings_min_row, $C:$C, 0), ""))), "")</f>
        <v/>
      </c>
      <c r="N47" s="9" t="str" cm="1">
        <f t="array" ref="N47">IF(is_cat, IF(header_row_id = income_header_row, MATCH(income_max_row, $C:$C, 0), IF(header_row_id = expenses_header_row, MATCH(expenses_max_row, $C:$C, 0), IF(header_row_id = savings_header_row, MATCH(savings_max_row, $C:$C, 0), ""))), "")</f>
        <v/>
      </c>
      <c r="O47" s="7" t="str">
        <f>IF(is_cat, ADDRESS(sort_min_row, COLUMN(tracked)) &amp; ":" &amp; ADDRESS(sort_max_row, COLUMN(tracked)), "")</f>
        <v/>
      </c>
      <c r="P47" s="8" t="str">
        <f ca="1">IF(is_cat, RANK(tracked, INDIRECT(tracked_range), 0), "")</f>
        <v/>
      </c>
      <c r="Q47" s="8" t="str">
        <f>IF(is_cat, ADDRESS(sort_min_row, COLUMN(budget)) &amp; ":" &amp; ADDRESS(sort_max_row, COLUMN(budget)), "")</f>
        <v/>
      </c>
      <c r="R47" s="9" t="str">
        <f ca="1">IF(is_cat, RANK(budget, INDIRECT(budget_range), 0), "")</f>
        <v/>
      </c>
      <c r="S47" s="7" t="str">
        <f>IF(is_cat, _xlfn.NUMBERVALUE(tracked_rank &amp; budget_rank), "")</f>
        <v/>
      </c>
      <c r="T47" s="8" t="str">
        <f>IF(is_cat, ADDRESS(sort_min_row, COLUMN(comb_rank)) &amp; ":" &amp; ADDRESS(sort_max_row, COLUMN(comb_rank)), "")</f>
        <v/>
      </c>
      <c r="U47" s="8" t="str">
        <f ca="1">IF(is_cat, RANK(comb_rank, INDIRECT(comb_rank_range), 1), "")</f>
        <v/>
      </c>
      <c r="V47" s="8" t="str">
        <f>IF(is_cat, ADDRESS(sort_min_row, COLUMN(comb_rank_norm)) &amp; ":" &amp; ADDRESS(ROW(), COLUMN(comb_rank_norm)), "")</f>
        <v/>
      </c>
      <c r="W47" s="9" t="str">
        <f ca="1">IF(is_cat, comb_rank_norm + COUNTIF(INDIRECT(comb_rank_norm_run_range), comb_rank_norm)-1, "")</f>
        <v/>
      </c>
      <c r="X47" s="73">
        <f>IF(is_cat, header_row_id + comb_rank_unique, row_id)</f>
        <v>-1</v>
      </c>
      <c r="Y47" s="75" t="str">
        <f>IF(is_empty, "", INDEX($J:$J, MATCH(row_id, $X:$X, 0)))</f>
        <v/>
      </c>
      <c r="Z47" s="78" t="str">
        <f>IF(is_empty, "", IF(is_header, "Tracked", INDEX($K:$K, MATCH(row_id, $X:$X, 0))))</f>
        <v/>
      </c>
      <c r="AA47" s="78" t="str">
        <f>IF(is_empty, "", IF(is_header, "Budget", INDEX($L:$L, MATCH(row_id, $X:$X, 0))))</f>
        <v/>
      </c>
      <c r="AB47" s="77" t="str">
        <f>IF(is_empty, "", IF(is_header, "% Compl.", IFERROR(out_tracked / out_Budget, "-")))</f>
        <v/>
      </c>
      <c r="AC47" s="78" t="str">
        <f>IF(is_empty, "", IF(is_header, "Remaining", IF(out_Budget - out_tracked &gt; 0, out_Budget - out_tracked, 0)))</f>
        <v/>
      </c>
      <c r="AD47" s="78" t="str">
        <f>IF(is_empty, "", IF(is_header, "Excess", IF(out_Budget - out_tracked &lt; 0, out_tracked - out_Budget, 0)))</f>
        <v/>
      </c>
    </row>
    <row r="48" spans="3:44" x14ac:dyDescent="0.3">
      <c r="C48" s="7" cm="1">
        <f t="array" ref="C48">IF(C47=-1, -1, IF(C47&lt;income_max_row, C47+1, IF(C47=income_max_row, income_total_row, IF(C47=income_total_row, "/1", IF(C47="/1", expenses_header_row, IF(C47&lt;expenses_max_row, C47+1, IF(C47= expenses_max_row, expenses_total_row, IF(C47=expenses_total_row, "/2", IF(C47="/2", savings_header_row, IF(C47&lt;savings_max_row, C47+1, IF(C47=savings_max_row, savings_total_row, -1)))))))))))</f>
        <v>-1</v>
      </c>
      <c r="D48" s="9">
        <f>IF(is_header, row_id, IF(NOT(is_empty), D47, -1))</f>
        <v>-1</v>
      </c>
      <c r="E48" s="7" cm="1">
        <f t="array" ref="E48">1*OR(row_id=income_header_row, row_id=expenses_header_row, row_id=savings_header_row)</f>
        <v>0</v>
      </c>
      <c r="F48" s="8">
        <f>1*NOT(OR(is_header, is_total, is_empty))</f>
        <v>0</v>
      </c>
      <c r="G48" s="8" cm="1">
        <f t="array" ref="G48">1*OR(row_id=income_total_row, row_id=expenses_total_row, row_id=savings_total_row)</f>
        <v>0</v>
      </c>
      <c r="H48" s="9">
        <f>1*OR(row_id="/1", row_id="/2", row_id=-1)</f>
        <v>1</v>
      </c>
      <c r="I48" s="7" t="str" cm="1">
        <f t="array" ref="I48">IFERROR(INDEX('Budget Planning'!$C:$C, header_row_id), "")</f>
        <v/>
      </c>
      <c r="J48" s="8" t="str" cm="1">
        <f t="array" ref="J48">IFERROR(INDEX('Budget Planning'!$C:$C, row_id), "")</f>
        <v/>
      </c>
      <c r="K48" s="70" t="str" cm="1">
        <f t="array" ref="K48">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48" s="71" t="str" cm="1">
        <f t="array" ref="L48">IF(OR(is_header, is_empty), "", INDEX('Budget Planning'!$E:$CI, row_id, MATCH(IF(selected_period="Total Year", selected_year, DATE(selected_year, selected_period, 1)), 'Budget Planning'!$E$10:$CI$10, 0)))</f>
        <v/>
      </c>
      <c r="M48" s="7" t="str" cm="1">
        <f t="array" ref="M48">IF(is_cat, IF(header_row_id = income_header_row, MATCH(income_min_row, $C:$C, 0), IF(header_row_id = expenses_header_row, MATCH(expenses_min_row, $C:$C, 0), IF(header_row_id = savings_header_row, MATCH(savings_min_row, $C:$C, 0), ""))), "")</f>
        <v/>
      </c>
      <c r="N48" s="9" t="str" cm="1">
        <f t="array" ref="N48">IF(is_cat, IF(header_row_id = income_header_row, MATCH(income_max_row, $C:$C, 0), IF(header_row_id = expenses_header_row, MATCH(expenses_max_row, $C:$C, 0), IF(header_row_id = savings_header_row, MATCH(savings_max_row, $C:$C, 0), ""))), "")</f>
        <v/>
      </c>
      <c r="O48" s="7" t="str">
        <f>IF(is_cat, ADDRESS(sort_min_row, COLUMN(tracked)) &amp; ":" &amp; ADDRESS(sort_max_row, COLUMN(tracked)), "")</f>
        <v/>
      </c>
      <c r="P48" s="8" t="str">
        <f ca="1">IF(is_cat, RANK(tracked, INDIRECT(tracked_range), 0), "")</f>
        <v/>
      </c>
      <c r="Q48" s="8" t="str">
        <f>IF(is_cat, ADDRESS(sort_min_row, COLUMN(budget)) &amp; ":" &amp; ADDRESS(sort_max_row, COLUMN(budget)), "")</f>
        <v/>
      </c>
      <c r="R48" s="9" t="str">
        <f ca="1">IF(is_cat, RANK(budget, INDIRECT(budget_range), 0), "")</f>
        <v/>
      </c>
      <c r="S48" s="7" t="str">
        <f>IF(is_cat, _xlfn.NUMBERVALUE(tracked_rank &amp; budget_rank), "")</f>
        <v/>
      </c>
      <c r="T48" s="8" t="str">
        <f>IF(is_cat, ADDRESS(sort_min_row, COLUMN(comb_rank)) &amp; ":" &amp; ADDRESS(sort_max_row, COLUMN(comb_rank)), "")</f>
        <v/>
      </c>
      <c r="U48" s="8" t="str">
        <f ca="1">IF(is_cat, RANK(comb_rank, INDIRECT(comb_rank_range), 1), "")</f>
        <v/>
      </c>
      <c r="V48" s="8" t="str">
        <f>IF(is_cat, ADDRESS(sort_min_row, COLUMN(comb_rank_norm)) &amp; ":" &amp; ADDRESS(ROW(), COLUMN(comb_rank_norm)), "")</f>
        <v/>
      </c>
      <c r="W48" s="9" t="str">
        <f ca="1">IF(is_cat, comb_rank_norm + COUNTIF(INDIRECT(comb_rank_norm_run_range), comb_rank_norm)-1, "")</f>
        <v/>
      </c>
      <c r="X48" s="73">
        <f>IF(is_cat, header_row_id + comb_rank_unique, row_id)</f>
        <v>-1</v>
      </c>
      <c r="Y48" s="75" t="str">
        <f>IF(is_empty, "", INDEX($J:$J, MATCH(row_id, $X:$X, 0)))</f>
        <v/>
      </c>
      <c r="Z48" s="78" t="str">
        <f>IF(is_empty, "", IF(is_header, "Tracked", INDEX($K:$K, MATCH(row_id, $X:$X, 0))))</f>
        <v/>
      </c>
      <c r="AA48" s="78" t="str">
        <f>IF(is_empty, "", IF(is_header, "Budget", INDEX($L:$L, MATCH(row_id, $X:$X, 0))))</f>
        <v/>
      </c>
      <c r="AB48" s="77" t="str">
        <f>IF(is_empty, "", IF(is_header, "% Compl.", IFERROR(out_tracked / out_Budget, "-")))</f>
        <v/>
      </c>
      <c r="AC48" s="78" t="str">
        <f>IF(is_empty, "", IF(is_header, "Remaining", IF(out_Budget - out_tracked &gt; 0, out_Budget - out_tracked, 0)))</f>
        <v/>
      </c>
      <c r="AD48" s="78" t="str">
        <f>IF(is_empty, "", IF(is_header, "Excess", IF(out_Budget - out_tracked &lt; 0, out_tracked - out_Budget, 0)))</f>
        <v/>
      </c>
    </row>
    <row r="49" spans="3:30" x14ac:dyDescent="0.3">
      <c r="C49" s="7" cm="1">
        <f t="array" ref="C49">IF(C48=-1, -1, IF(C48&lt;income_max_row, C48+1, IF(C48=income_max_row, income_total_row, IF(C48=income_total_row, "/1", IF(C48="/1", expenses_header_row, IF(C48&lt;expenses_max_row, C48+1, IF(C48= expenses_max_row, expenses_total_row, IF(C48=expenses_total_row, "/2", IF(C48="/2", savings_header_row, IF(C48&lt;savings_max_row, C48+1, IF(C48=savings_max_row, savings_total_row, -1)))))))))))</f>
        <v>-1</v>
      </c>
      <c r="D49" s="9">
        <f>IF(is_header, row_id, IF(NOT(is_empty), D48, -1))</f>
        <v>-1</v>
      </c>
      <c r="E49" s="7" cm="1">
        <f t="array" ref="E49">1*OR(row_id=income_header_row, row_id=expenses_header_row, row_id=savings_header_row)</f>
        <v>0</v>
      </c>
      <c r="F49" s="8">
        <f>1*NOT(OR(is_header, is_total, is_empty))</f>
        <v>0</v>
      </c>
      <c r="G49" s="8" cm="1">
        <f t="array" ref="G49">1*OR(row_id=income_total_row, row_id=expenses_total_row, row_id=savings_total_row)</f>
        <v>0</v>
      </c>
      <c r="H49" s="9">
        <f>1*OR(row_id="/1", row_id="/2", row_id=-1)</f>
        <v>1</v>
      </c>
      <c r="I49" s="7" t="str" cm="1">
        <f t="array" ref="I49">IFERROR(INDEX('Budget Planning'!$C:$C, header_row_id), "")</f>
        <v/>
      </c>
      <c r="J49" s="8" t="str" cm="1">
        <f t="array" ref="J49">IFERROR(INDEX('Budget Planning'!$C:$C, row_id), "")</f>
        <v/>
      </c>
      <c r="K49" s="70" t="str" cm="1">
        <f t="array" ref="K49">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49" s="71" t="str" cm="1">
        <f t="array" ref="L49">IF(OR(is_header, is_empty), "", INDEX('Budget Planning'!$E:$CI, row_id, MATCH(IF(selected_period="Total Year", selected_year, DATE(selected_year, selected_period, 1)), 'Budget Planning'!$E$10:$CI$10, 0)))</f>
        <v/>
      </c>
      <c r="M49" s="7" t="str" cm="1">
        <f t="array" ref="M49">IF(is_cat, IF(header_row_id = income_header_row, MATCH(income_min_row, $C:$C, 0), IF(header_row_id = expenses_header_row, MATCH(expenses_min_row, $C:$C, 0), IF(header_row_id = savings_header_row, MATCH(savings_min_row, $C:$C, 0), ""))), "")</f>
        <v/>
      </c>
      <c r="N49" s="9" t="str" cm="1">
        <f t="array" ref="N49">IF(is_cat, IF(header_row_id = income_header_row, MATCH(income_max_row, $C:$C, 0), IF(header_row_id = expenses_header_row, MATCH(expenses_max_row, $C:$C, 0), IF(header_row_id = savings_header_row, MATCH(savings_max_row, $C:$C, 0), ""))), "")</f>
        <v/>
      </c>
      <c r="O49" s="7" t="str">
        <f>IF(is_cat, ADDRESS(sort_min_row, COLUMN(tracked)) &amp; ":" &amp; ADDRESS(sort_max_row, COLUMN(tracked)), "")</f>
        <v/>
      </c>
      <c r="P49" s="8" t="str">
        <f ca="1">IF(is_cat, RANK(tracked, INDIRECT(tracked_range), 0), "")</f>
        <v/>
      </c>
      <c r="Q49" s="8" t="str">
        <f>IF(is_cat, ADDRESS(sort_min_row, COLUMN(budget)) &amp; ":" &amp; ADDRESS(sort_max_row, COLUMN(budget)), "")</f>
        <v/>
      </c>
      <c r="R49" s="9" t="str">
        <f ca="1">IF(is_cat, RANK(budget, INDIRECT(budget_range), 0), "")</f>
        <v/>
      </c>
      <c r="S49" s="7" t="str">
        <f>IF(is_cat, _xlfn.NUMBERVALUE(tracked_rank &amp; budget_rank), "")</f>
        <v/>
      </c>
      <c r="T49" s="8" t="str">
        <f>IF(is_cat, ADDRESS(sort_min_row, COLUMN(comb_rank)) &amp; ":" &amp; ADDRESS(sort_max_row, COLUMN(comb_rank)), "")</f>
        <v/>
      </c>
      <c r="U49" s="8" t="str">
        <f ca="1">IF(is_cat, RANK(comb_rank, INDIRECT(comb_rank_range), 1), "")</f>
        <v/>
      </c>
      <c r="V49" s="8" t="str">
        <f>IF(is_cat, ADDRESS(sort_min_row, COLUMN(comb_rank_norm)) &amp; ":" &amp; ADDRESS(ROW(), COLUMN(comb_rank_norm)), "")</f>
        <v/>
      </c>
      <c r="W49" s="9" t="str">
        <f ca="1">IF(is_cat, comb_rank_norm + COUNTIF(INDIRECT(comb_rank_norm_run_range), comb_rank_norm)-1, "")</f>
        <v/>
      </c>
      <c r="X49" s="73">
        <f>IF(is_cat, header_row_id + comb_rank_unique, row_id)</f>
        <v>-1</v>
      </c>
      <c r="Y49" s="75" t="str">
        <f>IF(is_empty, "", INDEX($J:$J, MATCH(row_id, $X:$X, 0)))</f>
        <v/>
      </c>
      <c r="Z49" s="78" t="str">
        <f>IF(is_empty, "", IF(is_header, "Tracked", INDEX($K:$K, MATCH(row_id, $X:$X, 0))))</f>
        <v/>
      </c>
      <c r="AA49" s="78" t="str">
        <f>IF(is_empty, "", IF(is_header, "Budget", INDEX($L:$L, MATCH(row_id, $X:$X, 0))))</f>
        <v/>
      </c>
      <c r="AB49" s="77" t="str">
        <f>IF(is_empty, "", IF(is_header, "% Compl.", IFERROR(out_tracked / out_Budget, "-")))</f>
        <v/>
      </c>
      <c r="AC49" s="78" t="str">
        <f>IF(is_empty, "", IF(is_header, "Remaining", IF(out_Budget - out_tracked &gt; 0, out_Budget - out_tracked, 0)))</f>
        <v/>
      </c>
      <c r="AD49" s="78" t="str">
        <f>IF(is_empty, "", IF(is_header, "Excess", IF(out_Budget - out_tracked &lt; 0, out_tracked - out_Budget, 0)))</f>
        <v/>
      </c>
    </row>
    <row r="50" spans="3:30" x14ac:dyDescent="0.3">
      <c r="C50" s="7" cm="1">
        <f t="array" ref="C50">IF(C49=-1, -1, IF(C49&lt;income_max_row, C49+1, IF(C49=income_max_row, income_total_row, IF(C49=income_total_row, "/1", IF(C49="/1", expenses_header_row, IF(C49&lt;expenses_max_row, C49+1, IF(C49= expenses_max_row, expenses_total_row, IF(C49=expenses_total_row, "/2", IF(C49="/2", savings_header_row, IF(C49&lt;savings_max_row, C49+1, IF(C49=savings_max_row, savings_total_row, -1)))))))))))</f>
        <v>-1</v>
      </c>
      <c r="D50" s="9">
        <f>IF(is_header, row_id, IF(NOT(is_empty), D49, -1))</f>
        <v>-1</v>
      </c>
      <c r="E50" s="7" cm="1">
        <f t="array" ref="E50">1*OR(row_id=income_header_row, row_id=expenses_header_row, row_id=savings_header_row)</f>
        <v>0</v>
      </c>
      <c r="F50" s="8">
        <f>1*NOT(OR(is_header, is_total, is_empty))</f>
        <v>0</v>
      </c>
      <c r="G50" s="8" cm="1">
        <f t="array" ref="G50">1*OR(row_id=income_total_row, row_id=expenses_total_row, row_id=savings_total_row)</f>
        <v>0</v>
      </c>
      <c r="H50" s="9">
        <f>1*OR(row_id="/1", row_id="/2", row_id=-1)</f>
        <v>1</v>
      </c>
      <c r="I50" s="7" t="str" cm="1">
        <f t="array" ref="I50">IFERROR(INDEX('Budget Planning'!$C:$C, header_row_id), "")</f>
        <v/>
      </c>
      <c r="J50" s="8" t="str" cm="1">
        <f t="array" ref="J50">IFERROR(INDEX('Budget Planning'!$C:$C, row_id), "")</f>
        <v/>
      </c>
      <c r="K50" s="70" t="str" cm="1">
        <f t="array" ref="K50">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50" s="71" t="str" cm="1">
        <f t="array" ref="L50">IF(OR(is_header, is_empty), "", INDEX('Budget Planning'!$E:$CI, row_id, MATCH(IF(selected_period="Total Year", selected_year, DATE(selected_year, selected_period, 1)), 'Budget Planning'!$E$10:$CI$10, 0)))</f>
        <v/>
      </c>
      <c r="M50" s="7" t="str" cm="1">
        <f t="array" ref="M50">IF(is_cat, IF(header_row_id = income_header_row, MATCH(income_min_row, $C:$C, 0), IF(header_row_id = expenses_header_row, MATCH(expenses_min_row, $C:$C, 0), IF(header_row_id = savings_header_row, MATCH(savings_min_row, $C:$C, 0), ""))), "")</f>
        <v/>
      </c>
      <c r="N50" s="9" t="str" cm="1">
        <f t="array" ref="N50">IF(is_cat, IF(header_row_id = income_header_row, MATCH(income_max_row, $C:$C, 0), IF(header_row_id = expenses_header_row, MATCH(expenses_max_row, $C:$C, 0), IF(header_row_id = savings_header_row, MATCH(savings_max_row, $C:$C, 0), ""))), "")</f>
        <v/>
      </c>
      <c r="O50" s="7" t="str">
        <f>IF(is_cat, ADDRESS(sort_min_row, COLUMN(tracked)) &amp; ":" &amp; ADDRESS(sort_max_row, COLUMN(tracked)), "")</f>
        <v/>
      </c>
      <c r="P50" s="8" t="str">
        <f ca="1">IF(is_cat, RANK(tracked, INDIRECT(tracked_range), 0), "")</f>
        <v/>
      </c>
      <c r="Q50" s="8" t="str">
        <f>IF(is_cat, ADDRESS(sort_min_row, COLUMN(budget)) &amp; ":" &amp; ADDRESS(sort_max_row, COLUMN(budget)), "")</f>
        <v/>
      </c>
      <c r="R50" s="9" t="str">
        <f ca="1">IF(is_cat, RANK(budget, INDIRECT(budget_range), 0), "")</f>
        <v/>
      </c>
      <c r="S50" s="7" t="str">
        <f>IF(is_cat, _xlfn.NUMBERVALUE(tracked_rank &amp; budget_rank), "")</f>
        <v/>
      </c>
      <c r="T50" s="8" t="str">
        <f>IF(is_cat, ADDRESS(sort_min_row, COLUMN(comb_rank)) &amp; ":" &amp; ADDRESS(sort_max_row, COLUMN(comb_rank)), "")</f>
        <v/>
      </c>
      <c r="U50" s="8" t="str">
        <f ca="1">IF(is_cat, RANK(comb_rank, INDIRECT(comb_rank_range), 1), "")</f>
        <v/>
      </c>
      <c r="V50" s="8" t="str">
        <f>IF(is_cat, ADDRESS(sort_min_row, COLUMN(comb_rank_norm)) &amp; ":" &amp; ADDRESS(ROW(), COLUMN(comb_rank_norm)), "")</f>
        <v/>
      </c>
      <c r="W50" s="9" t="str">
        <f ca="1">IF(is_cat, comb_rank_norm + COUNTIF(INDIRECT(comb_rank_norm_run_range), comb_rank_norm)-1, "")</f>
        <v/>
      </c>
      <c r="X50" s="73">
        <f>IF(is_cat, header_row_id + comb_rank_unique, row_id)</f>
        <v>-1</v>
      </c>
      <c r="Y50" s="75" t="str">
        <f>IF(is_empty, "", INDEX($J:$J, MATCH(row_id, $X:$X, 0)))</f>
        <v/>
      </c>
      <c r="Z50" s="78" t="str">
        <f>IF(is_empty, "", IF(is_header, "Tracked", INDEX($K:$K, MATCH(row_id, $X:$X, 0))))</f>
        <v/>
      </c>
      <c r="AA50" s="78" t="str">
        <f>IF(is_empty, "", IF(is_header, "Budget", INDEX($L:$L, MATCH(row_id, $X:$X, 0))))</f>
        <v/>
      </c>
      <c r="AB50" s="77" t="str">
        <f>IF(is_empty, "", IF(is_header, "% Compl.", IFERROR(out_tracked / out_Budget, "-")))</f>
        <v/>
      </c>
      <c r="AC50" s="78" t="str">
        <f>IF(is_empty, "", IF(is_header, "Remaining", IF(out_Budget - out_tracked &gt; 0, out_Budget - out_tracked, 0)))</f>
        <v/>
      </c>
      <c r="AD50" s="78" t="str">
        <f>IF(is_empty, "", IF(is_header, "Excess", IF(out_Budget - out_tracked &lt; 0, out_tracked - out_Budget, 0)))</f>
        <v/>
      </c>
    </row>
    <row r="51" spans="3:30" x14ac:dyDescent="0.3">
      <c r="C51" s="7" cm="1">
        <f t="array" ref="C51">IF(C50=-1, -1, IF(C50&lt;income_max_row, C50+1, IF(C50=income_max_row, income_total_row, IF(C50=income_total_row, "/1", IF(C50="/1", expenses_header_row, IF(C50&lt;expenses_max_row, C50+1, IF(C50= expenses_max_row, expenses_total_row, IF(C50=expenses_total_row, "/2", IF(C50="/2", savings_header_row, IF(C50&lt;savings_max_row, C50+1, IF(C50=savings_max_row, savings_total_row, -1)))))))))))</f>
        <v>-1</v>
      </c>
      <c r="D51" s="9">
        <f>IF(is_header, row_id, IF(NOT(is_empty), D50, -1))</f>
        <v>-1</v>
      </c>
      <c r="E51" s="7" t="b">
        <v>1</v>
      </c>
      <c r="F51" s="8">
        <f>1*NOT(OR(is_header, is_total, is_empty))</f>
        <v>0</v>
      </c>
      <c r="G51" s="8" cm="1">
        <f t="array" ref="G51">1*OR(row_id=income_total_row, row_id=expenses_total_row, row_id=savings_total_row)</f>
        <v>0</v>
      </c>
      <c r="H51" s="9">
        <f>1*OR(row_id="/1", row_id="/2", row_id=-1)</f>
        <v>1</v>
      </c>
      <c r="I51" s="7" t="str" cm="1">
        <f t="array" ref="I51">IFERROR(INDEX('Budget Planning'!$C:$C, header_row_id), "")</f>
        <v/>
      </c>
      <c r="J51" s="8" t="str" cm="1">
        <f t="array" ref="J51">IFERROR(INDEX('Budget Planning'!$C:$C, row_id), "")</f>
        <v/>
      </c>
      <c r="K51" s="70" t="str" cm="1">
        <f t="array" ref="K51">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51" s="71" t="str" cm="1">
        <f t="array" ref="L51">IF(OR(is_header, is_empty), "", INDEX('Budget Planning'!$E:$CI, row_id, MATCH(IF(selected_period="Total Year", selected_year, DATE(selected_year, selected_period, 1)), 'Budget Planning'!$E$10:$CI$10, 0)))</f>
        <v/>
      </c>
      <c r="M51" s="7" t="str" cm="1">
        <f t="array" ref="M51">IF(is_cat, IF(header_row_id = income_header_row, MATCH(income_min_row, $C:$C, 0), IF(header_row_id = expenses_header_row, MATCH(expenses_min_row, $C:$C, 0), IF(header_row_id = savings_header_row, MATCH(savings_min_row, $C:$C, 0), ""))), "")</f>
        <v/>
      </c>
      <c r="N51" s="9" t="str" cm="1">
        <f t="array" ref="N51">IF(is_cat, IF(header_row_id = income_header_row, MATCH(income_max_row, $C:$C, 0), IF(header_row_id = expenses_header_row, MATCH(expenses_max_row, $C:$C, 0), IF(header_row_id = savings_header_row, MATCH(savings_max_row, $C:$C, 0), ""))), "")</f>
        <v/>
      </c>
      <c r="O51" s="7" t="str">
        <f>IF(is_cat, ADDRESS(sort_min_row, COLUMN(tracked)) &amp; ":" &amp; ADDRESS(sort_max_row, COLUMN(tracked)), "")</f>
        <v/>
      </c>
      <c r="P51" s="8" t="str">
        <f ca="1">IF(is_cat, RANK(tracked, INDIRECT(tracked_range), 0), "")</f>
        <v/>
      </c>
      <c r="Q51" s="8" t="str">
        <f>IF(is_cat, ADDRESS(sort_min_row, COLUMN(budget)) &amp; ":" &amp; ADDRESS(sort_max_row, COLUMN(budget)), "")</f>
        <v/>
      </c>
      <c r="R51" s="9" t="str">
        <f ca="1">IF(is_cat, RANK(budget, INDIRECT(budget_range), 0), "")</f>
        <v/>
      </c>
      <c r="S51" s="7" t="str">
        <f>IF(is_cat, _xlfn.NUMBERVALUE(tracked_rank &amp; budget_rank), "")</f>
        <v/>
      </c>
      <c r="T51" s="8" t="str">
        <f>IF(is_cat, ADDRESS(sort_min_row, COLUMN(comb_rank)) &amp; ":" &amp; ADDRESS(sort_max_row, COLUMN(comb_rank)), "")</f>
        <v/>
      </c>
      <c r="U51" s="8" t="str">
        <f ca="1">IF(is_cat, RANK(comb_rank, INDIRECT(comb_rank_range), 1), "")</f>
        <v/>
      </c>
      <c r="V51" s="8" t="str">
        <f>IF(is_cat, ADDRESS(sort_min_row, COLUMN(comb_rank_norm)) &amp; ":" &amp; ADDRESS(ROW(), COLUMN(comb_rank_norm)), "")</f>
        <v/>
      </c>
      <c r="W51" s="9" t="str">
        <f ca="1">IF(is_cat, comb_rank_norm + COUNTIF(INDIRECT(comb_rank_norm_run_range), comb_rank_norm)-1, "")</f>
        <v/>
      </c>
      <c r="X51" s="73">
        <f>IF(is_cat, header_row_id + comb_rank_unique, row_id)</f>
        <v>-1</v>
      </c>
      <c r="Y51" s="75" t="str">
        <f>IF(is_empty, "", INDEX($J:$J, MATCH(row_id, $X:$X, 0)))</f>
        <v/>
      </c>
      <c r="Z51" s="79" t="str">
        <f>IF(is_empty, "", IF(is_header, "Tracked", INDEX($K:$K, MATCH(row_id, $X:$X, 0))))</f>
        <v/>
      </c>
      <c r="AA51" s="79" t="str">
        <f>IF(is_empty, "", IF(is_header, "Budget", INDEX($L:$L, MATCH(row_id, $X:$X, 0))))</f>
        <v/>
      </c>
      <c r="AB51" s="76" t="str">
        <f>IF(is_empty, "", IF(is_header, "% Compl.", IFERROR(out_tracked / out_Budget, "-")))</f>
        <v/>
      </c>
      <c r="AC51" s="79" t="str">
        <f>IF(is_empty, "", IF(is_header, "Remaining", IF(out_Budget - out_tracked &gt; 0, out_Budget - out_tracked, 0)))</f>
        <v/>
      </c>
      <c r="AD51" s="79" t="str">
        <f>IF(is_empty, "", IF(is_header, "Excess", IF(out_Budget - out_tracked &lt; 0, out_tracked - out_Budget, 0)))</f>
        <v/>
      </c>
    </row>
    <row r="52" spans="3:30" x14ac:dyDescent="0.3">
      <c r="C52" s="7" cm="1">
        <f t="array" ref="C52">IF(C51=-1, -1, IF(C51&lt;income_max_row, C51+1, IF(C51=income_max_row, income_total_row, IF(C51=income_total_row, "/1", IF(C51="/1", expenses_header_row, IF(C51&lt;expenses_max_row, C51+1, IF(C51= expenses_max_row, expenses_total_row, IF(C51=expenses_total_row, "/2", IF(C51="/2", savings_header_row, IF(C51&lt;savings_max_row, C51+1, IF(C51=savings_max_row, savings_total_row, -1)))))))))))</f>
        <v>-1</v>
      </c>
      <c r="D52" s="9">
        <f>IF(is_header, row_id, IF(NOT(is_empty), D51, -1))</f>
        <v>-1</v>
      </c>
      <c r="E52" s="7" cm="1">
        <f t="array" ref="E52">1*OR(row_id=income_header_row, row_id=expenses_header_row, row_id=savings_header_row)</f>
        <v>0</v>
      </c>
      <c r="F52" s="8">
        <f>1*NOT(OR(is_header, is_total, is_empty))</f>
        <v>0</v>
      </c>
      <c r="G52" s="8" cm="1">
        <f t="array" ref="G52">1*OR(row_id=income_total_row, row_id=expenses_total_row, row_id=savings_total_row)</f>
        <v>0</v>
      </c>
      <c r="H52" s="9">
        <f>1*OR(row_id="/1", row_id="/2", row_id=-1)</f>
        <v>1</v>
      </c>
      <c r="I52" s="7" t="str" cm="1">
        <f t="array" ref="I52">IFERROR(INDEX('Budget Planning'!$C:$C, header_row_id), "")</f>
        <v/>
      </c>
      <c r="J52" s="8" t="str" cm="1">
        <f t="array" ref="J52">IFERROR(INDEX('Budget Planning'!$C:$C, row_id), "")</f>
        <v/>
      </c>
      <c r="K52" s="70" t="str" cm="1">
        <f t="array" ref="K52">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52" s="71" t="str" cm="1">
        <f t="array" ref="L52">IF(OR(is_header, is_empty), "", INDEX('Budget Planning'!$E:$CI, row_id, MATCH(IF(selected_period="Total Year", selected_year, DATE(selected_year, selected_period, 1)), 'Budget Planning'!$E$10:$CI$10, 0)))</f>
        <v/>
      </c>
      <c r="M52" s="7" t="str" cm="1">
        <f t="array" ref="M52">IF(is_cat, IF(header_row_id = income_header_row, MATCH(income_min_row, $C:$C, 0), IF(header_row_id = expenses_header_row, MATCH(expenses_min_row, $C:$C, 0), IF(header_row_id = savings_header_row, MATCH(savings_min_row, $C:$C, 0), ""))), "")</f>
        <v/>
      </c>
      <c r="N52" s="9" t="str" cm="1">
        <f t="array" ref="N52">IF(is_cat, IF(header_row_id = income_header_row, MATCH(income_max_row, $C:$C, 0), IF(header_row_id = expenses_header_row, MATCH(expenses_max_row, $C:$C, 0), IF(header_row_id = savings_header_row, MATCH(savings_max_row, $C:$C, 0), ""))), "")</f>
        <v/>
      </c>
      <c r="O52" s="7" t="str">
        <f>IF(is_cat, ADDRESS(sort_min_row, COLUMN(tracked)) &amp; ":" &amp; ADDRESS(sort_max_row, COLUMN(tracked)), "")</f>
        <v/>
      </c>
      <c r="P52" s="8" t="str">
        <f ca="1">IF(is_cat, RANK(tracked, INDIRECT(tracked_range), 0), "")</f>
        <v/>
      </c>
      <c r="Q52" s="8" t="str">
        <f>IF(is_cat, ADDRESS(sort_min_row, COLUMN(budget)) &amp; ":" &amp; ADDRESS(sort_max_row, COLUMN(budget)), "")</f>
        <v/>
      </c>
      <c r="R52" s="9" t="str">
        <f ca="1">IF(is_cat, RANK(budget, INDIRECT(budget_range), 0), "")</f>
        <v/>
      </c>
      <c r="S52" s="7" t="str">
        <f>IF(is_cat, _xlfn.NUMBERVALUE(tracked_rank &amp; budget_rank), "")</f>
        <v/>
      </c>
      <c r="T52" s="8" t="str">
        <f>IF(is_cat, ADDRESS(sort_min_row, COLUMN(comb_rank)) &amp; ":" &amp; ADDRESS(sort_max_row, COLUMN(comb_rank)), "")</f>
        <v/>
      </c>
      <c r="U52" s="8" t="str">
        <f ca="1">IF(is_cat, RANK(comb_rank, INDIRECT(comb_rank_range), 1), "")</f>
        <v/>
      </c>
      <c r="V52" s="8" t="str">
        <f>IF(is_cat, ADDRESS(sort_min_row, COLUMN(comb_rank_norm)) &amp; ":" &amp; ADDRESS(ROW(), COLUMN(comb_rank_norm)), "")</f>
        <v/>
      </c>
      <c r="W52" s="9" t="str">
        <f ca="1">IF(is_cat, comb_rank_norm + COUNTIF(INDIRECT(comb_rank_norm_run_range), comb_rank_norm)-1, "")</f>
        <v/>
      </c>
      <c r="X52" s="73">
        <f>IF(is_cat, header_row_id + comb_rank_unique, row_id)</f>
        <v>-1</v>
      </c>
      <c r="Y52" s="75" t="str">
        <f>IF(is_empty, "", INDEX($J:$J, MATCH(row_id, $X:$X, 0)))</f>
        <v/>
      </c>
      <c r="Z52" s="79" t="str">
        <f>IF(is_empty, "", IF(is_header, "Tracked", INDEX($K:$K, MATCH(row_id, $X:$X, 0))))</f>
        <v/>
      </c>
      <c r="AA52" s="79" t="str">
        <f>IF(is_empty, "", IF(is_header, "Budget", INDEX($L:$L, MATCH(row_id, $X:$X, 0))))</f>
        <v/>
      </c>
      <c r="AB52" s="76" t="str">
        <f>IF(is_empty, "", IF(is_header, "% Compl.", IFERROR(out_tracked / out_Budget, "-")))</f>
        <v/>
      </c>
      <c r="AC52" s="79" t="str">
        <f>IF(is_empty, "", IF(is_header, "Remaining", IF(out_Budget - out_tracked &gt; 0, out_Budget - out_tracked, 0)))</f>
        <v/>
      </c>
      <c r="AD52" s="79" t="str">
        <f>IF(is_empty, "", IF(is_header, "Excess", IF(out_Budget - out_tracked &lt; 0, out_tracked - out_Budget, 0)))</f>
        <v/>
      </c>
    </row>
    <row r="53" spans="3:30" x14ac:dyDescent="0.3">
      <c r="C53" s="7" cm="1">
        <f t="array" ref="C53">IF(C52=-1, -1, IF(C52&lt;income_max_row, C52+1, IF(C52=income_max_row, income_total_row, IF(C52=income_total_row, "/1", IF(C52="/1", expenses_header_row, IF(C52&lt;expenses_max_row, C52+1, IF(C52= expenses_max_row, expenses_total_row, IF(C52=expenses_total_row, "/2", IF(C52="/2", savings_header_row, IF(C52&lt;savings_max_row, C52+1, IF(C52=savings_max_row, savings_total_row, -1)))))))))))</f>
        <v>-1</v>
      </c>
      <c r="D53" s="9">
        <f>IF(is_header, row_id, IF(NOT(is_empty), D52, -1))</f>
        <v>-1</v>
      </c>
      <c r="E53" s="7" cm="1">
        <f t="array" ref="E53">1*OR(row_id=income_header_row, row_id=expenses_header_row, row_id=savings_header_row)</f>
        <v>0</v>
      </c>
      <c r="F53" s="8">
        <f>1*NOT(OR(is_header, is_total, is_empty))</f>
        <v>0</v>
      </c>
      <c r="G53" s="8" cm="1">
        <f t="array" ref="G53">1*OR(row_id=income_total_row, row_id=expenses_total_row, row_id=savings_total_row)</f>
        <v>0</v>
      </c>
      <c r="H53" s="9">
        <f>1*OR(row_id="/1", row_id="/2", row_id=-1)</f>
        <v>1</v>
      </c>
      <c r="I53" s="7" t="str" cm="1">
        <f t="array" ref="I53">IFERROR(INDEX('Budget Planning'!$C:$C, header_row_id), "")</f>
        <v/>
      </c>
      <c r="J53" s="8" t="str" cm="1">
        <f t="array" ref="J53">IFERROR(INDEX('Budget Planning'!$C:$C, row_id), "")</f>
        <v/>
      </c>
      <c r="K53" s="70" t="str" cm="1">
        <f t="array" ref="K53">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53" s="71" t="str" cm="1">
        <f t="array" ref="L53">IF(OR(is_header, is_empty), "", INDEX('Budget Planning'!$E:$CI, row_id, MATCH(IF(selected_period="Total Year", selected_year, DATE(selected_year, selected_period, 1)), 'Budget Planning'!$E$10:$CI$10, 0)))</f>
        <v/>
      </c>
      <c r="M53" s="7" t="str" cm="1">
        <f t="array" ref="M53">IF(is_cat, IF(header_row_id = income_header_row, MATCH(income_min_row, $C:$C, 0), IF(header_row_id = expenses_header_row, MATCH(expenses_min_row, $C:$C, 0), IF(header_row_id = savings_header_row, MATCH(savings_min_row, $C:$C, 0), ""))), "")</f>
        <v/>
      </c>
      <c r="N53" s="9" t="str" cm="1">
        <f t="array" ref="N53">IF(is_cat, IF(header_row_id = income_header_row, MATCH(income_max_row, $C:$C, 0), IF(header_row_id = expenses_header_row, MATCH(expenses_max_row, $C:$C, 0), IF(header_row_id = savings_header_row, MATCH(savings_max_row, $C:$C, 0), ""))), "")</f>
        <v/>
      </c>
      <c r="O53" s="7" t="str">
        <f>IF(is_cat, ADDRESS(sort_min_row, COLUMN(tracked)) &amp; ":" &amp; ADDRESS(sort_max_row, COLUMN(tracked)), "")</f>
        <v/>
      </c>
      <c r="P53" s="8" t="str">
        <f ca="1">IF(is_cat, RANK(tracked, INDIRECT(tracked_range), 0), "")</f>
        <v/>
      </c>
      <c r="Q53" s="8" t="str">
        <f>IF(is_cat, ADDRESS(sort_min_row, COLUMN(budget)) &amp; ":" &amp; ADDRESS(sort_max_row, COLUMN(budget)), "")</f>
        <v/>
      </c>
      <c r="R53" s="9" t="str">
        <f ca="1">IF(is_cat, RANK(budget, INDIRECT(budget_range), 0), "")</f>
        <v/>
      </c>
      <c r="S53" s="7" t="str">
        <f>IF(is_cat, _xlfn.NUMBERVALUE(tracked_rank &amp; budget_rank), "")</f>
        <v/>
      </c>
      <c r="T53" s="8" t="str">
        <f>IF(is_cat, ADDRESS(sort_min_row, COLUMN(comb_rank)) &amp; ":" &amp; ADDRESS(sort_max_row, COLUMN(comb_rank)), "")</f>
        <v/>
      </c>
      <c r="U53" s="8" t="str">
        <f ca="1">IF(is_cat, RANK(comb_rank, INDIRECT(comb_rank_range), 1), "")</f>
        <v/>
      </c>
      <c r="V53" s="8" t="str">
        <f>IF(is_cat, ADDRESS(sort_min_row, COLUMN(comb_rank_norm)) &amp; ":" &amp; ADDRESS(ROW(), COLUMN(comb_rank_norm)), "")</f>
        <v/>
      </c>
      <c r="W53" s="9" t="str">
        <f ca="1">IF(is_cat, comb_rank_norm + COUNTIF(INDIRECT(comb_rank_norm_run_range), comb_rank_norm)-1, "")</f>
        <v/>
      </c>
      <c r="X53" s="73">
        <f>IF(is_cat, header_row_id + comb_rank_unique, row_id)</f>
        <v>-1</v>
      </c>
      <c r="Y53" s="75" t="str">
        <f>IF(is_empty, "", INDEX($J:$J, MATCH(row_id, $X:$X, 0)))</f>
        <v/>
      </c>
      <c r="Z53" s="75" t="str">
        <f>IF(is_empty, "", IF(is_header, "Tracked", INDEX($K:$K, MATCH(row_id, $X:$X, 0))))</f>
        <v/>
      </c>
      <c r="AA53" s="75" t="str">
        <f>IF(is_empty, "", IF(is_header, "Budget", INDEX($L:$L, MATCH(row_id, $X:$X, 0))))</f>
        <v/>
      </c>
      <c r="AB53" s="76" t="str">
        <f>IF(is_empty, "", IF(is_header, "% Compl.", IFERROR(out_tracked / out_Budget, "-")))</f>
        <v/>
      </c>
      <c r="AC53" s="75" t="str">
        <f>IF(is_empty, "", IF(is_header, "Remaining", IF(out_Budget - out_tracked &gt; 0, out_Budget - out_tracked, 0)))</f>
        <v/>
      </c>
      <c r="AD53" s="75" t="str">
        <f>IF(is_empty, "", IF(is_header, "Excess", IF(out_Budget - out_tracked &lt; 0, out_tracked - out_Budget, 0)))</f>
        <v/>
      </c>
    </row>
    <row r="54" spans="3:30" x14ac:dyDescent="0.3">
      <c r="C54" s="7" cm="1">
        <f t="array" ref="C54">IF(C53=-1, -1, IF(C53&lt;income_max_row, C53+1, IF(C53=income_max_row, income_total_row, IF(C53=income_total_row, "/1", IF(C53="/1", expenses_header_row, IF(C53&lt;expenses_max_row, C53+1, IF(C53= expenses_max_row, expenses_total_row, IF(C53=expenses_total_row, "/2", IF(C53="/2", savings_header_row, IF(C53&lt;savings_max_row, C53+1, IF(C53=savings_max_row, savings_total_row, -1)))))))))))</f>
        <v>-1</v>
      </c>
      <c r="D54" s="9">
        <f>IF(is_header, row_id, IF(NOT(is_empty), D53, -1))</f>
        <v>-1</v>
      </c>
      <c r="E54" s="7" cm="1">
        <f t="array" ref="E54">1*OR(row_id=income_header_row, row_id=expenses_header_row, row_id=savings_header_row)</f>
        <v>0</v>
      </c>
      <c r="F54" s="8">
        <f>1*NOT(OR(is_header, is_total, is_empty))</f>
        <v>0</v>
      </c>
      <c r="G54" s="8" cm="1">
        <f t="array" ref="G54">1*OR(row_id=income_total_row, row_id=expenses_total_row, row_id=savings_total_row)</f>
        <v>0</v>
      </c>
      <c r="H54" s="9">
        <f>1*OR(row_id="/1", row_id="/2", row_id=-1)</f>
        <v>1</v>
      </c>
      <c r="I54" s="7" t="str" cm="1">
        <f t="array" ref="I54">IFERROR(INDEX('Budget Planning'!$C:$C, header_row_id), "")</f>
        <v/>
      </c>
      <c r="J54" s="8" t="str" cm="1">
        <f t="array" ref="J54">IFERROR(INDEX('Budget Planning'!$C:$C, row_id), "")</f>
        <v/>
      </c>
      <c r="K54" s="70" t="str" cm="1">
        <f t="array" ref="K54">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54" s="71" t="str" cm="1">
        <f t="array" ref="L54">IF(OR(is_header, is_empty), "", INDEX('Budget Planning'!$E:$CI, row_id, MATCH(IF(selected_period="Total Year", selected_year, DATE(selected_year, selected_period, 1)), 'Budget Planning'!$E$10:$CI$10, 0)))</f>
        <v/>
      </c>
      <c r="M54" s="7" t="str" cm="1">
        <f t="array" ref="M54">IF(is_cat, IF(header_row_id = income_header_row, MATCH(income_min_row, $C:$C, 0), IF(header_row_id = expenses_header_row, MATCH(expenses_min_row, $C:$C, 0), IF(header_row_id = savings_header_row, MATCH(savings_min_row, $C:$C, 0), ""))), "")</f>
        <v/>
      </c>
      <c r="N54" s="9" t="str" cm="1">
        <f t="array" ref="N54">IF(is_cat, IF(header_row_id = income_header_row, MATCH(income_max_row, $C:$C, 0), IF(header_row_id = expenses_header_row, MATCH(expenses_max_row, $C:$C, 0), IF(header_row_id = savings_header_row, MATCH(savings_max_row, $C:$C, 0), ""))), "")</f>
        <v/>
      </c>
      <c r="O54" s="7" t="str">
        <f>IF(is_cat, ADDRESS(sort_min_row, COLUMN(tracked)) &amp; ":" &amp; ADDRESS(sort_max_row, COLUMN(tracked)), "")</f>
        <v/>
      </c>
      <c r="P54" s="8" t="str">
        <f ca="1">IF(is_cat, RANK(tracked, INDIRECT(tracked_range), 0), "")</f>
        <v/>
      </c>
      <c r="Q54" s="8" t="str">
        <f>IF(is_cat, ADDRESS(sort_min_row, COLUMN(budget)) &amp; ":" &amp; ADDRESS(sort_max_row, COLUMN(budget)), "")</f>
        <v/>
      </c>
      <c r="R54" s="9" t="str">
        <f ca="1">IF(is_cat, RANK(budget, INDIRECT(budget_range), 0), "")</f>
        <v/>
      </c>
      <c r="S54" s="7" t="str">
        <f>IF(is_cat, _xlfn.NUMBERVALUE(tracked_rank &amp; budget_rank), "")</f>
        <v/>
      </c>
      <c r="T54" s="8" t="str">
        <f>IF(is_cat, ADDRESS(sort_min_row, COLUMN(comb_rank)) &amp; ":" &amp; ADDRESS(sort_max_row, COLUMN(comb_rank)), "")</f>
        <v/>
      </c>
      <c r="U54" s="8" t="str">
        <f ca="1">IF(is_cat, RANK(comb_rank, INDIRECT(comb_rank_range), 1), "")</f>
        <v/>
      </c>
      <c r="V54" s="8" t="str">
        <f>IF(is_cat, ADDRESS(sort_min_row, COLUMN(comb_rank_norm)) &amp; ":" &amp; ADDRESS(ROW(), COLUMN(comb_rank_norm)), "")</f>
        <v/>
      </c>
      <c r="W54" s="9" t="str">
        <f ca="1">IF(is_cat, comb_rank_norm + COUNTIF(INDIRECT(comb_rank_norm_run_range), comb_rank_norm)-1, "")</f>
        <v/>
      </c>
      <c r="X54" s="73">
        <f>IF(is_cat, header_row_id + comb_rank_unique, row_id)</f>
        <v>-1</v>
      </c>
      <c r="Y54" s="75" t="str">
        <f>IF(is_empty, "", INDEX($J:$J, MATCH(row_id, $X:$X, 0)))</f>
        <v/>
      </c>
      <c r="Z54" s="75" t="str">
        <f>IF(is_empty, "", IF(is_header, "Tracked", INDEX($K:$K, MATCH(row_id, $X:$X, 0))))</f>
        <v/>
      </c>
      <c r="AA54" s="75" t="str">
        <f>IF(is_empty, "", IF(is_header, "Budget", INDEX($L:$L, MATCH(row_id, $X:$X, 0))))</f>
        <v/>
      </c>
      <c r="AB54" s="76" t="str">
        <f>IF(is_empty, "", IF(is_header, "% Compl.", IFERROR(out_tracked / out_Budget, "-")))</f>
        <v/>
      </c>
      <c r="AC54" s="75" t="str">
        <f>IF(is_empty, "", IF(is_header, "Remaining", IF(out_Budget - out_tracked &gt; 0, out_Budget - out_tracked, 0)))</f>
        <v/>
      </c>
      <c r="AD54" s="75" t="str">
        <f>IF(is_empty, "", IF(is_header, "Excess", IF(out_Budget - out_tracked &lt; 0, out_tracked - out_Budget, 0)))</f>
        <v/>
      </c>
    </row>
    <row r="55" spans="3:30" x14ac:dyDescent="0.3">
      <c r="C55" s="7" cm="1">
        <f t="array" ref="C55">IF(C54=-1, -1, IF(C54&lt;income_max_row, C54+1, IF(C54=income_max_row, income_total_row, IF(C54=income_total_row, "/1", IF(C54="/1", expenses_header_row, IF(C54&lt;expenses_max_row, C54+1, IF(C54= expenses_max_row, expenses_total_row, IF(C54=expenses_total_row, "/2", IF(C54="/2", savings_header_row, IF(C54&lt;savings_max_row, C54+1, IF(C54=savings_max_row, savings_total_row, -1)))))))))))</f>
        <v>-1</v>
      </c>
      <c r="D55" s="9">
        <f>IF(is_header, row_id, IF(NOT(is_empty), D54, -1))</f>
        <v>-1</v>
      </c>
      <c r="E55" s="7" cm="1">
        <f t="array" ref="E55">1*OR(row_id=income_header_row, row_id=expenses_header_row, row_id=savings_header_row)</f>
        <v>0</v>
      </c>
      <c r="F55" s="8">
        <f>1*NOT(OR(is_header, is_total, is_empty))</f>
        <v>0</v>
      </c>
      <c r="G55" s="8" cm="1">
        <f t="array" ref="G55">1*OR(row_id=income_total_row, row_id=expenses_total_row, row_id=savings_total_row)</f>
        <v>0</v>
      </c>
      <c r="H55" s="9">
        <f>1*OR(row_id="/1", row_id="/2", row_id=-1)</f>
        <v>1</v>
      </c>
      <c r="I55" s="7" t="str" cm="1">
        <f t="array" ref="I55">IFERROR(INDEX('Budget Planning'!$C:$C, header_row_id), "")</f>
        <v/>
      </c>
      <c r="J55" s="8" t="str" cm="1">
        <f t="array" ref="J55">IFERROR(INDEX('Budget Planning'!$C:$C, row_id), "")</f>
        <v/>
      </c>
      <c r="K55" s="70" t="str" cm="1">
        <f t="array" ref="K55">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55" s="71" t="str" cm="1">
        <f t="array" ref="L55">IF(OR(is_header, is_empty), "", INDEX('Budget Planning'!$E:$CI, row_id, MATCH(IF(selected_period="Total Year", selected_year, DATE(selected_year, selected_period, 1)), 'Budget Planning'!$E$10:$CI$10, 0)))</f>
        <v/>
      </c>
      <c r="M55" s="7" t="str" cm="1">
        <f t="array" ref="M55">IF(is_cat, IF(header_row_id = income_header_row, MATCH(income_min_row, $C:$C, 0), IF(header_row_id = expenses_header_row, MATCH(expenses_min_row, $C:$C, 0), IF(header_row_id = savings_header_row, MATCH(savings_min_row, $C:$C, 0), ""))), "")</f>
        <v/>
      </c>
      <c r="N55" s="9" t="str" cm="1">
        <f t="array" ref="N55">IF(is_cat, IF(header_row_id = income_header_row, MATCH(income_max_row, $C:$C, 0), IF(header_row_id = expenses_header_row, MATCH(expenses_max_row, $C:$C, 0), IF(header_row_id = savings_header_row, MATCH(savings_max_row, $C:$C, 0), ""))), "")</f>
        <v/>
      </c>
      <c r="O55" s="7" t="str">
        <f>IF(is_cat, ADDRESS(sort_min_row, COLUMN(tracked)) &amp; ":" &amp; ADDRESS(sort_max_row, COLUMN(tracked)), "")</f>
        <v/>
      </c>
      <c r="P55" s="8" t="str">
        <f ca="1">IF(is_cat, RANK(tracked, INDIRECT(tracked_range), 0), "")</f>
        <v/>
      </c>
      <c r="Q55" s="8" t="str">
        <f>IF(is_cat, ADDRESS(sort_min_row, COLUMN(budget)) &amp; ":" &amp; ADDRESS(sort_max_row, COLUMN(budget)), "")</f>
        <v/>
      </c>
      <c r="R55" s="9" t="str">
        <f ca="1">IF(is_cat, RANK(budget, INDIRECT(budget_range), 0), "")</f>
        <v/>
      </c>
      <c r="S55" s="7" t="str">
        <f>IF(is_cat, _xlfn.NUMBERVALUE(tracked_rank &amp; budget_rank), "")</f>
        <v/>
      </c>
      <c r="T55" s="8" t="str">
        <f>IF(is_cat, ADDRESS(sort_min_row, COLUMN(comb_rank)) &amp; ":" &amp; ADDRESS(sort_max_row, COLUMN(comb_rank)), "")</f>
        <v/>
      </c>
      <c r="U55" s="8" t="str">
        <f ca="1">IF(is_cat, RANK(comb_rank, INDIRECT(comb_rank_range), 1), "")</f>
        <v/>
      </c>
      <c r="V55" s="8" t="str">
        <f>IF(is_cat, ADDRESS(sort_min_row, COLUMN(comb_rank_norm)) &amp; ":" &amp; ADDRESS(ROW(), COLUMN(comb_rank_norm)), "")</f>
        <v/>
      </c>
      <c r="W55" s="9" t="str">
        <f ca="1">IF(is_cat, comb_rank_norm + COUNTIF(INDIRECT(comb_rank_norm_run_range), comb_rank_norm)-1, "")</f>
        <v/>
      </c>
      <c r="X55" s="73">
        <f>IF(is_cat, header_row_id + comb_rank_unique, row_id)</f>
        <v>-1</v>
      </c>
      <c r="Y55" s="75" t="str">
        <f>IF(is_empty, "", INDEX($J:$J, MATCH(row_id, $X:$X, 0)))</f>
        <v/>
      </c>
      <c r="Z55" s="75" t="str">
        <f>IF(is_empty, "", IF(is_header, "Tracked", INDEX($K:$K, MATCH(row_id, $X:$X, 0))))</f>
        <v/>
      </c>
      <c r="AA55" s="75" t="str">
        <f>IF(is_empty, "", IF(is_header, "Budget", INDEX($L:$L, MATCH(row_id, $X:$X, 0))))</f>
        <v/>
      </c>
      <c r="AB55" s="76" t="str">
        <f>IF(is_empty, "", IF(is_header, "% Compl.", IFERROR(out_tracked / out_Budget, "-")))</f>
        <v/>
      </c>
      <c r="AC55" s="75" t="str">
        <f>IF(is_empty, "", IF(is_header, "Remaining", IF(out_Budget - out_tracked &gt; 0, out_Budget - out_tracked, 0)))</f>
        <v/>
      </c>
      <c r="AD55" s="75" t="str">
        <f>IF(is_empty, "", IF(is_header, "Excess", IF(out_Budget - out_tracked &lt; 0, out_tracked - out_Budget, 0)))</f>
        <v/>
      </c>
    </row>
    <row r="56" spans="3:30" x14ac:dyDescent="0.3">
      <c r="C56" s="7" cm="1">
        <f t="array" ref="C56">IF(C55=-1, -1, IF(C55&lt;income_max_row, C55+1, IF(C55=income_max_row, income_total_row, IF(C55=income_total_row, "/1", IF(C55="/1", expenses_header_row, IF(C55&lt;expenses_max_row, C55+1, IF(C55= expenses_max_row, expenses_total_row, IF(C55=expenses_total_row, "/2", IF(C55="/2", savings_header_row, IF(C55&lt;savings_max_row, C55+1, IF(C55=savings_max_row, savings_total_row, -1)))))))))))</f>
        <v>-1</v>
      </c>
      <c r="D56" s="9">
        <f>IF(is_header, row_id, IF(NOT(is_empty), D55, -1))</f>
        <v>-1</v>
      </c>
      <c r="E56" s="7" cm="1">
        <f t="array" ref="E56">1*OR(row_id=income_header_row, row_id=expenses_header_row, row_id=savings_header_row)</f>
        <v>0</v>
      </c>
      <c r="F56" s="8">
        <f>1*NOT(OR(is_header, is_total, is_empty))</f>
        <v>0</v>
      </c>
      <c r="G56" s="8" cm="1">
        <f t="array" ref="G56">1*OR(row_id=income_total_row, row_id=expenses_total_row, row_id=savings_total_row)</f>
        <v>0</v>
      </c>
      <c r="H56" s="9">
        <f>1*OR(row_id="/1", row_id="/2", row_id=-1)</f>
        <v>1</v>
      </c>
      <c r="I56" s="7" t="str" cm="1">
        <f t="array" ref="I56">IFERROR(INDEX('Budget Planning'!$C:$C, header_row_id), "")</f>
        <v/>
      </c>
      <c r="J56" s="8" t="str" cm="1">
        <f t="array" ref="J56">IFERROR(INDEX('Budget Planning'!$C:$C, row_id), "")</f>
        <v/>
      </c>
      <c r="K56" s="70" t="str" cm="1">
        <f t="array" ref="K56">IF(OR(is_header, is_empty), "", IF(is_total,  IF(selected_period="Total Year", SUM(Tracking[Amount] * (Tracking[Type]=type) * ( YEAR(Tracking[Effective Date]) = selected_year)), SUM(Tracking[Amount] * (Tracking[Type]=type) * ( YEAR(Tracking[Effective Date]) = selected_year) * (MONTH(Tracking[Effective Date]) = selected_period))), IF(selected_period="Total Year", SUM(Tracking[Amount] * (Tracking[Type]=type) * (Tracking[Category]=item) *(YEAR(Tracking[Effective Date]) = selected_year)), SUM(Tracking[Amount] * (Tracking[Type]=type) * (Tracking[Category]=item)* ( YEAR(Tracking[Effective Date]) = selected_year)* (MONTH(Tracking[Effective Date]) = selected_period)))))</f>
        <v/>
      </c>
      <c r="L56" s="71" t="str" cm="1">
        <f t="array" ref="L56">IF(OR(is_header, is_empty), "", INDEX('Budget Planning'!$E:$CI, row_id, MATCH(IF(selected_period="Total Year", selected_year, DATE(selected_year, selected_period, 1)), 'Budget Planning'!$E$10:$CI$10, 0)))</f>
        <v/>
      </c>
      <c r="M56" s="7" t="str" cm="1">
        <f t="array" ref="M56">IF(is_cat, IF(header_row_id = income_header_row, MATCH(income_min_row, $C:$C, 0), IF(header_row_id = expenses_header_row, MATCH(expenses_min_row, $C:$C, 0), IF(header_row_id = savings_header_row, MATCH(savings_min_row, $C:$C, 0), ""))), "")</f>
        <v/>
      </c>
      <c r="N56" s="9" t="str" cm="1">
        <f t="array" ref="N56">IF(is_cat, IF(header_row_id = income_header_row, MATCH(income_max_row, $C:$C, 0), IF(header_row_id = expenses_header_row, MATCH(expenses_max_row, $C:$C, 0), IF(header_row_id = savings_header_row, MATCH(savings_max_row, $C:$C, 0), ""))), "")</f>
        <v/>
      </c>
      <c r="O56" s="7" t="str">
        <f>IF(is_cat, ADDRESS(sort_min_row, COLUMN(tracked)) &amp; ":" &amp; ADDRESS(sort_max_row, COLUMN(tracked)), "")</f>
        <v/>
      </c>
      <c r="P56" s="8" t="str">
        <f ca="1">IF(is_cat, RANK(tracked, INDIRECT(tracked_range), 0), "")</f>
        <v/>
      </c>
      <c r="Q56" s="8" t="str">
        <f>IF(is_cat, ADDRESS(sort_min_row, COLUMN(budget)) &amp; ":" &amp; ADDRESS(sort_max_row, COLUMN(budget)), "")</f>
        <v/>
      </c>
      <c r="R56" s="9" t="str">
        <f ca="1">IF(is_cat, RANK(budget, INDIRECT(budget_range), 0), "")</f>
        <v/>
      </c>
      <c r="S56" s="7" t="str">
        <f>IF(is_cat, _xlfn.NUMBERVALUE(tracked_rank &amp; budget_rank), "")</f>
        <v/>
      </c>
      <c r="T56" s="8" t="str">
        <f>IF(is_cat, ADDRESS(sort_min_row, COLUMN(comb_rank)) &amp; ":" &amp; ADDRESS(sort_max_row, COLUMN(comb_rank)), "")</f>
        <v/>
      </c>
      <c r="U56" s="8" t="str">
        <f ca="1">IF(is_cat, RANK(comb_rank, INDIRECT(comb_rank_range), 1), "")</f>
        <v/>
      </c>
      <c r="V56" s="8" t="str">
        <f>IF(is_cat, ADDRESS(sort_min_row, COLUMN(comb_rank_norm)) &amp; ":" &amp; ADDRESS(ROW(), COLUMN(comb_rank_norm)), "")</f>
        <v/>
      </c>
      <c r="W56" s="9" t="str">
        <f ca="1">IF(is_cat, comb_rank_norm + COUNTIF(INDIRECT(comb_rank_norm_run_range), comb_rank_norm)-1, "")</f>
        <v/>
      </c>
      <c r="X56" s="73">
        <f>IF(is_cat, header_row_id + comb_rank_unique, row_id)</f>
        <v>-1</v>
      </c>
      <c r="Y56" t="str">
        <f>IF(is_empty, "", INDEX($J:$J, MATCH(row_id, $X:$X, 0)))</f>
        <v/>
      </c>
      <c r="Z56" t="str">
        <f>IF(is_empty, "", IF(is_header, "Tracked", INDEX($K:$K, MATCH(row_id, $X:$X, 0))))</f>
        <v/>
      </c>
      <c r="AA56" t="str">
        <f>IF(is_empty, "", IF(is_header, "Budget", INDEX($L:$L, MATCH(row_id, $X:$X, 0))))</f>
        <v/>
      </c>
      <c r="AB56" s="74" t="str">
        <f>IF(is_empty, "", IF(is_header, "% Compl.", IFERROR(out_tracked / out_Budget, "-")))</f>
        <v/>
      </c>
      <c r="AC56" t="str">
        <f>IF(is_empty, "", IF(is_header, "Remaining", IF(out_Budget - out_tracked &gt; 0, out_Budget - out_tracked, 0)))</f>
        <v/>
      </c>
      <c r="AD56" t="str">
        <f>IF(is_empty, "", IF(is_header, "Excess", IF(out_Budget - out_tracked &lt; 0, out_tracked - out_Budget, 0)))</f>
        <v/>
      </c>
    </row>
  </sheetData>
  <mergeCells count="10">
    <mergeCell ref="C1:H3"/>
    <mergeCell ref="Y11:AD11"/>
    <mergeCell ref="AF11:AR11"/>
    <mergeCell ref="AQ5:AR5"/>
    <mergeCell ref="AQ6:AR6"/>
    <mergeCell ref="AN6:AP6"/>
    <mergeCell ref="AQ8:AR8"/>
    <mergeCell ref="AN9:AP9"/>
    <mergeCell ref="AQ9:AR9"/>
    <mergeCell ref="Y1:AB3"/>
  </mergeCells>
  <conditionalFormatting sqref="Y13:AD56">
    <cfRule type="expression" dxfId="24" priority="19" stopIfTrue="1">
      <formula>row_id=savings_header_row</formula>
    </cfRule>
    <cfRule type="expression" dxfId="23" priority="20" stopIfTrue="1">
      <formula>row_id=expenses_header_row</formula>
    </cfRule>
    <cfRule type="expression" dxfId="22" priority="21" stopIfTrue="1">
      <formula>row_id=income_header_row</formula>
    </cfRule>
    <cfRule type="expression" dxfId="21" priority="22" stopIfTrue="1">
      <formula>is_total</formula>
    </cfRule>
  </conditionalFormatting>
  <conditionalFormatting sqref="AB13:AB53">
    <cfRule type="dataBar" priority="26">
      <dataBar>
        <cfvo type="num" val="0"/>
        <cfvo type="num" val="1"/>
        <color theme="0" tint="-0.14999847407452621"/>
      </dataBar>
      <extLst>
        <ext xmlns:x14="http://schemas.microsoft.com/office/spreadsheetml/2009/9/main" uri="{B025F937-C7B1-47D3-B67F-A62EFF666E3E}">
          <x14:id>{94C27C2F-975A-4E0B-806F-5BF7ECC6AA24}</x14:id>
        </ext>
      </extLst>
    </cfRule>
  </conditionalFormatting>
  <conditionalFormatting sqref="AB13:AB56">
    <cfRule type="expression" dxfId="20" priority="25" stopIfTrue="1">
      <formula>AND(OR(is_cat, is_total), out_Budget &gt;0, out_percentage_completed &gt;= 1, header_row_id=income_header_row)</formula>
    </cfRule>
  </conditionalFormatting>
  <conditionalFormatting sqref="AB13:AB49">
    <cfRule type="expression" dxfId="19" priority="23" stopIfTrue="1">
      <formula>AND(OR(is_cat, is_total), out_Budget &gt;0, out_percentage_completed &gt;= 1, header_row_id=savings_header_row)</formula>
    </cfRule>
    <cfRule type="expression" dxfId="18" priority="24" stopIfTrue="1">
      <formula>AND(OR(is_cat, is_total), out_Budget &gt;0, out_percentage_completed &gt;= 1, header_row_id=expenses_header_row)</formula>
    </cfRule>
  </conditionalFormatting>
  <conditionalFormatting sqref="AH16">
    <cfRule type="expression" dxfId="17" priority="18">
      <formula>AI16&lt;&gt;""</formula>
    </cfRule>
  </conditionalFormatting>
  <conditionalFormatting sqref="AH17">
    <cfRule type="expression" dxfId="16" priority="17">
      <formula>AI17&lt;&gt;""</formula>
    </cfRule>
  </conditionalFormatting>
  <conditionalFormatting sqref="AH18">
    <cfRule type="expression" dxfId="15" priority="16">
      <formula>AI18&lt;&gt;""</formula>
    </cfRule>
  </conditionalFormatting>
  <conditionalFormatting sqref="AH19">
    <cfRule type="expression" dxfId="14" priority="15">
      <formula>AI19&lt;&gt;""</formula>
    </cfRule>
  </conditionalFormatting>
  <conditionalFormatting sqref="AH20">
    <cfRule type="expression" dxfId="13" priority="14">
      <formula>AI20&lt;&gt;""</formula>
    </cfRule>
  </conditionalFormatting>
  <conditionalFormatting sqref="AH21">
    <cfRule type="expression" dxfId="12" priority="13">
      <formula>AI21&lt;&gt;""</formula>
    </cfRule>
  </conditionalFormatting>
  <conditionalFormatting sqref="AH29">
    <cfRule type="expression" dxfId="11" priority="12">
      <formula>AI29&lt;&gt;""</formula>
    </cfRule>
  </conditionalFormatting>
  <conditionalFormatting sqref="AH30">
    <cfRule type="expression" dxfId="10" priority="11">
      <formula>AI30&lt;&gt;""</formula>
    </cfRule>
  </conditionalFormatting>
  <conditionalFormatting sqref="AH31">
    <cfRule type="expression" dxfId="9" priority="10">
      <formula>AI31&lt;&gt;""</formula>
    </cfRule>
  </conditionalFormatting>
  <conditionalFormatting sqref="AH32">
    <cfRule type="expression" dxfId="8" priority="9">
      <formula>AI32&lt;&gt;""</formula>
    </cfRule>
  </conditionalFormatting>
  <conditionalFormatting sqref="AH33">
    <cfRule type="expression" dxfId="7" priority="8">
      <formula>AI33&lt;&gt;""</formula>
    </cfRule>
  </conditionalFormatting>
  <conditionalFormatting sqref="AH34">
    <cfRule type="expression" dxfId="6" priority="7">
      <formula>AI34&lt;&gt;""</formula>
    </cfRule>
  </conditionalFormatting>
  <conditionalFormatting sqref="AO29">
    <cfRule type="expression" dxfId="5" priority="6">
      <formula>AP29&lt;&gt;""</formula>
    </cfRule>
  </conditionalFormatting>
  <conditionalFormatting sqref="AO30">
    <cfRule type="expression" dxfId="4" priority="5">
      <formula>AP30&lt;&gt;""</formula>
    </cfRule>
  </conditionalFormatting>
  <conditionalFormatting sqref="AO31">
    <cfRule type="expression" dxfId="3" priority="4">
      <formula>AP31&lt;&gt;""</formula>
    </cfRule>
  </conditionalFormatting>
  <conditionalFormatting sqref="AO32">
    <cfRule type="expression" dxfId="2" priority="3">
      <formula>AP32&lt;&gt;""</formula>
    </cfRule>
  </conditionalFormatting>
  <conditionalFormatting sqref="AO33">
    <cfRule type="expression" dxfId="1" priority="2">
      <formula>AP33&lt;&gt;""</formula>
    </cfRule>
  </conditionalFormatting>
  <conditionalFormatting sqref="AO34">
    <cfRule type="expression" dxfId="0" priority="1">
      <formula>AP34&lt;&gt;""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40" r:id="rId4" name="Check Box 20">
              <controlPr defaultSize="0" autoFill="0" autoLine="0" autoPict="0">
                <anchor moveWithCells="1">
                  <from>
                    <xdr:col>41</xdr:col>
                    <xdr:colOff>373380</xdr:colOff>
                    <xdr:row>12</xdr:row>
                    <xdr:rowOff>68580</xdr:rowOff>
                  </from>
                  <to>
                    <xdr:col>41</xdr:col>
                    <xdr:colOff>1089660</xdr:colOff>
                    <xdr:row>13</xdr:row>
                    <xdr:rowOff>68580</xdr:rowOff>
                  </to>
                </anchor>
              </controlPr>
            </control>
          </mc:Choice>
        </mc:AlternateContent>
        <mc:AlternateContent xmlns:mc="http://schemas.openxmlformats.org/markup-compatibility/2006">
          <mc:Choice Requires="x14">
            <control shapeId="5137" r:id="rId5" name="Check Box 17">
              <controlPr defaultSize="0" autoFill="0" autoLine="0" autoPict="0">
                <anchor moveWithCells="1">
                  <from>
                    <xdr:col>41</xdr:col>
                    <xdr:colOff>990600</xdr:colOff>
                    <xdr:row>12</xdr:row>
                    <xdr:rowOff>60960</xdr:rowOff>
                  </from>
                  <to>
                    <xdr:col>42</xdr:col>
                    <xdr:colOff>518160</xdr:colOff>
                    <xdr:row>13</xdr:row>
                    <xdr:rowOff>53340</xdr:rowOff>
                  </to>
                </anchor>
              </controlPr>
            </control>
          </mc:Choice>
        </mc:AlternateContent>
        <mc:AlternateContent xmlns:mc="http://schemas.openxmlformats.org/markup-compatibility/2006">
          <mc:Choice Requires="x14">
            <control shapeId="5138" r:id="rId6" name="Check Box 18">
              <controlPr defaultSize="0" autoFill="0" autoLine="0" autoPict="0">
                <anchor moveWithCells="1">
                  <from>
                    <xdr:col>41</xdr:col>
                    <xdr:colOff>990600</xdr:colOff>
                    <xdr:row>13</xdr:row>
                    <xdr:rowOff>22860</xdr:rowOff>
                  </from>
                  <to>
                    <xdr:col>42</xdr:col>
                    <xdr:colOff>518160</xdr:colOff>
                    <xdr:row>14</xdr:row>
                    <xdr:rowOff>15240</xdr:rowOff>
                  </to>
                </anchor>
              </controlPr>
            </control>
          </mc:Choice>
        </mc:AlternateContent>
        <mc:AlternateContent xmlns:mc="http://schemas.openxmlformats.org/markup-compatibility/2006">
          <mc:Choice Requires="x14">
            <control shapeId="5139" r:id="rId7" name="Check Box 19">
              <controlPr defaultSize="0" autoFill="0" autoLine="0" autoPict="0">
                <anchor moveWithCells="1">
                  <from>
                    <xdr:col>41</xdr:col>
                    <xdr:colOff>990600</xdr:colOff>
                    <xdr:row>13</xdr:row>
                    <xdr:rowOff>167640</xdr:rowOff>
                  </from>
                  <to>
                    <xdr:col>42</xdr:col>
                    <xdr:colOff>518160</xdr:colOff>
                    <xdr:row>14</xdr:row>
                    <xdr:rowOff>160020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94C27C2F-975A-4E0B-806F-5BF7ECC6AA24}">
            <x14:dataBar minLength="0" maxLength="100" gradient="0">
              <x14:cfvo type="num">
                <xm:f>0</xm:f>
              </x14:cfvo>
              <x14:cfvo type="num">
                <xm:f>1</xm:f>
              </x14:cfvo>
              <x14:negativeFillColor rgb="FFFF0000"/>
              <x14:axisColor rgb="FF000000"/>
            </x14:dataBar>
          </x14:cfRule>
          <xm:sqref>AB13:AB53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F156245A-2E00-488C-AB29-217BD4D2DECC}">
          <x14:formula1>
            <xm:f>'DropDown Data'!$C$8:$C$18</xm:f>
          </x14:formula1>
          <xm:sqref>AQ6:AR6</xm:sqref>
        </x14:dataValidation>
        <x14:dataValidation type="list" allowBlank="1" showInputMessage="1" showErrorMessage="1" xr:uid="{D479D7FD-96B4-4AE9-B763-64BECEEF08F0}">
          <x14:formula1>
            <xm:f>'DropDown Data'!$E$8:$E$21</xm:f>
          </x14:formula1>
          <xm:sqref>AQ9:AR9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52C2D-561B-4325-B3E8-44D49467E27C}">
  <dimension ref="A1:AN21"/>
  <sheetViews>
    <sheetView showGridLines="0" workbookViewId="0">
      <selection activeCell="K17" sqref="K17"/>
    </sheetView>
  </sheetViews>
  <sheetFormatPr defaultRowHeight="14.4" x14ac:dyDescent="0.3"/>
  <cols>
    <col min="1" max="1" width="4.6640625" customWidth="1"/>
    <col min="2" max="2" width="2.33203125" customWidth="1"/>
    <col min="3" max="3" width="15.6640625" customWidth="1"/>
    <col min="5" max="5" width="18" customWidth="1"/>
  </cols>
  <sheetData>
    <row r="1" spans="1:40" x14ac:dyDescent="0.3">
      <c r="A1" s="47"/>
      <c r="B1" s="47"/>
      <c r="C1" s="48" t="s">
        <v>58</v>
      </c>
      <c r="D1" s="48"/>
      <c r="E1" s="48"/>
      <c r="F1" s="48"/>
      <c r="G1" s="48"/>
      <c r="H1" s="48"/>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row>
    <row r="2" spans="1:40" x14ac:dyDescent="0.3">
      <c r="A2" s="47"/>
      <c r="B2" s="47"/>
      <c r="C2" s="48"/>
      <c r="D2" s="48"/>
      <c r="E2" s="48"/>
      <c r="F2" s="48"/>
      <c r="G2" s="48"/>
      <c r="H2" s="48"/>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row>
    <row r="3" spans="1:40" x14ac:dyDescent="0.3">
      <c r="A3" s="47"/>
      <c r="B3" s="47"/>
      <c r="C3" s="48"/>
      <c r="D3" s="48"/>
      <c r="E3" s="48"/>
      <c r="F3" s="48"/>
      <c r="G3" s="48"/>
      <c r="H3" s="48"/>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row>
    <row r="7" spans="1:40" x14ac:dyDescent="0.3">
      <c r="C7" s="57" t="s">
        <v>59</v>
      </c>
      <c r="E7" s="57" t="s">
        <v>61</v>
      </c>
    </row>
    <row r="8" spans="1:40" x14ac:dyDescent="0.3">
      <c r="C8" s="58" t="s">
        <v>60</v>
      </c>
      <c r="E8" s="58" t="s">
        <v>62</v>
      </c>
    </row>
    <row r="9" spans="1:40" x14ac:dyDescent="0.3">
      <c r="C9" s="58">
        <f>Starting_year</f>
        <v>2024</v>
      </c>
      <c r="E9" s="58" t="s">
        <v>63</v>
      </c>
    </row>
    <row r="10" spans="1:40" x14ac:dyDescent="0.3">
      <c r="C10" s="58">
        <f>Starting_year + 1</f>
        <v>2025</v>
      </c>
      <c r="E10" s="60">
        <v>36526</v>
      </c>
    </row>
    <row r="11" spans="1:40" x14ac:dyDescent="0.3">
      <c r="C11" s="58">
        <f>Starting_year + 2</f>
        <v>2026</v>
      </c>
      <c r="E11" s="60">
        <v>36557</v>
      </c>
    </row>
    <row r="12" spans="1:40" x14ac:dyDescent="0.3">
      <c r="C12" s="58">
        <f>Starting_year + 3</f>
        <v>2027</v>
      </c>
      <c r="E12" s="60">
        <v>36586</v>
      </c>
    </row>
    <row r="13" spans="1:40" x14ac:dyDescent="0.3">
      <c r="C13" s="58">
        <f>Starting_year + 4</f>
        <v>2028</v>
      </c>
      <c r="E13" s="60">
        <v>36617</v>
      </c>
    </row>
    <row r="14" spans="1:40" x14ac:dyDescent="0.3">
      <c r="C14" s="58">
        <f>Starting_year + 5</f>
        <v>2029</v>
      </c>
      <c r="E14" s="60">
        <v>36647</v>
      </c>
    </row>
    <row r="15" spans="1:40" x14ac:dyDescent="0.3">
      <c r="C15" s="58">
        <f>Starting_year + 6</f>
        <v>2030</v>
      </c>
      <c r="E15" s="60">
        <v>36678</v>
      </c>
    </row>
    <row r="16" spans="1:40" x14ac:dyDescent="0.3">
      <c r="C16" s="58">
        <f>Starting_year + 7</f>
        <v>2031</v>
      </c>
      <c r="E16" s="60">
        <v>36708</v>
      </c>
    </row>
    <row r="17" spans="3:5" x14ac:dyDescent="0.3">
      <c r="C17" s="58">
        <f>Starting_year + 8</f>
        <v>2032</v>
      </c>
      <c r="E17" s="60">
        <v>36739</v>
      </c>
    </row>
    <row r="18" spans="3:5" x14ac:dyDescent="0.3">
      <c r="C18" s="59">
        <f>Starting_year + 9</f>
        <v>2033</v>
      </c>
      <c r="E18" s="60">
        <v>36770</v>
      </c>
    </row>
    <row r="19" spans="3:5" x14ac:dyDescent="0.3">
      <c r="E19" s="60">
        <v>36800</v>
      </c>
    </row>
    <row r="20" spans="3:5" x14ac:dyDescent="0.3">
      <c r="E20" s="60">
        <v>36831</v>
      </c>
    </row>
    <row r="21" spans="3:5" x14ac:dyDescent="0.3">
      <c r="E21" s="61">
        <v>36861</v>
      </c>
    </row>
  </sheetData>
  <mergeCells count="1">
    <mergeCell ref="C1: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Calculations</vt:lpstr>
      <vt:lpstr>Budget Dashboard</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Roopali Sharma</dc:creator>
  <cp:lastModifiedBy>Roopali Sharma</cp:lastModifiedBy>
  <dcterms:created xsi:type="dcterms:W3CDTF">2024-09-14T12:03:10Z</dcterms:created>
  <dcterms:modified xsi:type="dcterms:W3CDTF">2024-09-16T06:19:20Z</dcterms:modified>
</cp:coreProperties>
</file>