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yecto\"/>
    </mc:Choice>
  </mc:AlternateContent>
  <xr:revisionPtr revIDLastSave="0" documentId="13_ncr:1_{6770BC80-6873-4CD0-B54D-805D8FC2A27E}" xr6:coauthVersionLast="47" xr6:coauthVersionMax="47" xr10:uidLastSave="{00000000-0000-0000-0000-000000000000}"/>
  <bookViews>
    <workbookView xWindow="-110" yWindow="-110" windowWidth="19420" windowHeight="10420" tabRatio="847" activeTab="3" xr2:uid="{00000000-000D-0000-FFFF-FFFF00000000}"/>
  </bookViews>
  <sheets>
    <sheet name="Hoja1" sheetId="29" r:id="rId1"/>
    <sheet name="Hoja2" sheetId="30" r:id="rId2"/>
    <sheet name="RESUMEN DE VENTAS" sheetId="2" r:id="rId3"/>
    <sheet name="ASIST.MEDICA" sheetId="1" r:id="rId4"/>
    <sheet name="RENOVACIONES" sheetId="31" r:id="rId5"/>
    <sheet name="CAMBIO PLAN" sheetId="27" r:id="rId6"/>
    <sheet name="CANCELACIONES" sheetId="26" r:id="rId7"/>
    <sheet name="NOMBRAMIENTO" sheetId="28" r:id="rId8"/>
    <sheet name="BIENVENIDO" sheetId="24" r:id="rId9"/>
    <sheet name="00" sheetId="12" r:id="rId10"/>
    <sheet name="RESUMEN 2024" sheetId="25" r:id="rId11"/>
  </sheets>
  <definedNames>
    <definedName name="_xlnm._FilterDatabase" localSheetId="9" hidden="1">'00'!$B$8:$G$22</definedName>
    <definedName name="_xlnm._FilterDatabase" localSheetId="3" hidden="1">ASIST.MEDICA!$B$3:$AE$3</definedName>
    <definedName name="_xlnm._FilterDatabase" localSheetId="4" hidden="1">RENOVACIONES!$A$1:$O$630</definedName>
    <definedName name="_xlnm._FilterDatabase" localSheetId="10" hidden="1">'RESUMEN 2024'!$B$8:$G$68</definedName>
    <definedName name="_MailAutoSig" localSheetId="8">BIENVENIDO!$B$5</definedName>
    <definedName name="SegmentaciónDeDatos_AGENTE">#N/A</definedName>
    <definedName name="SegmentaciónDeDatos_Años">#N/A</definedName>
    <definedName name="SegmentaciónDeDatos_ASEGURADORA">#N/A</definedName>
    <definedName name="SegmentaciónDeDatos_MES">#N/A</definedName>
    <definedName name="SegmentaciónDeDatos_SALA">#N/A</definedName>
    <definedName name="SegmentaciónDeDatos_TIPO_DE_CONTRATO">#N/A</definedName>
    <definedName name="SegmentaciónDeDatos_Trimestres">#N/A</definedName>
  </definedNames>
  <calcPr calcId="191029"/>
  <pivotCaches>
    <pivotCache cacheId="0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0" i="31" l="1"/>
  <c r="I399" i="31"/>
  <c r="I398" i="31"/>
  <c r="I397" i="31"/>
  <c r="I396" i="31"/>
  <c r="I395" i="31"/>
  <c r="I394" i="31"/>
  <c r="I393" i="31"/>
  <c r="I392" i="31"/>
  <c r="I391" i="31"/>
  <c r="I390" i="31"/>
  <c r="I389" i="31"/>
  <c r="I388" i="31"/>
  <c r="I387" i="31"/>
  <c r="I386" i="31"/>
  <c r="I385" i="31"/>
  <c r="I384" i="31"/>
  <c r="I383" i="31"/>
  <c r="I382" i="31"/>
  <c r="I381" i="31"/>
  <c r="I380" i="31"/>
  <c r="I379" i="31"/>
  <c r="I378" i="31"/>
  <c r="I377" i="31"/>
  <c r="I376" i="31"/>
  <c r="I375" i="31"/>
  <c r="I374" i="31"/>
  <c r="I373" i="31"/>
  <c r="I372" i="31"/>
  <c r="I371" i="31"/>
  <c r="I370" i="31"/>
  <c r="I369" i="31"/>
  <c r="I368" i="31"/>
  <c r="I367" i="31"/>
  <c r="I366" i="31"/>
  <c r="I365" i="31"/>
  <c r="I364" i="31"/>
  <c r="I363" i="31"/>
  <c r="I362" i="31"/>
  <c r="I361" i="31"/>
  <c r="I360" i="31"/>
  <c r="I359" i="31"/>
  <c r="I358" i="31"/>
  <c r="I357" i="31"/>
  <c r="I356" i="31"/>
  <c r="I355" i="31"/>
  <c r="I354" i="31"/>
  <c r="I353" i="31"/>
  <c r="I352" i="31"/>
  <c r="I351" i="31"/>
  <c r="I350" i="31"/>
  <c r="I349" i="31"/>
  <c r="I348" i="31"/>
  <c r="I347" i="31"/>
  <c r="I346" i="31"/>
  <c r="I345" i="31"/>
  <c r="I344" i="31"/>
  <c r="I343" i="31"/>
  <c r="I342" i="31"/>
  <c r="I341" i="31"/>
  <c r="I340" i="31"/>
  <c r="I339" i="31"/>
  <c r="I338" i="31"/>
  <c r="I337" i="31"/>
  <c r="I336" i="31"/>
  <c r="I335" i="31"/>
  <c r="I334" i="31"/>
  <c r="I333" i="31"/>
  <c r="I332" i="31"/>
  <c r="I331" i="31"/>
  <c r="I330" i="31"/>
  <c r="I329" i="31"/>
  <c r="I328" i="31"/>
  <c r="I327" i="31"/>
  <c r="I326" i="31"/>
  <c r="I325" i="31"/>
  <c r="I324" i="31"/>
  <c r="I323" i="31"/>
  <c r="I322" i="31"/>
  <c r="I321" i="31"/>
  <c r="I320" i="31"/>
  <c r="I319" i="31"/>
  <c r="I318" i="31"/>
  <c r="I317" i="31"/>
  <c r="I316" i="31"/>
  <c r="I315" i="31"/>
  <c r="I314" i="31"/>
  <c r="I313" i="31"/>
  <c r="I312" i="31"/>
  <c r="I311" i="31"/>
  <c r="I310" i="31"/>
  <c r="I309" i="31"/>
  <c r="I308" i="31"/>
  <c r="I307" i="31"/>
  <c r="I306" i="31"/>
  <c r="I305" i="31"/>
  <c r="I304" i="31"/>
  <c r="I303" i="31"/>
  <c r="J400" i="31"/>
  <c r="J397" i="31"/>
  <c r="J394" i="31"/>
  <c r="J391" i="31"/>
  <c r="J390" i="31"/>
  <c r="J389" i="31"/>
  <c r="J388" i="31"/>
  <c r="J383" i="31"/>
  <c r="J382" i="31"/>
  <c r="J379" i="31"/>
  <c r="J378" i="31"/>
  <c r="J377" i="31"/>
  <c r="J376" i="31"/>
  <c r="J363" i="31"/>
  <c r="J362" i="31"/>
  <c r="J331" i="31"/>
  <c r="J329" i="31"/>
  <c r="J328" i="31"/>
  <c r="J327" i="31"/>
  <c r="J326" i="31"/>
  <c r="J325" i="31"/>
  <c r="J312" i="31"/>
  <c r="I302" i="31"/>
  <c r="J302" i="31"/>
  <c r="I301" i="31"/>
  <c r="I300" i="31"/>
  <c r="I299" i="31"/>
  <c r="I298" i="31"/>
  <c r="I297" i="31"/>
  <c r="I296" i="31"/>
  <c r="I295" i="31"/>
  <c r="I294" i="31"/>
  <c r="I293" i="31"/>
  <c r="I292" i="31"/>
  <c r="I291" i="31"/>
  <c r="I290" i="31"/>
  <c r="I289" i="31"/>
  <c r="I288" i="31"/>
  <c r="I287" i="31"/>
  <c r="I286" i="31"/>
  <c r="I285" i="31"/>
  <c r="I284" i="31"/>
  <c r="I283" i="31"/>
  <c r="I282" i="31"/>
  <c r="I281" i="31"/>
  <c r="I280" i="31"/>
  <c r="I279" i="31"/>
  <c r="I278" i="31"/>
  <c r="I277" i="31"/>
  <c r="I276" i="31"/>
  <c r="I275" i="31"/>
  <c r="I274" i="31"/>
  <c r="I273" i="31"/>
  <c r="I272" i="31"/>
  <c r="I271" i="31"/>
  <c r="I270" i="31"/>
  <c r="I269" i="31"/>
  <c r="I268" i="31"/>
  <c r="I267" i="31"/>
  <c r="I266" i="31"/>
  <c r="I265" i="31"/>
  <c r="I264" i="31"/>
  <c r="I263" i="31"/>
  <c r="I262" i="31"/>
  <c r="I261" i="31"/>
  <c r="I260" i="31"/>
  <c r="I259" i="31"/>
  <c r="I258" i="31"/>
  <c r="I257" i="31"/>
  <c r="I256" i="31"/>
  <c r="I255" i="31"/>
  <c r="I254" i="31"/>
  <c r="I253" i="31"/>
  <c r="I252" i="31"/>
  <c r="I251" i="31"/>
  <c r="I250" i="31"/>
  <c r="I249" i="31"/>
  <c r="I248" i="31"/>
  <c r="I247" i="31"/>
  <c r="I246" i="31"/>
  <c r="I245" i="31"/>
  <c r="I244" i="31"/>
  <c r="I243" i="31"/>
  <c r="I242" i="31"/>
  <c r="I241" i="31"/>
  <c r="I240" i="31"/>
  <c r="I239" i="31"/>
  <c r="I238" i="31"/>
  <c r="I237" i="31"/>
  <c r="I236" i="31"/>
  <c r="I235" i="31"/>
  <c r="I234" i="31"/>
  <c r="I233" i="31"/>
  <c r="I232" i="31"/>
  <c r="I231" i="31"/>
  <c r="I230" i="31"/>
  <c r="I229" i="31"/>
  <c r="I228" i="31"/>
  <c r="I227" i="31"/>
  <c r="J301" i="31"/>
  <c r="J300" i="31"/>
  <c r="J299" i="31"/>
  <c r="J298" i="31"/>
  <c r="J297" i="31"/>
  <c r="J296" i="31"/>
  <c r="J295" i="31"/>
  <c r="J294" i="31"/>
  <c r="J293" i="31"/>
  <c r="J292" i="31"/>
  <c r="J291" i="31"/>
  <c r="J290" i="31"/>
  <c r="J289" i="31"/>
  <c r="J288" i="31"/>
  <c r="J287" i="31"/>
  <c r="J286" i="31"/>
  <c r="J285" i="31"/>
  <c r="J284" i="31"/>
  <c r="J283" i="31"/>
  <c r="J279" i="31"/>
  <c r="J272" i="31"/>
  <c r="J270" i="31"/>
  <c r="J269" i="31"/>
  <c r="J268" i="31"/>
  <c r="J263" i="31"/>
  <c r="J262" i="31"/>
  <c r="J250" i="31"/>
  <c r="J244" i="31"/>
  <c r="J243" i="31"/>
  <c r="J242" i="31"/>
  <c r="J240" i="31"/>
  <c r="J237" i="31"/>
  <c r="J236" i="31"/>
  <c r="J235" i="31"/>
  <c r="J230" i="31"/>
  <c r="J229" i="31"/>
  <c r="J228" i="31"/>
  <c r="J227" i="31"/>
  <c r="I226" i="31"/>
  <c r="I225" i="31"/>
  <c r="I224" i="31"/>
  <c r="I223" i="31"/>
  <c r="I222" i="31"/>
  <c r="J222" i="31"/>
  <c r="I221" i="31"/>
  <c r="I220" i="31"/>
  <c r="I219" i="31"/>
  <c r="I218" i="31"/>
  <c r="I217" i="31"/>
  <c r="I216" i="31"/>
  <c r="I215" i="31"/>
  <c r="I214" i="31"/>
  <c r="I213" i="31"/>
  <c r="I212" i="31"/>
  <c r="I211" i="31"/>
  <c r="I210" i="31"/>
  <c r="I209" i="31"/>
  <c r="I208" i="31"/>
  <c r="I207" i="31"/>
  <c r="I206" i="31"/>
  <c r="I205" i="31"/>
  <c r="I204" i="31"/>
  <c r="J216" i="31"/>
  <c r="J215" i="31"/>
  <c r="J214" i="31"/>
  <c r="J213" i="31"/>
  <c r="J212" i="31"/>
  <c r="J211" i="31"/>
  <c r="J210" i="31"/>
  <c r="J207" i="31"/>
  <c r="J206" i="31"/>
  <c r="J205" i="31"/>
  <c r="J204" i="31"/>
  <c r="I203" i="31"/>
  <c r="I202" i="31"/>
  <c r="I201" i="31"/>
  <c r="I200" i="31"/>
  <c r="I199" i="31"/>
  <c r="I198" i="31"/>
  <c r="I197" i="31"/>
  <c r="I196" i="31"/>
  <c r="I195" i="31"/>
  <c r="I194" i="31"/>
  <c r="I193" i="31"/>
  <c r="I192" i="31"/>
  <c r="I191" i="31"/>
  <c r="J191" i="31"/>
  <c r="I190" i="31"/>
  <c r="I189" i="31"/>
  <c r="I188" i="31"/>
  <c r="I187" i="31"/>
  <c r="I186" i="31"/>
  <c r="I185" i="31"/>
  <c r="I184" i="31"/>
  <c r="I183" i="31"/>
  <c r="I182" i="31"/>
  <c r="I181" i="31"/>
  <c r="I180" i="31"/>
  <c r="I179" i="31"/>
  <c r="I178" i="31"/>
  <c r="I177" i="31"/>
  <c r="I176" i="31"/>
  <c r="I175" i="31"/>
  <c r="I174" i="31"/>
  <c r="I173" i="31"/>
  <c r="I172" i="31"/>
  <c r="I171" i="31"/>
  <c r="I170" i="31"/>
  <c r="I169" i="31"/>
  <c r="I168" i="31"/>
  <c r="I167" i="31"/>
  <c r="I166" i="31"/>
  <c r="I165" i="31"/>
  <c r="I164" i="31"/>
  <c r="I163" i="31"/>
  <c r="J178" i="31"/>
  <c r="J176" i="31"/>
  <c r="J174" i="31"/>
  <c r="J169" i="31"/>
  <c r="J166" i="31"/>
  <c r="J165" i="31"/>
  <c r="J164" i="31"/>
  <c r="J163" i="31"/>
  <c r="I162" i="31"/>
  <c r="J162" i="31"/>
  <c r="I161" i="31"/>
  <c r="I160" i="31"/>
  <c r="I159" i="31"/>
  <c r="I158" i="31"/>
  <c r="I157" i="31"/>
  <c r="I156" i="31"/>
  <c r="I155" i="31"/>
  <c r="I154" i="31"/>
  <c r="I153" i="31"/>
  <c r="I152" i="31"/>
  <c r="I151" i="31"/>
  <c r="I150" i="31"/>
  <c r="I149" i="31"/>
  <c r="I148" i="31"/>
  <c r="I147" i="31"/>
  <c r="I146" i="31"/>
  <c r="I145" i="31"/>
  <c r="I144" i="31"/>
  <c r="I143" i="31"/>
  <c r="I142" i="31"/>
  <c r="I141" i="31"/>
  <c r="I140" i="31"/>
  <c r="I139" i="31"/>
  <c r="I138" i="31"/>
  <c r="I137" i="31"/>
  <c r="I136" i="31"/>
  <c r="I135" i="31"/>
  <c r="I134" i="31"/>
  <c r="I133" i="31"/>
  <c r="I132" i="31"/>
  <c r="I131" i="31"/>
  <c r="I130" i="31"/>
  <c r="I129" i="31"/>
  <c r="I128" i="31"/>
  <c r="I127" i="31"/>
  <c r="I126" i="31"/>
  <c r="I125" i="31"/>
  <c r="I124" i="31"/>
  <c r="I123" i="31"/>
  <c r="I122" i="31"/>
  <c r="I121" i="31"/>
  <c r="I120" i="31"/>
  <c r="I119" i="31"/>
  <c r="I118" i="31"/>
  <c r="I117" i="31"/>
  <c r="I116" i="31"/>
  <c r="I115" i="31"/>
  <c r="I114" i="31"/>
  <c r="I113" i="31"/>
  <c r="I112" i="31"/>
  <c r="I111" i="31"/>
  <c r="I110" i="31"/>
  <c r="I109" i="31"/>
  <c r="I108" i="31"/>
  <c r="I107" i="31"/>
  <c r="I106" i="31"/>
  <c r="I105" i="31"/>
  <c r="I104" i="31"/>
  <c r="I103" i="31"/>
  <c r="I102" i="31"/>
  <c r="I101" i="31"/>
  <c r="I100" i="31"/>
  <c r="I99" i="31"/>
  <c r="I98" i="31"/>
  <c r="I97" i="31"/>
  <c r="I96" i="31"/>
  <c r="I95" i="31"/>
  <c r="J147" i="31"/>
  <c r="J146" i="31"/>
  <c r="J145" i="31"/>
  <c r="J144" i="31"/>
  <c r="J142" i="31"/>
  <c r="J141" i="31"/>
  <c r="J140" i="31"/>
  <c r="J136" i="31"/>
  <c r="J135" i="31"/>
  <c r="J134" i="31"/>
  <c r="J133" i="31"/>
  <c r="J119" i="31"/>
  <c r="J118" i="31"/>
  <c r="J114" i="31"/>
  <c r="J113" i="31"/>
  <c r="J112" i="31"/>
  <c r="J109" i="31"/>
  <c r="J108" i="31"/>
  <c r="J106" i="31"/>
  <c r="J105" i="31"/>
  <c r="J99" i="31"/>
  <c r="J95" i="31"/>
  <c r="I94" i="31"/>
  <c r="I93" i="31"/>
  <c r="I92" i="31"/>
  <c r="I91" i="31"/>
  <c r="I90" i="31"/>
  <c r="I89" i="31"/>
  <c r="I88" i="31"/>
  <c r="I87" i="31"/>
  <c r="I86" i="31"/>
  <c r="I85" i="31"/>
  <c r="I84" i="31"/>
  <c r="I83" i="31"/>
  <c r="I82" i="31"/>
  <c r="I81" i="31"/>
  <c r="J85" i="31"/>
  <c r="J84" i="31"/>
  <c r="J83" i="31"/>
  <c r="J82" i="31"/>
  <c r="J81" i="31"/>
  <c r="I80" i="31"/>
  <c r="I79" i="31"/>
  <c r="I78" i="31"/>
  <c r="I77" i="31"/>
  <c r="I76" i="31"/>
  <c r="J76" i="31"/>
  <c r="I75" i="31"/>
  <c r="I74" i="31"/>
  <c r="J75" i="31"/>
  <c r="J74" i="31"/>
  <c r="I73" i="31"/>
  <c r="I72" i="31"/>
  <c r="I71" i="31"/>
  <c r="I70" i="31"/>
  <c r="I69" i="31"/>
  <c r="J68" i="31"/>
  <c r="I68" i="31" s="1"/>
  <c r="I67" i="31"/>
  <c r="J66" i="31"/>
  <c r="I66" i="31" s="1"/>
  <c r="I65" i="31"/>
  <c r="J64" i="31"/>
  <c r="I64" i="31" s="1"/>
  <c r="I63" i="31"/>
  <c r="I62" i="31"/>
  <c r="I61" i="31"/>
  <c r="I60" i="31"/>
  <c r="I56" i="31"/>
  <c r="I55" i="31"/>
  <c r="I52" i="31"/>
  <c r="J59" i="31"/>
  <c r="I59" i="31" s="1"/>
  <c r="J58" i="31"/>
  <c r="I58" i="31" s="1"/>
  <c r="J57" i="31"/>
  <c r="I57" i="31" s="1"/>
  <c r="J54" i="31"/>
  <c r="I54" i="31" s="1"/>
  <c r="J53" i="31"/>
  <c r="I53" i="31" s="1"/>
  <c r="J51" i="31"/>
  <c r="I51" i="31" s="1"/>
  <c r="J360" i="31"/>
  <c r="J358" i="31"/>
  <c r="J348" i="31"/>
  <c r="J347" i="31"/>
  <c r="J346" i="31"/>
  <c r="J345" i="31"/>
  <c r="J344" i="31"/>
  <c r="J161" i="31"/>
  <c r="I50" i="31"/>
  <c r="I49" i="31"/>
  <c r="I48" i="31"/>
  <c r="I47" i="31"/>
  <c r="I45" i="31"/>
  <c r="I44" i="31"/>
  <c r="I40" i="31"/>
  <c r="I37" i="31"/>
  <c r="I36" i="31"/>
  <c r="I34" i="31"/>
  <c r="I33" i="31"/>
  <c r="I32" i="31"/>
  <c r="I31" i="31"/>
  <c r="I30" i="31"/>
  <c r="I29" i="31"/>
  <c r="I28" i="31"/>
  <c r="I27" i="31"/>
  <c r="I26" i="31"/>
  <c r="I25" i="31"/>
  <c r="I24" i="31"/>
  <c r="I23" i="31"/>
  <c r="I22" i="31"/>
  <c r="I20" i="31"/>
  <c r="I19" i="31"/>
  <c r="I18" i="31"/>
  <c r="I17" i="31"/>
  <c r="I16" i="31"/>
  <c r="I15" i="31"/>
  <c r="I14" i="31"/>
  <c r="I13" i="31"/>
  <c r="I12" i="31"/>
  <c r="I11" i="31"/>
  <c r="I8" i="31"/>
  <c r="I7" i="31"/>
  <c r="I6" i="31"/>
  <c r="I5" i="31"/>
  <c r="I4" i="31"/>
  <c r="I3" i="31"/>
  <c r="I2" i="31"/>
  <c r="J46" i="31"/>
  <c r="I46" i="31" s="1"/>
  <c r="J43" i="31"/>
  <c r="I43" i="31" s="1"/>
  <c r="J42" i="31"/>
  <c r="I42" i="31" s="1"/>
  <c r="J41" i="31"/>
  <c r="I41" i="31" s="1"/>
  <c r="J39" i="31"/>
  <c r="I39" i="31" s="1"/>
  <c r="J38" i="31"/>
  <c r="I38" i="31" s="1"/>
  <c r="J21" i="31"/>
  <c r="I21" i="31" s="1"/>
  <c r="J10" i="31"/>
  <c r="I10" i="31" s="1"/>
  <c r="J9" i="31"/>
  <c r="I9" i="31" s="1"/>
  <c r="J6" i="31"/>
  <c r="K2" i="31"/>
  <c r="J393" i="31"/>
  <c r="J232" i="31"/>
  <c r="J35" i="31"/>
  <c r="I35" i="31" s="1"/>
  <c r="J29" i="31"/>
  <c r="T914" i="1"/>
  <c r="V914" i="1" s="1"/>
  <c r="T908" i="1"/>
  <c r="V908" i="1" s="1"/>
  <c r="V926" i="1"/>
  <c r="V925" i="1"/>
  <c r="V916" i="1"/>
  <c r="V923" i="1"/>
  <c r="V924" i="1"/>
  <c r="V915" i="1"/>
  <c r="V918" i="1"/>
  <c r="V922" i="1"/>
  <c r="V921" i="1"/>
  <c r="V920" i="1"/>
  <c r="V913" i="1"/>
  <c r="V912" i="1"/>
  <c r="V911" i="1"/>
  <c r="V910" i="1"/>
  <c r="V909" i="1"/>
  <c r="V917" i="1"/>
  <c r="V919" i="1"/>
  <c r="T907" i="1"/>
  <c r="V907" i="1" s="1"/>
  <c r="V906" i="1"/>
  <c r="V898" i="1"/>
  <c r="V897" i="1"/>
  <c r="V905" i="1"/>
  <c r="V904" i="1"/>
  <c r="V903" i="1"/>
  <c r="V902" i="1"/>
  <c r="V901" i="1"/>
  <c r="V900" i="1"/>
  <c r="T878" i="1"/>
  <c r="V878" i="1" s="1"/>
  <c r="T871" i="1"/>
  <c r="V871" i="1" s="1"/>
  <c r="T872" i="1"/>
  <c r="V872" i="1" s="1"/>
  <c r="V899" i="1"/>
  <c r="V896" i="1"/>
  <c r="V895" i="1"/>
  <c r="V894" i="1"/>
  <c r="V880" i="1"/>
  <c r="V893" i="1"/>
  <c r="V890" i="1"/>
  <c r="V889" i="1"/>
  <c r="V888" i="1"/>
  <c r="V887" i="1"/>
  <c r="V892" i="1"/>
  <c r="V874" i="1"/>
  <c r="V886" i="1"/>
  <c r="V885" i="1"/>
  <c r="V884" i="1"/>
  <c r="V883" i="1"/>
  <c r="V882" i="1"/>
  <c r="V826" i="1"/>
  <c r="V873" i="1"/>
  <c r="V879" i="1"/>
  <c r="V881" i="1"/>
  <c r="V877" i="1"/>
  <c r="V876" i="1"/>
  <c r="V875" i="1"/>
  <c r="V870" i="1"/>
  <c r="V868" i="1"/>
  <c r="T820" i="1" l="1"/>
  <c r="V869" i="1" l="1"/>
  <c r="V867" i="1"/>
  <c r="V863" i="1"/>
  <c r="V862" i="1"/>
  <c r="V820" i="1"/>
  <c r="V865" i="1"/>
  <c r="V864" i="1"/>
  <c r="V861" i="1"/>
  <c r="V860" i="1"/>
  <c r="V859" i="1"/>
  <c r="V858" i="1"/>
  <c r="V857" i="1"/>
  <c r="V773" i="1"/>
  <c r="V856" i="1"/>
  <c r="V855" i="1"/>
  <c r="V819" i="1"/>
  <c r="V853" i="1"/>
  <c r="V835" i="1"/>
  <c r="V834" i="1"/>
  <c r="V813" i="1"/>
  <c r="V825" i="1"/>
  <c r="V842" i="1"/>
  <c r="V793" i="1"/>
  <c r="V850" i="1"/>
  <c r="V817" i="1"/>
  <c r="V837" i="1"/>
  <c r="V852" i="1"/>
  <c r="V836" i="1"/>
  <c r="T847" i="1" l="1"/>
  <c r="T839" i="1" l="1"/>
  <c r="T838" i="1"/>
  <c r="V822" i="1"/>
  <c r="V789" i="1"/>
  <c r="V768" i="1" l="1"/>
  <c r="V795" i="1" l="1"/>
  <c r="T796" i="1"/>
  <c r="V796" i="1" s="1"/>
  <c r="T797" i="1"/>
  <c r="V797" i="1" s="1"/>
  <c r="T794" i="1"/>
  <c r="V849" i="1"/>
  <c r="V848" i="1"/>
  <c r="V847" i="1"/>
  <c r="V846" i="1"/>
  <c r="V833" i="1"/>
  <c r="V832" i="1"/>
  <c r="V831" i="1"/>
  <c r="V830" i="1"/>
  <c r="V829" i="1"/>
  <c r="V845" i="1"/>
  <c r="V841" i="1"/>
  <c r="V840" i="1"/>
  <c r="V828" i="1"/>
  <c r="V844" i="1"/>
  <c r="V843" i="1"/>
  <c r="V815" i="1"/>
  <c r="V839" i="1"/>
  <c r="V838" i="1"/>
  <c r="V823" i="1"/>
  <c r="V814" i="1"/>
  <c r="V798" i="1"/>
  <c r="V792" i="1"/>
  <c r="V827" i="1"/>
  <c r="V816" i="1"/>
  <c r="V783" i="1"/>
  <c r="V824" i="1"/>
  <c r="V805" i="1"/>
  <c r="V821" i="1"/>
  <c r="V804" i="1"/>
  <c r="V811" i="1"/>
  <c r="V810" i="1"/>
  <c r="V809" i="1"/>
  <c r="V808" i="1"/>
  <c r="V807" i="1"/>
  <c r="V803" i="1"/>
  <c r="V802" i="1"/>
  <c r="V801" i="1"/>
  <c r="V800" i="1"/>
  <c r="V806" i="1"/>
  <c r="V790" i="1"/>
  <c r="V794" i="1"/>
  <c r="V772" i="1"/>
  <c r="V779" i="1"/>
  <c r="V782" i="1"/>
  <c r="V788" i="1"/>
  <c r="V787" i="1"/>
  <c r="V786" i="1"/>
  <c r="V785" i="1"/>
  <c r="V778" i="1"/>
  <c r="T762" i="1" l="1"/>
  <c r="T749" i="1"/>
  <c r="T748" i="1"/>
  <c r="T746" i="1"/>
  <c r="V784" i="1" l="1"/>
  <c r="V791" i="1"/>
  <c r="V771" i="1"/>
  <c r="V770" i="1"/>
  <c r="V777" i="1"/>
  <c r="V781" i="1"/>
  <c r="V780" i="1"/>
  <c r="V776" i="1"/>
  <c r="V775" i="1"/>
  <c r="V774" i="1"/>
  <c r="V723" i="1"/>
  <c r="V762" i="1"/>
  <c r="V769" i="1"/>
  <c r="V767" i="1"/>
  <c r="V765" i="1"/>
  <c r="V764" i="1"/>
  <c r="V763" i="1"/>
  <c r="V761" i="1"/>
  <c r="V758" i="1"/>
  <c r="V757" i="1"/>
  <c r="V756" i="1"/>
  <c r="V746" i="1"/>
  <c r="V755" i="1"/>
  <c r="V754" i="1"/>
  <c r="V753" i="1"/>
  <c r="V752" i="1"/>
  <c r="V751" i="1"/>
  <c r="V727" i="1"/>
  <c r="V749" i="1"/>
  <c r="V748" i="1"/>
  <c r="V739" i="1"/>
  <c r="V738" i="1"/>
  <c r="V745" i="1"/>
  <c r="V744" i="1"/>
  <c r="V743" i="1"/>
  <c r="V750" i="1"/>
  <c r="V742" i="1"/>
  <c r="V741" i="1"/>
  <c r="T730" i="1"/>
  <c r="V730" i="1" s="1"/>
  <c r="T719" i="1"/>
  <c r="E13" i="24"/>
  <c r="V705" i="1"/>
  <c r="V724" i="1" l="1"/>
  <c r="V715" i="1"/>
  <c r="V737" i="1"/>
  <c r="V736" i="1"/>
  <c r="V722" i="1"/>
  <c r="V721" i="1"/>
  <c r="V720" i="1"/>
  <c r="V719" i="1"/>
  <c r="V735" i="1"/>
  <c r="V734" i="1"/>
  <c r="V733" i="1"/>
  <c r="V732" i="1"/>
  <c r="V726" i="1"/>
  <c r="V731" i="1"/>
  <c r="V729" i="1"/>
  <c r="V728" i="1"/>
  <c r="V725" i="1"/>
  <c r="V718" i="1"/>
  <c r="T717" i="1"/>
  <c r="V717" i="1" s="1"/>
  <c r="V716" i="1"/>
  <c r="V704" i="1"/>
  <c r="V703" i="1"/>
  <c r="V702" i="1"/>
  <c r="V701" i="1"/>
  <c r="V700" i="1"/>
  <c r="V699" i="1"/>
  <c r="V698" i="1"/>
  <c r="V714" i="1"/>
  <c r="V708" i="1"/>
  <c r="D13" i="24"/>
  <c r="V713" i="1"/>
  <c r="V712" i="1"/>
  <c r="T711" i="1"/>
  <c r="V711" i="1" s="1"/>
  <c r="V710" i="1"/>
  <c r="V709" i="1"/>
  <c r="V707" i="1"/>
  <c r="V706" i="1"/>
  <c r="C16" i="24"/>
  <c r="C15" i="24"/>
  <c r="C14" i="24"/>
  <c r="C12" i="24"/>
  <c r="C11" i="24"/>
  <c r="C10" i="24"/>
  <c r="C9" i="24"/>
  <c r="V690" i="1" l="1"/>
  <c r="V693" i="1"/>
  <c r="V692" i="1"/>
  <c r="V691" i="1"/>
  <c r="V682" i="1"/>
  <c r="V697" i="1"/>
  <c r="V689" i="1"/>
  <c r="V696" i="1"/>
  <c r="V695" i="1"/>
  <c r="V686" i="1"/>
  <c r="V659" i="1"/>
  <c r="V680" i="1"/>
  <c r="V662" i="1"/>
  <c r="V661" i="1"/>
  <c r="V638" i="1"/>
  <c r="V637" i="1"/>
  <c r="T694" i="1"/>
  <c r="V694" i="1" s="1"/>
  <c r="V641" i="1"/>
  <c r="T681" i="1"/>
  <c r="V681" i="1" s="1"/>
  <c r="T679" i="1"/>
  <c r="V679" i="1" s="1"/>
  <c r="T663" i="1"/>
  <c r="V663" i="1" s="1"/>
  <c r="T665" i="1"/>
  <c r="V665" i="1" s="1"/>
  <c r="T660" i="1"/>
  <c r="T648" i="1"/>
  <c r="V648" i="1" s="1"/>
  <c r="T640" i="1"/>
  <c r="V640" i="1" s="1"/>
  <c r="T639" i="1"/>
  <c r="V639" i="1" s="1"/>
  <c r="V647" i="1"/>
  <c r="V660" i="1" l="1"/>
  <c r="C13" i="24"/>
  <c r="G67" i="25"/>
  <c r="G66" i="25"/>
  <c r="G65" i="25"/>
  <c r="G64" i="25"/>
  <c r="G63" i="25"/>
  <c r="G62" i="25"/>
  <c r="G61" i="25"/>
  <c r="G60" i="25"/>
  <c r="G59" i="25"/>
  <c r="G58" i="25"/>
  <c r="G57" i="25"/>
  <c r="G56" i="25"/>
  <c r="G47" i="25"/>
  <c r="G51" i="25"/>
  <c r="G54" i="25"/>
  <c r="G53" i="25"/>
  <c r="G52" i="25"/>
  <c r="G55" i="25"/>
  <c r="G44" i="25"/>
  <c r="G48" i="25"/>
  <c r="G38" i="25"/>
  <c r="G40" i="25"/>
  <c r="G41" i="25"/>
  <c r="G36" i="25"/>
  <c r="G35" i="25"/>
  <c r="G34" i="25"/>
  <c r="G39" i="25"/>
  <c r="G31" i="25"/>
  <c r="G37" i="25"/>
  <c r="G28" i="25"/>
  <c r="G33" i="25"/>
  <c r="G30" i="25"/>
  <c r="G27" i="25"/>
  <c r="G26" i="25"/>
  <c r="G25" i="25"/>
  <c r="G19" i="25"/>
  <c r="G20" i="25"/>
  <c r="G24" i="25"/>
  <c r="G13" i="25"/>
  <c r="G11" i="25"/>
  <c r="G14" i="25"/>
  <c r="G50" i="25"/>
  <c r="G49" i="25"/>
  <c r="G46" i="25"/>
  <c r="G45" i="25"/>
  <c r="G43" i="25"/>
  <c r="V632" i="1"/>
  <c r="V631" i="1"/>
  <c r="V629" i="1"/>
  <c r="F70" i="25"/>
  <c r="E70" i="25"/>
  <c r="D70" i="25"/>
  <c r="G68" i="25"/>
  <c r="G42" i="25"/>
  <c r="G32" i="25"/>
  <c r="G29" i="25"/>
  <c r="G23" i="25"/>
  <c r="G22" i="25"/>
  <c r="G21" i="25"/>
  <c r="G17" i="25"/>
  <c r="G18" i="25"/>
  <c r="G16" i="25"/>
  <c r="G15" i="25"/>
  <c r="G12" i="25"/>
  <c r="G10" i="25"/>
  <c r="G9" i="25"/>
  <c r="V584" i="1"/>
  <c r="V574" i="1"/>
  <c r="T557" i="1"/>
  <c r="V557" i="1" s="1"/>
  <c r="T601" i="1"/>
  <c r="V601" i="1" s="1"/>
  <c r="V558" i="1"/>
  <c r="V566" i="1"/>
  <c r="V565" i="1"/>
  <c r="V600" i="1"/>
  <c r="V576" i="1"/>
  <c r="V599" i="1"/>
  <c r="V598" i="1"/>
  <c r="V604" i="1"/>
  <c r="V597" i="1"/>
  <c r="V617" i="1"/>
  <c r="V616" i="1"/>
  <c r="V615" i="1"/>
  <c r="V614" i="1"/>
  <c r="V619" i="1"/>
  <c r="V627" i="1"/>
  <c r="T560" i="1"/>
  <c r="V560" i="1" s="1"/>
  <c r="V626" i="1"/>
  <c r="T583" i="1"/>
  <c r="V583" i="1" s="1"/>
  <c r="T582" i="1"/>
  <c r="V582" i="1" s="1"/>
  <c r="V559" i="1"/>
  <c r="T596" i="1"/>
  <c r="V596" i="1" s="1"/>
  <c r="T595" i="1"/>
  <c r="V595" i="1" s="1"/>
  <c r="V594" i="1"/>
  <c r="V548" i="1"/>
  <c r="V516" i="1"/>
  <c r="V515" i="1"/>
  <c r="V512" i="1"/>
  <c r="V511" i="1"/>
  <c r="V523" i="1"/>
  <c r="V529" i="1"/>
  <c r="V536" i="1"/>
  <c r="V543" i="1"/>
  <c r="V545" i="1"/>
  <c r="V544" i="1"/>
  <c r="V540" i="1"/>
  <c r="V539" i="1"/>
  <c r="V547" i="1"/>
  <c r="T541" i="1"/>
  <c r="V541" i="1" s="1"/>
  <c r="V546" i="1"/>
  <c r="V538" i="1"/>
  <c r="V537" i="1"/>
  <c r="V535" i="1"/>
  <c r="T532" i="1"/>
  <c r="V532" i="1" s="1"/>
  <c r="T527" i="1"/>
  <c r="V527" i="1" s="1"/>
  <c r="V526" i="1"/>
  <c r="T524" i="1"/>
  <c r="V524" i="1" s="1"/>
  <c r="T520" i="1"/>
  <c r="V520" i="1" s="1"/>
  <c r="V519" i="1"/>
  <c r="V625" i="1"/>
  <c r="V621" i="1"/>
  <c r="V613" i="1"/>
  <c r="V575" i="1"/>
  <c r="V620" i="1"/>
  <c r="G70" i="25" l="1"/>
  <c r="V245" i="1"/>
  <c r="V499" i="1" l="1"/>
  <c r="V487" i="1"/>
  <c r="V503" i="1" l="1"/>
  <c r="V498" i="1"/>
  <c r="V497" i="1"/>
  <c r="V504" i="1"/>
  <c r="V502" i="1"/>
  <c r="V484" i="1"/>
  <c r="V460" i="1" l="1"/>
  <c r="V393" i="1"/>
  <c r="V466" i="1" l="1"/>
  <c r="V491" i="1"/>
  <c r="V483" i="1"/>
  <c r="V475" i="1"/>
  <c r="V490" i="1"/>
  <c r="V474" i="1"/>
  <c r="V488" i="1" l="1"/>
  <c r="V472" i="1"/>
  <c r="V471" i="1"/>
  <c r="V477" i="1"/>
  <c r="V476" i="1"/>
  <c r="V473" i="1"/>
  <c r="F24" i="12"/>
  <c r="E24" i="12"/>
  <c r="D24" i="12"/>
  <c r="C24" i="12"/>
  <c r="G22" i="12"/>
  <c r="G17" i="12"/>
  <c r="G21" i="12"/>
  <c r="G19" i="12"/>
  <c r="G10" i="12"/>
  <c r="G14" i="12"/>
  <c r="G12" i="12"/>
  <c r="G20" i="12"/>
  <c r="G13" i="12"/>
  <c r="G16" i="12"/>
  <c r="G9" i="12"/>
  <c r="G11" i="12"/>
  <c r="G18" i="12"/>
  <c r="G15" i="12"/>
  <c r="V465" i="1"/>
  <c r="G24" i="12" l="1"/>
  <c r="V464" i="1"/>
  <c r="V458" i="1"/>
  <c r="V459" i="1"/>
  <c r="V428" i="1"/>
  <c r="V435" i="1"/>
  <c r="V445" i="1"/>
  <c r="V417" i="1"/>
  <c r="V434" i="1"/>
  <c r="V449" i="1"/>
  <c r="V456" i="1"/>
  <c r="V45" i="1"/>
  <c r="V457" i="1"/>
  <c r="V439" i="1"/>
  <c r="V416" i="1"/>
  <c r="V415" i="1" l="1"/>
  <c r="T427" i="1"/>
  <c r="V427" i="1" s="1"/>
  <c r="V418" i="1"/>
  <c r="V446" i="1"/>
  <c r="V451" i="1"/>
  <c r="V450" i="1"/>
  <c r="V414" i="1"/>
  <c r="V286" i="1"/>
  <c r="V404" i="1" l="1"/>
  <c r="V413" i="1"/>
  <c r="V362" i="1"/>
  <c r="V392" i="1"/>
  <c r="V395" i="1"/>
  <c r="V406" i="1"/>
  <c r="V328" i="1"/>
  <c r="V327" i="1"/>
  <c r="V385" i="1" l="1"/>
  <c r="T356" i="1"/>
  <c r="V378" i="1"/>
  <c r="V379" i="1"/>
  <c r="V384" i="1"/>
  <c r="T381" i="1"/>
  <c r="V381" i="1" s="1"/>
  <c r="V391" i="1"/>
  <c r="V380" i="1"/>
  <c r="V399" i="1"/>
  <c r="V396" i="1"/>
  <c r="V402" i="1"/>
  <c r="V390" i="1"/>
  <c r="V360" i="1" l="1"/>
  <c r="V365" i="1"/>
  <c r="V364" i="1"/>
  <c r="V304" i="1"/>
  <c r="V333" i="1"/>
  <c r="T329" i="1"/>
  <c r="V329" i="1" s="1"/>
  <c r="V346" i="1"/>
  <c r="V350" i="1"/>
  <c r="V349" i="1"/>
  <c r="V348" i="1"/>
  <c r="V347" i="1"/>
  <c r="V314" i="1"/>
  <c r="V331" i="1"/>
  <c r="V330" i="1"/>
  <c r="V274" i="1" l="1"/>
  <c r="V303" i="1"/>
  <c r="V271" i="1"/>
  <c r="AA271" i="1"/>
  <c r="AA285" i="1"/>
  <c r="AA266" i="1"/>
  <c r="AA270" i="1"/>
  <c r="AA272" i="1"/>
  <c r="AA292" i="1"/>
  <c r="AA302" i="1"/>
  <c r="AA301" i="1"/>
  <c r="AA300" i="1"/>
  <c r="AA295" i="1"/>
  <c r="AA294" i="1"/>
  <c r="AA291" i="1"/>
  <c r="AA290" i="1"/>
  <c r="AA289" i="1"/>
  <c r="AA288" i="1"/>
  <c r="AA287" i="1"/>
  <c r="AA299" i="1"/>
  <c r="AA298" i="1"/>
  <c r="AA297" i="1"/>
  <c r="V285" i="1"/>
  <c r="V265" i="1"/>
  <c r="V252" i="1"/>
  <c r="V270" i="1"/>
  <c r="T266" i="1"/>
  <c r="V266" i="1" s="1"/>
  <c r="V281" i="1"/>
  <c r="V264" i="1"/>
  <c r="V272" i="1"/>
  <c r="V292" i="1"/>
  <c r="V301" i="1"/>
  <c r="V302" i="1"/>
  <c r="V300" i="1"/>
  <c r="V295" i="1"/>
  <c r="V294" i="1"/>
  <c r="V291" i="1"/>
  <c r="V290" i="1"/>
  <c r="V289" i="1"/>
  <c r="V288" i="1"/>
  <c r="V287" i="1"/>
  <c r="V299" i="1"/>
  <c r="V298" i="1"/>
  <c r="V297" i="1"/>
  <c r="V296" i="1"/>
  <c r="V293" i="1"/>
  <c r="V239" i="1"/>
  <c r="V244" i="1"/>
  <c r="V242" i="1"/>
  <c r="V246" i="1"/>
  <c r="V215" i="1"/>
  <c r="V212" i="1"/>
  <c r="V235" i="1"/>
  <c r="V234" i="1"/>
  <c r="V237" i="1"/>
  <c r="V238" i="1"/>
  <c r="V224" i="1"/>
  <c r="V208" i="1" l="1"/>
  <c r="V230" i="1"/>
  <c r="T232" i="1"/>
  <c r="V232" i="1" s="1"/>
  <c r="T231" i="1"/>
  <c r="V231" i="1" s="1"/>
  <c r="AA296" i="1"/>
  <c r="AB296" i="1" s="1"/>
  <c r="AA293" i="1"/>
  <c r="AB293" i="1" s="1"/>
  <c r="AA281" i="1"/>
  <c r="AB281" i="1" s="1"/>
  <c r="AA265" i="1"/>
  <c r="AB265" i="1" s="1"/>
  <c r="AA264" i="1"/>
  <c r="AB264" i="1" s="1"/>
  <c r="AA252" i="1"/>
  <c r="AB252" i="1" s="1"/>
  <c r="AA239" i="1"/>
  <c r="AB239" i="1" s="1"/>
  <c r="AA245" i="1"/>
  <c r="AB245" i="1" s="1"/>
  <c r="AA244" i="1"/>
  <c r="AB244" i="1" s="1"/>
  <c r="AA242" i="1"/>
  <c r="AB242" i="1" s="1"/>
  <c r="AA246" i="1"/>
  <c r="AB246" i="1" s="1"/>
  <c r="AA215" i="1"/>
  <c r="AB215" i="1" s="1"/>
  <c r="AA212" i="1"/>
  <c r="AB212" i="1" s="1"/>
  <c r="AA235" i="1"/>
  <c r="AB235" i="1" s="1"/>
  <c r="AA234" i="1"/>
  <c r="AB234" i="1" s="1"/>
  <c r="AA237" i="1"/>
  <c r="AB237" i="1" s="1"/>
  <c r="AA238" i="1"/>
  <c r="AB238" i="1" s="1"/>
  <c r="AA224" i="1"/>
  <c r="AB224" i="1" s="1"/>
  <c r="AA208" i="1"/>
  <c r="AB208" i="1" s="1"/>
  <c r="AA230" i="1"/>
  <c r="AB230" i="1" s="1"/>
  <c r="AA232" i="1"/>
  <c r="AB232" i="1" s="1"/>
  <c r="AA231" i="1"/>
  <c r="AB231" i="1" s="1"/>
  <c r="AA229" i="1"/>
  <c r="AB229" i="1" s="1"/>
  <c r="AA228" i="1"/>
  <c r="AB228" i="1" s="1"/>
  <c r="AA227" i="1"/>
  <c r="AB227" i="1" s="1"/>
  <c r="AA226" i="1"/>
  <c r="AB226" i="1" s="1"/>
  <c r="AA225" i="1"/>
  <c r="AB225" i="1" s="1"/>
  <c r="AA223" i="1"/>
  <c r="AB223" i="1" s="1"/>
  <c r="V229" i="1"/>
  <c r="V206" i="1"/>
  <c r="V197" i="1"/>
  <c r="V196" i="1"/>
  <c r="V218" i="1"/>
  <c r="AA214" i="1" l="1"/>
  <c r="AB214" i="1" s="1"/>
  <c r="V214" i="1"/>
  <c r="V207" i="1"/>
  <c r="V209" i="1"/>
  <c r="V213" i="1"/>
  <c r="V216" i="1"/>
  <c r="V217" i="1"/>
  <c r="V193" i="1"/>
  <c r="V178" i="1"/>
  <c r="V176" i="1"/>
  <c r="AA221" i="1"/>
  <c r="AB221" i="1" s="1"/>
  <c r="AA220" i="1"/>
  <c r="AB220" i="1" s="1"/>
  <c r="AA219" i="1"/>
  <c r="AB219" i="1" s="1"/>
  <c r="AA222" i="1"/>
  <c r="AB222" i="1" s="1"/>
  <c r="AA211" i="1"/>
  <c r="AB211" i="1" s="1"/>
  <c r="AA210" i="1"/>
  <c r="AB210" i="1" s="1"/>
  <c r="AA203" i="1"/>
  <c r="AB203" i="1" s="1"/>
  <c r="AA205" i="1"/>
  <c r="AB205" i="1" s="1"/>
  <c r="AA204" i="1"/>
  <c r="AB204" i="1" s="1"/>
  <c r="AA206" i="1"/>
  <c r="AB206" i="1" s="1"/>
  <c r="AA197" i="1"/>
  <c r="AB197" i="1" s="1"/>
  <c r="AA196" i="1"/>
  <c r="AB196" i="1" s="1"/>
  <c r="AA218" i="1"/>
  <c r="AB218" i="1" s="1"/>
  <c r="AA207" i="1"/>
  <c r="AB207" i="1" s="1"/>
  <c r="AA209" i="1"/>
  <c r="AB209" i="1" s="1"/>
  <c r="AA213" i="1"/>
  <c r="AB213" i="1" s="1"/>
  <c r="AA217" i="1"/>
  <c r="AB217" i="1" s="1"/>
  <c r="AA216" i="1"/>
  <c r="AB216" i="1" s="1"/>
  <c r="AA193" i="1"/>
  <c r="AB193" i="1" s="1"/>
  <c r="AA192" i="1"/>
  <c r="AB192" i="1" s="1"/>
  <c r="AA178" i="1"/>
  <c r="AB178" i="1" s="1"/>
  <c r="AA176" i="1"/>
  <c r="AB176" i="1" s="1"/>
  <c r="AA180" i="1"/>
  <c r="AB180" i="1" s="1"/>
  <c r="AA190" i="1"/>
  <c r="AB190" i="1" s="1"/>
  <c r="AA189" i="1"/>
  <c r="AB189" i="1" s="1"/>
  <c r="AA188" i="1"/>
  <c r="AB188" i="1" s="1"/>
  <c r="AA186" i="1"/>
  <c r="AB186" i="1" s="1"/>
  <c r="AA185" i="1"/>
  <c r="AB185" i="1" s="1"/>
  <c r="AA182" i="1"/>
  <c r="AB182" i="1" s="1"/>
  <c r="AA187" i="1"/>
  <c r="AB187" i="1" s="1"/>
  <c r="AA184" i="1"/>
  <c r="AB184" i="1" s="1"/>
  <c r="AA183" i="1"/>
  <c r="AB183" i="1" s="1"/>
  <c r="AA191" i="1"/>
  <c r="AB191" i="1" s="1"/>
  <c r="AA181" i="1"/>
  <c r="AB181" i="1" s="1"/>
  <c r="AA179" i="1"/>
  <c r="AB179" i="1" s="1"/>
  <c r="AA177" i="1"/>
  <c r="AB177" i="1" s="1"/>
  <c r="AA173" i="1"/>
  <c r="AB173" i="1" s="1"/>
  <c r="AA175" i="1"/>
  <c r="AB175" i="1" s="1"/>
  <c r="AA174" i="1"/>
  <c r="AB174" i="1" s="1"/>
  <c r="AA172" i="1"/>
  <c r="AB172" i="1" s="1"/>
  <c r="V180" i="1"/>
  <c r="AA167" i="1"/>
  <c r="AB167" i="1" s="1"/>
  <c r="AA170" i="1"/>
  <c r="AB170" i="1" s="1"/>
  <c r="AA169" i="1"/>
  <c r="AB169" i="1" s="1"/>
  <c r="AA168" i="1"/>
  <c r="AB168" i="1" s="1"/>
  <c r="AA171" i="1"/>
  <c r="AB171" i="1" s="1"/>
  <c r="V167" i="1"/>
  <c r="T168" i="1"/>
  <c r="V97" i="1"/>
  <c r="V171" i="1" l="1"/>
  <c r="V38" i="1"/>
  <c r="V166" i="1"/>
  <c r="V163" i="1"/>
  <c r="V136" i="1"/>
  <c r="V135" i="1"/>
  <c r="V137" i="1"/>
  <c r="V121" i="1"/>
  <c r="V115" i="1"/>
  <c r="V114" i="1"/>
  <c r="V108" i="1"/>
  <c r="V84" i="1"/>
  <c r="V70" i="1"/>
  <c r="V55" i="1"/>
  <c r="V88" i="1"/>
  <c r="V71" i="1"/>
  <c r="V67" i="1"/>
  <c r="V42" i="1"/>
  <c r="AA162" i="1"/>
  <c r="AB162" i="1" s="1"/>
  <c r="AA161" i="1"/>
  <c r="AB161" i="1" s="1"/>
  <c r="AA160" i="1"/>
  <c r="AB160" i="1" s="1"/>
  <c r="AA159" i="1"/>
  <c r="AB159" i="1" s="1"/>
  <c r="AA158" i="1"/>
  <c r="AB158" i="1" s="1"/>
  <c r="AA157" i="1"/>
  <c r="AB157" i="1" s="1"/>
  <c r="AA156" i="1"/>
  <c r="AB156" i="1" s="1"/>
  <c r="AA155" i="1"/>
  <c r="AB155" i="1" s="1"/>
  <c r="AA154" i="1"/>
  <c r="AB154" i="1" s="1"/>
  <c r="AA153" i="1"/>
  <c r="AB153" i="1" s="1"/>
  <c r="AA152" i="1"/>
  <c r="AB152" i="1" s="1"/>
  <c r="AA151" i="1"/>
  <c r="AB151" i="1" s="1"/>
  <c r="AA150" i="1"/>
  <c r="AB150" i="1" s="1"/>
  <c r="AA145" i="1"/>
  <c r="AB145" i="1" s="1"/>
  <c r="AA141" i="1"/>
  <c r="AB141" i="1" s="1"/>
  <c r="AA140" i="1"/>
  <c r="AB140" i="1" s="1"/>
  <c r="AA139" i="1"/>
  <c r="AB139" i="1" s="1"/>
  <c r="AA133" i="1"/>
  <c r="AB133" i="1" s="1"/>
  <c r="AA132" i="1"/>
  <c r="AB132" i="1" s="1"/>
  <c r="AA134" i="1"/>
  <c r="AB134" i="1" s="1"/>
  <c r="AA131" i="1"/>
  <c r="AB131" i="1" s="1"/>
  <c r="AA129" i="1"/>
  <c r="AB129" i="1" s="1"/>
  <c r="AA128" i="1"/>
  <c r="AB128" i="1" s="1"/>
  <c r="AA127" i="1"/>
  <c r="AB127" i="1" s="1"/>
  <c r="AA130" i="1"/>
  <c r="AB130" i="1" s="1"/>
  <c r="AA126" i="1"/>
  <c r="AB126" i="1" s="1"/>
  <c r="AA125" i="1"/>
  <c r="AB125" i="1" s="1"/>
  <c r="AA124" i="1"/>
  <c r="AB124" i="1" s="1"/>
  <c r="AA123" i="1"/>
  <c r="AB123" i="1" s="1"/>
  <c r="AA122" i="1"/>
  <c r="AB122" i="1" s="1"/>
  <c r="AA119" i="1"/>
  <c r="AB119" i="1" s="1"/>
  <c r="AA118" i="1"/>
  <c r="AB118" i="1" s="1"/>
  <c r="AA117" i="1"/>
  <c r="AB117" i="1" s="1"/>
  <c r="AA112" i="1"/>
  <c r="AB112" i="1" s="1"/>
  <c r="AA113" i="1"/>
  <c r="AB113" i="1" s="1"/>
  <c r="AA109" i="1"/>
  <c r="AB109" i="1" s="1"/>
  <c r="AA106" i="1"/>
  <c r="AB106" i="1" s="1"/>
  <c r="AA104" i="1"/>
  <c r="AB104" i="1" s="1"/>
  <c r="AA103" i="1"/>
  <c r="AB103" i="1" s="1"/>
  <c r="AA105" i="1"/>
  <c r="AB105" i="1" s="1"/>
  <c r="AA102" i="1"/>
  <c r="AB102" i="1" s="1"/>
  <c r="AA99" i="1"/>
  <c r="AB99" i="1" s="1"/>
  <c r="AA97" i="1"/>
  <c r="AB97" i="1" s="1"/>
  <c r="AA100" i="1"/>
  <c r="AB100" i="1" s="1"/>
  <c r="AA98" i="1"/>
  <c r="AB98" i="1" s="1"/>
  <c r="AA93" i="1"/>
  <c r="AB93" i="1" s="1"/>
  <c r="AA96" i="1"/>
  <c r="AB96" i="1" s="1"/>
  <c r="AA92" i="1"/>
  <c r="AB92" i="1" s="1"/>
  <c r="AA95" i="1"/>
  <c r="AB95" i="1" s="1"/>
  <c r="AA94" i="1"/>
  <c r="AB94" i="1" s="1"/>
  <c r="AA91" i="1"/>
  <c r="AB91" i="1" s="1"/>
  <c r="AA89" i="1"/>
  <c r="AB89" i="1" s="1"/>
  <c r="AA90" i="1"/>
  <c r="AB90" i="1" s="1"/>
  <c r="AA82" i="1"/>
  <c r="AB82" i="1" s="1"/>
  <c r="AA80" i="1"/>
  <c r="AB80" i="1" s="1"/>
  <c r="AA79" i="1"/>
  <c r="AB79" i="1" s="1"/>
  <c r="AA81" i="1"/>
  <c r="AB81" i="1" s="1"/>
  <c r="AA74" i="1"/>
  <c r="AB74" i="1" s="1"/>
  <c r="AA73" i="1"/>
  <c r="AB73" i="1" s="1"/>
  <c r="AA72" i="1"/>
  <c r="AB72" i="1" s="1"/>
  <c r="AA75" i="1"/>
  <c r="AB75" i="1" s="1"/>
  <c r="AA69" i="1"/>
  <c r="AB69" i="1" s="1"/>
  <c r="AA64" i="1"/>
  <c r="AB64" i="1" s="1"/>
  <c r="AA63" i="1"/>
  <c r="AB63" i="1" s="1"/>
  <c r="AA62" i="1"/>
  <c r="AB62" i="1" s="1"/>
  <c r="AA65" i="1"/>
  <c r="AB65" i="1" s="1"/>
  <c r="AA58" i="1"/>
  <c r="AB58" i="1" s="1"/>
  <c r="AA57" i="1"/>
  <c r="AB57" i="1" s="1"/>
  <c r="AA54" i="1"/>
  <c r="AB54" i="1" s="1"/>
  <c r="AA52" i="1"/>
  <c r="AB52" i="1" s="1"/>
  <c r="AA51" i="1"/>
  <c r="AB51" i="1" s="1"/>
  <c r="AA50" i="1"/>
  <c r="AB50" i="1" s="1"/>
  <c r="AA49" i="1"/>
  <c r="AB49" i="1" s="1"/>
  <c r="AA46" i="1"/>
  <c r="AB46" i="1" s="1"/>
  <c r="AA47" i="1"/>
  <c r="AB47" i="1" s="1"/>
  <c r="AA39" i="1"/>
  <c r="AB39" i="1" s="1"/>
  <c r="AA35" i="1"/>
  <c r="AB35" i="1" s="1"/>
  <c r="AA34" i="1"/>
  <c r="AB34" i="1" s="1"/>
  <c r="AA33" i="1"/>
  <c r="AB33" i="1" s="1"/>
  <c r="AA32" i="1"/>
  <c r="AB32" i="1" s="1"/>
  <c r="AA30" i="1"/>
  <c r="AB30" i="1" s="1"/>
  <c r="AA29" i="1"/>
  <c r="AB29" i="1" s="1"/>
  <c r="AA28" i="1"/>
  <c r="AB28" i="1" s="1"/>
  <c r="AA27" i="1"/>
  <c r="AB27" i="1" s="1"/>
  <c r="AA25" i="1"/>
  <c r="AB25" i="1" s="1"/>
  <c r="AA26" i="1"/>
  <c r="AB26" i="1" s="1"/>
  <c r="AA24" i="1"/>
  <c r="AB24" i="1" s="1"/>
  <c r="AA22" i="1"/>
  <c r="AB22" i="1" s="1"/>
  <c r="AA21" i="1"/>
  <c r="AB21" i="1" s="1"/>
  <c r="AA20" i="1"/>
  <c r="AB20" i="1" s="1"/>
  <c r="AA18" i="1"/>
  <c r="AB18" i="1" s="1"/>
  <c r="AA17" i="1"/>
  <c r="AB17" i="1" s="1"/>
  <c r="AA15" i="1"/>
  <c r="AB15" i="1" s="1"/>
  <c r="AA16" i="1"/>
  <c r="AB16" i="1" s="1"/>
  <c r="AA19" i="1"/>
  <c r="AB19" i="1" s="1"/>
  <c r="AA14" i="1"/>
  <c r="AB14" i="1" s="1"/>
  <c r="AA13" i="1"/>
  <c r="AB13" i="1" s="1"/>
  <c r="AA9" i="1"/>
  <c r="AB9" i="1" s="1"/>
  <c r="AA10" i="1"/>
  <c r="AB10" i="1" s="1"/>
  <c r="AA6" i="1"/>
  <c r="AB6" i="1" s="1"/>
  <c r="AA7" i="1"/>
  <c r="AB7" i="1" s="1"/>
  <c r="AA5" i="1"/>
  <c r="AB5" i="1" s="1"/>
  <c r="AA4" i="1"/>
  <c r="AB4" i="1" s="1"/>
  <c r="AA164" i="1"/>
  <c r="AB164" i="1" s="1"/>
  <c r="AA165" i="1"/>
  <c r="AB165" i="1" s="1"/>
  <c r="AA166" i="1"/>
  <c r="AB166" i="1" s="1"/>
  <c r="AA163" i="1"/>
  <c r="AB163" i="1" s="1"/>
  <c r="AA148" i="1"/>
  <c r="AB148" i="1" s="1"/>
  <c r="AA147" i="1"/>
  <c r="AB147" i="1" s="1"/>
  <c r="AA149" i="1"/>
  <c r="AB149" i="1" s="1"/>
  <c r="AA146" i="1"/>
  <c r="AB146" i="1" s="1"/>
  <c r="AA144" i="1"/>
  <c r="AB144" i="1" s="1"/>
  <c r="AA143" i="1"/>
  <c r="AB143" i="1" s="1"/>
  <c r="AA142" i="1"/>
  <c r="AB142" i="1" s="1"/>
  <c r="AA138" i="1"/>
  <c r="AB138" i="1" s="1"/>
  <c r="AA120" i="1"/>
  <c r="AB120" i="1" s="1"/>
  <c r="AA136" i="1"/>
  <c r="AB136" i="1" s="1"/>
  <c r="AA135" i="1"/>
  <c r="AB135" i="1" s="1"/>
  <c r="AA137" i="1"/>
  <c r="AB137" i="1" s="1"/>
  <c r="AA121" i="1"/>
  <c r="AB121" i="1" s="1"/>
  <c r="AA116" i="1"/>
  <c r="AB116" i="1" s="1"/>
  <c r="AA115" i="1"/>
  <c r="AB115" i="1" s="1"/>
  <c r="AA114" i="1"/>
  <c r="AB114" i="1" s="1"/>
  <c r="AA111" i="1"/>
  <c r="AB111" i="1" s="1"/>
  <c r="AA110" i="1"/>
  <c r="AB110" i="1" s="1"/>
  <c r="AA108" i="1"/>
  <c r="AB108" i="1" s="1"/>
  <c r="AA107" i="1"/>
  <c r="AB107" i="1" s="1"/>
  <c r="AA101" i="1"/>
  <c r="AB101" i="1" s="1"/>
  <c r="AA88" i="1"/>
  <c r="AB88" i="1" s="1"/>
  <c r="AA87" i="1"/>
  <c r="AB87" i="1" s="1"/>
  <c r="AA86" i="1"/>
  <c r="AB86" i="1" s="1"/>
  <c r="AA84" i="1"/>
  <c r="AB84" i="1" s="1"/>
  <c r="AA83" i="1"/>
  <c r="AB83" i="1" s="1"/>
  <c r="AA85" i="1"/>
  <c r="AB85" i="1" s="1"/>
  <c r="AA78" i="1"/>
  <c r="AB78" i="1" s="1"/>
  <c r="AA77" i="1"/>
  <c r="AB77" i="1" s="1"/>
  <c r="AA76" i="1"/>
  <c r="AB76" i="1" s="1"/>
  <c r="AA71" i="1"/>
  <c r="AB71" i="1" s="1"/>
  <c r="AA70" i="1"/>
  <c r="AB70" i="1" s="1"/>
  <c r="AA67" i="1"/>
  <c r="AB67" i="1" s="1"/>
  <c r="AA68" i="1"/>
  <c r="AB68" i="1" s="1"/>
  <c r="AA66" i="1"/>
  <c r="AB66" i="1" s="1"/>
  <c r="AA61" i="1"/>
  <c r="AB61" i="1" s="1"/>
  <c r="AA60" i="1"/>
  <c r="AB60" i="1" s="1"/>
  <c r="AA59" i="1"/>
  <c r="AB59" i="1" s="1"/>
  <c r="AA56" i="1"/>
  <c r="AB56" i="1" s="1"/>
  <c r="AA55" i="1"/>
  <c r="AB55" i="1" s="1"/>
  <c r="AA53" i="1"/>
  <c r="AB53" i="1" s="1"/>
  <c r="AA48" i="1"/>
  <c r="AB48" i="1" s="1"/>
  <c r="AA42" i="1"/>
  <c r="AB42" i="1" s="1"/>
  <c r="AA45" i="1"/>
  <c r="AB45" i="1" s="1"/>
  <c r="AA44" i="1"/>
  <c r="AB44" i="1" s="1"/>
  <c r="AA43" i="1"/>
  <c r="AB43" i="1" s="1"/>
  <c r="AA41" i="1"/>
  <c r="AB41" i="1" s="1"/>
  <c r="AA40" i="1"/>
  <c r="AB40" i="1" s="1"/>
  <c r="AA38" i="1"/>
  <c r="AB38" i="1" s="1"/>
  <c r="AA36" i="1"/>
  <c r="AB36" i="1" s="1"/>
  <c r="AA37" i="1"/>
  <c r="AB37" i="1" s="1"/>
  <c r="AA31" i="1"/>
  <c r="AB31" i="1" s="1"/>
  <c r="AA23" i="1"/>
  <c r="AB23" i="1" s="1"/>
  <c r="AA12" i="1"/>
  <c r="AB12" i="1" s="1"/>
  <c r="AA11" i="1"/>
  <c r="AB11" i="1" s="1"/>
  <c r="AA8" i="1"/>
  <c r="AB8" i="1" s="1"/>
  <c r="V164" i="1"/>
  <c r="V165" i="1"/>
  <c r="V148" i="1"/>
  <c r="V147" i="1"/>
  <c r="V149" i="1"/>
  <c r="V146" i="1"/>
  <c r="V144" i="1"/>
  <c r="V143" i="1"/>
  <c r="V142" i="1"/>
  <c r="V138" i="1"/>
  <c r="V120" i="1"/>
  <c r="V116" i="1"/>
  <c r="V111" i="1"/>
  <c r="V110" i="1"/>
  <c r="V107" i="1"/>
  <c r="V101" i="1"/>
  <c r="V87" i="1"/>
  <c r="T86" i="1"/>
  <c r="V86" i="1" s="1"/>
  <c r="V83" i="1"/>
  <c r="V85" i="1"/>
  <c r="V78" i="1"/>
  <c r="V77" i="1"/>
  <c r="V76" i="1"/>
  <c r="V68" i="1"/>
  <c r="V66" i="1"/>
  <c r="V61" i="1"/>
  <c r="V60" i="1"/>
  <c r="V59" i="1"/>
  <c r="V56" i="1"/>
  <c r="V53" i="1"/>
  <c r="V48" i="1"/>
  <c r="V44" i="1"/>
  <c r="T43" i="1"/>
  <c r="V43" i="1" s="1"/>
  <c r="V41" i="1"/>
  <c r="V40" i="1"/>
  <c r="V37" i="1"/>
  <c r="V31" i="1"/>
  <c r="V23" i="1"/>
  <c r="V12" i="1"/>
  <c r="V11" i="1"/>
  <c r="V8" i="1"/>
  <c r="H2" i="1"/>
</calcChain>
</file>

<file path=xl/sharedStrings.xml><?xml version="1.0" encoding="utf-8"?>
<sst xmlns="http://schemas.openxmlformats.org/spreadsheetml/2006/main" count="14936" uniqueCount="1677">
  <si>
    <t>MES</t>
  </si>
  <si>
    <t>JUNIO</t>
  </si>
  <si>
    <t>ASISKEN</t>
  </si>
  <si>
    <t>BMI</t>
  </si>
  <si>
    <t>BMI (AXIS)</t>
  </si>
  <si>
    <t>MEDIKEN</t>
  </si>
  <si>
    <t>SALUDSA</t>
  </si>
  <si>
    <t>Total general</t>
  </si>
  <si>
    <t>REPORTE MENSUAL DE NEGOCIOS NUEVOS (ASISTENCIA MEDICA)</t>
  </si>
  <si>
    <t>AGENTE</t>
  </si>
  <si>
    <t>CANT. CONTRATOS</t>
  </si>
  <si>
    <t>ADRIANA JARRIN</t>
  </si>
  <si>
    <t>CAROLINA VINCES</t>
  </si>
  <si>
    <t>CHRYSTEL CASTRO</t>
  </si>
  <si>
    <t>JENNY VINCES</t>
  </si>
  <si>
    <t>JOHANNA MOREIRA</t>
  </si>
  <si>
    <t>LUIS MOREIRA</t>
  </si>
  <si>
    <t>WALTER UNGRIA</t>
  </si>
  <si>
    <t>MA. FERNANDA BANEGAS</t>
  </si>
  <si>
    <t>GUSTAVO DEL PINO</t>
  </si>
  <si>
    <t>NATHALIA CHEVEZ</t>
  </si>
  <si>
    <t>HEBERT MORA</t>
  </si>
  <si>
    <t>ELITE PARTNERS S.A.</t>
  </si>
  <si>
    <t>BASE DESDE ENERO 2024</t>
  </si>
  <si>
    <t>ENTREGA</t>
  </si>
  <si>
    <t>INICIO DE VIGENCIA</t>
  </si>
  <si>
    <t>TIPO DE CONTRATO</t>
  </si>
  <si>
    <t>SALA</t>
  </si>
  <si>
    <t>TITULAR</t>
  </si>
  <si>
    <t>DEPENDIENTES</t>
  </si>
  <si>
    <t>CEDULA</t>
  </si>
  <si>
    <t>TELFONO DE CONTACTO</t>
  </si>
  <si>
    <t>FORMA DE PAGO</t>
  </si>
  <si>
    <t>MODALIDAD</t>
  </si>
  <si>
    <t>PAGADOR</t>
  </si>
  <si>
    <t>CERTIFICADO DE COBERTURA</t>
  </si>
  <si>
    <t>ASEGURADORA</t>
  </si>
  <si>
    <t>NOMBRE DEL PLAN</t>
  </si>
  <si>
    <t>DESCUENTO</t>
  </si>
  <si>
    <t>PAGO MENSUAL</t>
  </si>
  <si>
    <t>PAGO ANUAL</t>
  </si>
  <si>
    <t>PRIMA NETA ANUAL</t>
  </si>
  <si>
    <t>OBSERVACIONES</t>
  </si>
  <si>
    <t>ESTADO</t>
  </si>
  <si>
    <t>FIRMA</t>
  </si>
  <si>
    <t>FECHA 1RA RENOVAC</t>
  </si>
  <si>
    <t>ESTADO 1RA RENOVACION</t>
  </si>
  <si>
    <t>VALOR DE LA RENOVACION</t>
  </si>
  <si>
    <t>ESTADO DE RENOVACION</t>
  </si>
  <si>
    <t>X</t>
  </si>
  <si>
    <t>ENERO</t>
  </si>
  <si>
    <t>NEG. NUEVO</t>
  </si>
  <si>
    <t>KAPPA</t>
  </si>
  <si>
    <t>ALLAN ARROBA</t>
  </si>
  <si>
    <t>NARANJO RODRIGUEZ RENSO ALEX</t>
  </si>
  <si>
    <t>HUMANA</t>
  </si>
  <si>
    <t>PH50</t>
  </si>
  <si>
    <t>EDUARDO MOREIRA</t>
  </si>
  <si>
    <t>CHACHA RIVERA CHRISTIAN ANDRES</t>
  </si>
  <si>
    <t>PRO 150K - 150</t>
  </si>
  <si>
    <t>PIERO ASPIAZU</t>
  </si>
  <si>
    <t>BERRONE APARICIO PAOLA GUILLERMINA</t>
  </si>
  <si>
    <t>STAR 15K - 70</t>
  </si>
  <si>
    <t>ALCIVAR SALVADOR VANESSA ALEXANDRA</t>
  </si>
  <si>
    <t>GMM</t>
  </si>
  <si>
    <t>INCLUSION</t>
  </si>
  <si>
    <t>OMEGA</t>
  </si>
  <si>
    <t>JENNIFER CECILIA MACIAS CEDEÑO</t>
  </si>
  <si>
    <t>TITULAR +1</t>
  </si>
  <si>
    <t>CUENTA DE AHORROS</t>
  </si>
  <si>
    <t>MENSUAL</t>
  </si>
  <si>
    <t>NO</t>
  </si>
  <si>
    <t>SUPREMO 100K</t>
  </si>
  <si>
    <t>EMITIDO</t>
  </si>
  <si>
    <t>SI</t>
  </si>
  <si>
    <t>OMAR DELGADO</t>
  </si>
  <si>
    <t>COLOMA GUILLERMO ANDREA LISSETTE</t>
  </si>
  <si>
    <t>Sigma</t>
  </si>
  <si>
    <t>LAURA CRUZ</t>
  </si>
  <si>
    <t>MANCHENO PERALTA CAROLA LEONOR</t>
  </si>
  <si>
    <t>SKY 70 PLUS - 100</t>
  </si>
  <si>
    <t>GM24G42814</t>
  </si>
  <si>
    <t>EMMA JOHANNA REYES PALMA</t>
  </si>
  <si>
    <t>GMM 5K</t>
  </si>
  <si>
    <t>WENDY PACHECO</t>
  </si>
  <si>
    <t>AI24G19178</t>
  </si>
  <si>
    <t>MAURICIO DANILO BRAVO PEÑAFIEL</t>
  </si>
  <si>
    <t>TITULAR +2</t>
  </si>
  <si>
    <t>TARJETA DE CREDITO</t>
  </si>
  <si>
    <t>SUPPORT</t>
  </si>
  <si>
    <t>LORENA CEVALLOS</t>
  </si>
  <si>
    <t>FIALLOS GALLARDO JACCELIA MARIA</t>
  </si>
  <si>
    <t>4D</t>
  </si>
  <si>
    <t>MARIÑO ARREAGA AYRTON ARNALDO</t>
  </si>
  <si>
    <t>Dental</t>
  </si>
  <si>
    <t>JUCA FLORES MARIA FERNANDA</t>
  </si>
  <si>
    <t>STAR 30K - 90</t>
  </si>
  <si>
    <t>LUZURIAGA AVILES MARCO VINICIO</t>
  </si>
  <si>
    <t>KARLA GARCIA</t>
  </si>
  <si>
    <t>ORDOÑEZ BELLO PRISCILA CAROLINA</t>
  </si>
  <si>
    <t>YLLESCAS MERELO OMAR ANDRES</t>
  </si>
  <si>
    <t>VIZUETA ZAMBRANO KEVIN SAMUEL</t>
  </si>
  <si>
    <t>PLUAS ALVARADO ERICKA LORENA</t>
  </si>
  <si>
    <t>Pro 30</t>
  </si>
  <si>
    <t>LLERENA CANDELA MARIA GABRIELA</t>
  </si>
  <si>
    <t>NIETO PAREDES MARIA FERNANDA</t>
  </si>
  <si>
    <t>GM24G42871</t>
  </si>
  <si>
    <t>MARIANA DEL ROCIO BENITEZ RICAURTE</t>
  </si>
  <si>
    <t>ANUAL</t>
  </si>
  <si>
    <t>WILSON RAMON SOLORZANO LOOR</t>
  </si>
  <si>
    <t>MAFLA VALENCIA JONATHAN EDUARDO</t>
  </si>
  <si>
    <t>QUINTANA RUIZ MARIA ANGELINE</t>
  </si>
  <si>
    <t>FARFAN CIRINO WALTER EDUARDO</t>
  </si>
  <si>
    <t>JULIO DE LUNA</t>
  </si>
  <si>
    <t>ROMERO DELGADO MARIA ISABEL</t>
  </si>
  <si>
    <t>3D</t>
  </si>
  <si>
    <t>PAREDES RECALDE CECILIA JUDITH</t>
  </si>
  <si>
    <t>RT Plus</t>
  </si>
  <si>
    <t>MERLEN VALAREZO</t>
  </si>
  <si>
    <t>ANASTACIO LOPEZ MARLENE ISABEL</t>
  </si>
  <si>
    <t>INDIRA MARIUXI MENDIETA MORA</t>
  </si>
  <si>
    <t>2 DEPENDIENTES</t>
  </si>
  <si>
    <t>ELITE 5D</t>
  </si>
  <si>
    <t>BUITRON VELEZ CHRISTEL MILENA</t>
  </si>
  <si>
    <t>ANDRADE TERAN ELBA DOLORES DE LAS MERCEDES</t>
  </si>
  <si>
    <t>SKY 50K PLUS 100</t>
  </si>
  <si>
    <t>POZO MORALES JIMMY DAVID</t>
  </si>
  <si>
    <t>CAMPOZANO RUEDA LEANDRO ISRAEL</t>
  </si>
  <si>
    <t>MICHELLE KARLA SALTOS CASTILLO</t>
  </si>
  <si>
    <t>GONZALO GONZALEZ</t>
  </si>
  <si>
    <t>VALERIE NAYETH ORTIZ RIOFRIO</t>
  </si>
  <si>
    <t>DIAS</t>
  </si>
  <si>
    <t>ASSISTCARD</t>
  </si>
  <si>
    <t>JOHANA CONSUELO VELEZ CEDEÑO</t>
  </si>
  <si>
    <t>TITULAR +6</t>
  </si>
  <si>
    <t>PH30</t>
  </si>
  <si>
    <t>EN PROCESO</t>
  </si>
  <si>
    <t>FEBRERO</t>
  </si>
  <si>
    <t>AI24G19224</t>
  </si>
  <si>
    <t>BURGOS BURGOS OMAR OSWALDO</t>
  </si>
  <si>
    <t>Ideal</t>
  </si>
  <si>
    <t>SANDY MABEL LECARO CASTRO</t>
  </si>
  <si>
    <t>PEDRO ALEXANDER ESPINOZA ANZULES</t>
  </si>
  <si>
    <t>ASISPRO 50</t>
  </si>
  <si>
    <t>GM24G43246</t>
  </si>
  <si>
    <t>DIANA SALVADOR</t>
  </si>
  <si>
    <t>SANDRA ELIZABETH MOLINA SEGOVIA</t>
  </si>
  <si>
    <t>TITULAR +4</t>
  </si>
  <si>
    <t>CONFIAMED</t>
  </si>
  <si>
    <t xml:space="preserve">CONFIAPLUS </t>
  </si>
  <si>
    <t>GM24G43266</t>
  </si>
  <si>
    <t>ELISA ANDREA NIETO AGUILAR</t>
  </si>
  <si>
    <t>CANCELADO</t>
  </si>
  <si>
    <t>GUACHICHULLCA GUACHICHULCA EDGAR</t>
  </si>
  <si>
    <t>SKY 70K PLUS 100</t>
  </si>
  <si>
    <t>GABRIELA AVILES</t>
  </si>
  <si>
    <t>SALINAS SQUADRITO CARLO PIO/PARLANSUCRE</t>
  </si>
  <si>
    <t>EXPERIENCE WORLD 3.0 1M - 500 - 2500</t>
  </si>
  <si>
    <t>SANDRA VANEGAS</t>
  </si>
  <si>
    <t>GM24G43193</t>
  </si>
  <si>
    <t>LISSETTE JAZMIN QUINDE RAMIREZ</t>
  </si>
  <si>
    <t>GMM 10MIL</t>
  </si>
  <si>
    <t>CARDENAS SUMBA CRISTINA STEFANY</t>
  </si>
  <si>
    <t>CABRERA GARCES INGRIDLIZ DANIELA</t>
  </si>
  <si>
    <t>VERA VITE AURELIO AGAPITO</t>
  </si>
  <si>
    <t>AGUAYO CEDEÑO GENESIS YOLANDA</t>
  </si>
  <si>
    <t>LOURDES BONILLA</t>
  </si>
  <si>
    <t>TANNYA IVETTE DIAZ ALBUJA</t>
  </si>
  <si>
    <t>CUENTA CORRIENTE</t>
  </si>
  <si>
    <t>SENIOR 45000</t>
  </si>
  <si>
    <t>RENDON DE LA TORRE ANDRES JOSUE</t>
  </si>
  <si>
    <t>5D</t>
  </si>
  <si>
    <t>HAMDI JARJIR</t>
  </si>
  <si>
    <t>DJIBRIL NAEL JARJIR MOLINA</t>
  </si>
  <si>
    <t>7D</t>
  </si>
  <si>
    <t>SHIRLEY MUNZON</t>
  </si>
  <si>
    <t>WILLIAN BYRON SACON ARANA</t>
  </si>
  <si>
    <t>JR 20K</t>
  </si>
  <si>
    <t>SARES VALDIVIEZO NANCY KARINA</t>
  </si>
  <si>
    <t>CORREA ZULOAGA MARCELA/FREDY RODRIGUEZ</t>
  </si>
  <si>
    <t>EXPERIENCE WORLD 3.0 1M - 5000 D-5000</t>
  </si>
  <si>
    <t>GM24G43402</t>
  </si>
  <si>
    <t>ANA ELIZABETH MINA MEDINA</t>
  </si>
  <si>
    <t>GMM 15MIL</t>
  </si>
  <si>
    <t xml:space="preserve">SUPREMO </t>
  </si>
  <si>
    <t>ABRIL</t>
  </si>
  <si>
    <t>NOMBRAMIENTO</t>
  </si>
  <si>
    <t>HELLEN LISETTE CAMACHO CEDEÑO</t>
  </si>
  <si>
    <t>MEDEC</t>
  </si>
  <si>
    <t>PLAN GOLD</t>
  </si>
  <si>
    <t>NUÑEZ NUÑEZ ELENA NATALY</t>
  </si>
  <si>
    <t>BEDOYA SEPULVEDA SEBASTIAN</t>
  </si>
  <si>
    <t>GIRALDO GOMEZ ANDRES FELIPE</t>
  </si>
  <si>
    <t>SKY 70 PLUS - 101</t>
  </si>
  <si>
    <t>SALAZAR ESPINOZA GIOVANNY ESTIVEN</t>
  </si>
  <si>
    <t>SKY 70 PLUS - 102</t>
  </si>
  <si>
    <t>GM24G43460</t>
  </si>
  <si>
    <t>FIENCO BOZA CRISTINA ESTEPHANIA</t>
  </si>
  <si>
    <t xml:space="preserve">KEVIN JAVIER VERA HENRIQUEZ </t>
  </si>
  <si>
    <t>JOSELINE GABRIELA AGUAYO BRIONES</t>
  </si>
  <si>
    <t>ASISPRO 30</t>
  </si>
  <si>
    <t>SEGURO DE VIDA</t>
  </si>
  <si>
    <t>CASSIS VELASQUEZ NICOLAS IVAN</t>
  </si>
  <si>
    <t>SKY 50 PLUS - 100</t>
  </si>
  <si>
    <t>MARIELLA IVONNE ORELLANA PONCE</t>
  </si>
  <si>
    <t>LINDSAY YARETH NIEVES ORELLANA</t>
  </si>
  <si>
    <t>GM24G43524</t>
  </si>
  <si>
    <t>LUISANA MONSERRAT SANTANA CADENA</t>
  </si>
  <si>
    <t>TITULAR +3</t>
  </si>
  <si>
    <t>TRANSFERENCIA</t>
  </si>
  <si>
    <t>ALAVA HERMIDA MARIA MILAGRO</t>
  </si>
  <si>
    <t>MARTIN ESCALA ANDRES PATRICIO</t>
  </si>
  <si>
    <t>AGUILAR CEDEÑO ALBERTO XAVIER</t>
  </si>
  <si>
    <t>SKY 50K PLUS - 500</t>
  </si>
  <si>
    <t>CUADRADO EGAS CARLOS ALBERTO</t>
  </si>
  <si>
    <t>MH 150</t>
  </si>
  <si>
    <t>GM24G43562</t>
  </si>
  <si>
    <t>ANDREA KATHERINE PEREZ VARGAS</t>
  </si>
  <si>
    <t>CHRISTIAN DEL PINO</t>
  </si>
  <si>
    <t>KEVIN ROBERTO ACOSTA MICHUY</t>
  </si>
  <si>
    <t>CURAE SUMA</t>
  </si>
  <si>
    <t xml:space="preserve">SACON ARANA WILLIAM BYRON	</t>
  </si>
  <si>
    <t>GMM 5MIL</t>
  </si>
  <si>
    <t>PARRAGA VERA GEMA ANDREINA</t>
  </si>
  <si>
    <t>ANDRADE ESPAÑA CARLOS JAVIER</t>
  </si>
  <si>
    <t>SKY 50K PLUS - 100 - 1500</t>
  </si>
  <si>
    <t>CRUZ WONG ISRAEL VLADIMIR</t>
  </si>
  <si>
    <t>Term</t>
  </si>
  <si>
    <t>MIRABA ROMERO CHRISTIAN JAMPIER</t>
  </si>
  <si>
    <t>RESPALDO TOTAL PLUS</t>
  </si>
  <si>
    <t>ROMMEL CESAR TUCKER MANZO</t>
  </si>
  <si>
    <t>CHRYSTEL MAITE CASTRO PILPE</t>
  </si>
  <si>
    <t>MASTER 75000</t>
  </si>
  <si>
    <t>MARIA GABRIELA RODRIGUEZ DAVILA</t>
  </si>
  <si>
    <t>GM24G43676</t>
  </si>
  <si>
    <t>MARCO ANDRES DARQUEA PAZMIÑO</t>
  </si>
  <si>
    <t>TITUALAR</t>
  </si>
  <si>
    <t xml:space="preserve">DARQUEA PAZMIÑO MARCO ANDRES	</t>
  </si>
  <si>
    <t>ANDREA GABRIELA VERA LEON</t>
  </si>
  <si>
    <t>DANIEL VERA BRIONES</t>
  </si>
  <si>
    <t>MARIA JOSE AMPUERO</t>
  </si>
  <si>
    <t>FABIOLA ALEXANDRA ANDRADE RODRIGUEZ</t>
  </si>
  <si>
    <t>MARZO</t>
  </si>
  <si>
    <t>OYAGUE PAREDES JOSE GUILLERMO</t>
  </si>
  <si>
    <t>GM24G43601</t>
  </si>
  <si>
    <t>ANDRADE PIEDRAHITA DINORA GUILLERMINA</t>
  </si>
  <si>
    <t>VELEZ RODRIGUEZ DIANA ELOIZA</t>
  </si>
  <si>
    <t>QUINTANA HERRERA WALTER DAVID</t>
  </si>
  <si>
    <t>PH 15</t>
  </si>
  <si>
    <t>SI24G43950</t>
  </si>
  <si>
    <t>BURGOS PLATON JOSE OSWALDO</t>
  </si>
  <si>
    <t>SERRANO MOSQUERA HENRY GIOVANNI</t>
  </si>
  <si>
    <t>ONCOCARE</t>
  </si>
  <si>
    <t>DUQUE AREVALO XAVIER FERNANDO</t>
  </si>
  <si>
    <t>FIGUEROA VALENCIA JILARY DAMARIS</t>
  </si>
  <si>
    <t>MERCHAN LOPEZ XAVIER FERNANDO</t>
  </si>
  <si>
    <t>RODRIGUEZ BASANTES VERONICA VIOLETA</t>
  </si>
  <si>
    <t>ANDREINA FARIÑO</t>
  </si>
  <si>
    <t>MACIAS MERCHAN RAMONA DEL JESUS</t>
  </si>
  <si>
    <t>MT00754587</t>
  </si>
  <si>
    <t>PEREZ ONOFRE AMADA VICENTA</t>
  </si>
  <si>
    <t>Term 100</t>
  </si>
  <si>
    <t>NORMA VIVANCO</t>
  </si>
  <si>
    <t>KEILA EUNICE VIVANCO MORAN</t>
  </si>
  <si>
    <t>MEJIA ESPINOZA MICHELLE JERANEA</t>
  </si>
  <si>
    <t>SKY 50K PLUS - 100</t>
  </si>
  <si>
    <t>MELO ENRIQUEZ MARIBEL MARIUXI</t>
  </si>
  <si>
    <t>BAIDAL BARZOLA CARMEN VERONICA</t>
  </si>
  <si>
    <t>BEST INDEXED 100 NASDAQ</t>
  </si>
  <si>
    <t>BAIDAL BARZOLA IVONNE FRANCISCA</t>
  </si>
  <si>
    <t>SALINAS MOREIRA MARIA PILAR</t>
  </si>
  <si>
    <t xml:space="preserve">SI24G44010 </t>
  </si>
  <si>
    <t>DVINA MARIA CONTRERAS SOTOMAYOR</t>
  </si>
  <si>
    <t>MARIA EUGENIA SOTOMAYOR ECHEVERRIA</t>
  </si>
  <si>
    <t>SIGMA</t>
  </si>
  <si>
    <t>ELIZABETH CRESPIN</t>
  </si>
  <si>
    <t>KASSANDRA KARELY ANCHUNDIA NEVAREZ</t>
  </si>
  <si>
    <t>SKY 50</t>
  </si>
  <si>
    <t>ALARCON FALCONI VILMA PATRICIA</t>
  </si>
  <si>
    <t>CONFIPLUS $30000 RED-2</t>
  </si>
  <si>
    <t>DIGNA ARACELY MERA CHIRIBOGA</t>
  </si>
  <si>
    <t xml:space="preserve">TUTULAR </t>
  </si>
  <si>
    <t>GM24G43983</t>
  </si>
  <si>
    <t>ANGELA ROCIO AGUILAR GAVILANEZ</t>
  </si>
  <si>
    <t>TORRES SEGOVIA KLEBER PATRICIO</t>
  </si>
  <si>
    <t>EDISON JOSE QUINDE RAMIREZ</t>
  </si>
  <si>
    <t>DENTAL PRIVILEGIO</t>
  </si>
  <si>
    <t>MERCY ELENA TEJADA GONZALEZ</t>
  </si>
  <si>
    <t>ZAMBRANO LOOR DOLORES VIVIANA</t>
  </si>
  <si>
    <t>STAR 70 PLUS - 100</t>
  </si>
  <si>
    <t>NUQUES LOPEZ GLADYS TERESA</t>
  </si>
  <si>
    <t>MARIDUEÑA LOPEZ SONNIA JOHANNA</t>
  </si>
  <si>
    <t>FRANCESCA PIERINA DELGADO GORDILLO</t>
  </si>
  <si>
    <t>CARMEN LILIANA SOTO ENCISO</t>
  </si>
  <si>
    <t xml:space="preserve">TITULAR </t>
  </si>
  <si>
    <t>SUPREMO</t>
  </si>
  <si>
    <t>CARRION LEDESMA ROBERTO RICARDO</t>
  </si>
  <si>
    <t>ESPINOZA PERALTA JONATHAN STEPHANO</t>
  </si>
  <si>
    <t>GARCIA ALDAZ MARTHA LORENA</t>
  </si>
  <si>
    <t>BRITO CEVALLOS MARIA CAMILA</t>
  </si>
  <si>
    <t>VASQUEZ VALDANO CESAR LEOPOLDO</t>
  </si>
  <si>
    <t>VELEZ VERA FREDDY ROBERTO</t>
  </si>
  <si>
    <t>YANQUI MOREIRA PAOLA ELIZABETH</t>
  </si>
  <si>
    <t>SKY 50K - PLUS 100</t>
  </si>
  <si>
    <t>RAMIREZ VERA MARIA PAULA</t>
  </si>
  <si>
    <t>SKY 70K - PLUS 100</t>
  </si>
  <si>
    <t>FLORES DIAZ OMAR GEOVANNY</t>
  </si>
  <si>
    <t>Mediken</t>
  </si>
  <si>
    <t>PLAN MASTER 75.000</t>
  </si>
  <si>
    <t>ORTIZ CASTRO DIANA ALEXANDRA</t>
  </si>
  <si>
    <t>RAMIREZ DELGADO ROXANA LORENA</t>
  </si>
  <si>
    <t>QUIROLA BERRUZ ANDREA DE LOURDES</t>
  </si>
  <si>
    <t>SURIAGA AUTHEMAN CAROLINA MICHELLE</t>
  </si>
  <si>
    <t>DIEGO GONZALO NARANJO VARGAS</t>
  </si>
  <si>
    <t>ESENCIAL 3D</t>
  </si>
  <si>
    <t>WILLIAM HERNAN CEVALLOS LEON</t>
  </si>
  <si>
    <t>AURORA DEL CISNE ALVAREZ CASTILLO</t>
  </si>
  <si>
    <t>GERARDO UREÑA GAVIOLA</t>
  </si>
  <si>
    <t>PREMIUN 30MIL</t>
  </si>
  <si>
    <t>VIDAL VELASQUEZ TERESA JOSEFA</t>
  </si>
  <si>
    <t>Oncocare</t>
  </si>
  <si>
    <t>SILVA LOPEZ JENNIFER CAROLINA</t>
  </si>
  <si>
    <t>SKY 15K - 70</t>
  </si>
  <si>
    <t>PRO 70K - 100</t>
  </si>
  <si>
    <t>GM24G44386</t>
  </si>
  <si>
    <t>JEFFERSON FERNANDO PALACIOS RUIZ</t>
  </si>
  <si>
    <t>FLORES MUÑOZ KATHERINE ESTEFANIA</t>
  </si>
  <si>
    <t>PLAN JUNIOR 20.000</t>
  </si>
  <si>
    <t>SI24C44067</t>
  </si>
  <si>
    <t>ADRIANO JOSEPH URSO BAIARDO</t>
  </si>
  <si>
    <t>LEONARDO BAQUERIZO</t>
  </si>
  <si>
    <t>FABIOLA MERCEDES MORAN HERRERA</t>
  </si>
  <si>
    <t>KARLA VIVIANA GUZMAN VERA</t>
  </si>
  <si>
    <t>DALINDA JANETH MERA BAREN</t>
  </si>
  <si>
    <t>ANASTACIO LOPEZ MARLENE ANASTACIO</t>
  </si>
  <si>
    <t>PLAN DENTAL PRIVILEGIO</t>
  </si>
  <si>
    <t>DUEÑAS SANCHEZ PAULETTE ADRIANA</t>
  </si>
  <si>
    <t>GANCHOZO LOPEZ DIANA ROCIO</t>
  </si>
  <si>
    <t>BALDEON MORAN DOMENICA GABRIELA</t>
  </si>
  <si>
    <t>PONTON CALDERON SARA NOEMI</t>
  </si>
  <si>
    <t>DELGADO CEVALLOS ENA ANDREA</t>
  </si>
  <si>
    <t>TINAZARAY VALAREZO SANTIAGO DANIEL</t>
  </si>
  <si>
    <t>RIVAS CALDERON GEANNELLA PAULETTE</t>
  </si>
  <si>
    <t>VALDIVIESO TAPIA MARIA LUISA</t>
  </si>
  <si>
    <t>TOLEDO ILLESCAS MANUEL AGUSTIN</t>
  </si>
  <si>
    <t>MENDOZA ALONSO ELIANA DOMENIKA</t>
  </si>
  <si>
    <t>DIAZ OCHOA YULISA XIMENA</t>
  </si>
  <si>
    <t>LUCAS LOZANO IVANA DEL CISNE</t>
  </si>
  <si>
    <t>ANAIZA LLOVERA BARREDA</t>
  </si>
  <si>
    <t>TITUALR +1</t>
  </si>
  <si>
    <t>PRACTICO 3D</t>
  </si>
  <si>
    <t>JUAN FRANCISCO QUIROGA VERA</t>
  </si>
  <si>
    <t>SKY 70</t>
  </si>
  <si>
    <t>NATALIE GISELLE FONG CHONG</t>
  </si>
  <si>
    <t>MARIA CRISTINA CHONG WAN</t>
  </si>
  <si>
    <t xml:space="preserve">NO </t>
  </si>
  <si>
    <t>FANNY AMADA BRAVO MOREIRA</t>
  </si>
  <si>
    <t>MAURICIO BELTRAN BELTRAN</t>
  </si>
  <si>
    <t>ASISKARE 500</t>
  </si>
  <si>
    <t>ADRIANA CRISTINA JARRIN ASPIAZU</t>
  </si>
  <si>
    <t>TITUALAR +1</t>
  </si>
  <si>
    <t>DOMENICA MALENA ZUÑIGA BRIONES</t>
  </si>
  <si>
    <t>JOSE XAVIER MACARLUPO PARRA</t>
  </si>
  <si>
    <t>SALAZAR CORREA EDUARDO JULIO</t>
  </si>
  <si>
    <t>PUERTAS CARRION GERMAN PATRICIO</t>
  </si>
  <si>
    <t>SOLIS PIÑA NELLY JUDITH</t>
  </si>
  <si>
    <t>LUNA BASTIDAS JESSICA DEL CARMEN</t>
  </si>
  <si>
    <t>AI24G19601</t>
  </si>
  <si>
    <t>FANTONI ZURITA GIOVANNI FRANCISCO</t>
  </si>
  <si>
    <t>IDEAL</t>
  </si>
  <si>
    <t>DARWIN RAMON COVEÑA ROMERO</t>
  </si>
  <si>
    <t>DARWIN RAMON DUELAS ROMERO</t>
  </si>
  <si>
    <t>MURILLO CONDO KEVIN RICARDO</t>
  </si>
  <si>
    <t>OLGA PATRICIA SALAS CHERE</t>
  </si>
  <si>
    <t>TOMALA ESTRADA MARIA JOSE</t>
  </si>
  <si>
    <t>JAVIER ALFREDO CARABAJO MALAVE</t>
  </si>
  <si>
    <t>JAVIER ALFREDO CARABAJO MALEVE</t>
  </si>
  <si>
    <t>RAUL ALBAN</t>
  </si>
  <si>
    <t>MALLA ENCARNACION MISHEL YOSELIN</t>
  </si>
  <si>
    <t>PANCHANA ANDRADE SONNIA PIEDAD</t>
  </si>
  <si>
    <t>RUIZ MORAN JUAN EMILIO</t>
  </si>
  <si>
    <t>TUMBACO TAMA ARACELY ALEXANDRA</t>
  </si>
  <si>
    <t>BASTIDAS VERA RODRIGO JAVIER</t>
  </si>
  <si>
    <t>DELGADO SANCHEZ MARCO ANTONIO</t>
  </si>
  <si>
    <t>BAJAÑA LOPEZ MARIANA CERAIDA</t>
  </si>
  <si>
    <t>PILOZO PLAZA CRISTINA DEL CARMEN</t>
  </si>
  <si>
    <t>SANCHEZ GUALPA PAMELA NAOMI</t>
  </si>
  <si>
    <t>PLAN SUPREMO 100.000</t>
  </si>
  <si>
    <t>DELGADO ALOMOTO HUGO FRANCISCO</t>
  </si>
  <si>
    <t>SALUD DENTAL MASTER</t>
  </si>
  <si>
    <t>LLIVISACA ORTEGA MARIUXI KARLA</t>
  </si>
  <si>
    <t>PLAN PREMIUM 30.000</t>
  </si>
  <si>
    <t>NATHALYE BETHZABE BALDEON CASTRO</t>
  </si>
  <si>
    <t>JOYCI SUYEN MOREY SALAS</t>
  </si>
  <si>
    <t>GONZALEZ GOMEZ HIPOLITO RODIMIRO</t>
  </si>
  <si>
    <t>Saludsa</t>
  </si>
  <si>
    <t>Piero Aspiazu</t>
  </si>
  <si>
    <t>ASPIAZU MUZZIO PIERO SALVATORE</t>
  </si>
  <si>
    <t>SOLANO MOSQUERA DELIA CATALINA</t>
  </si>
  <si>
    <t>BMI (CAPSTONE)</t>
  </si>
  <si>
    <t>Plan Ideal</t>
  </si>
  <si>
    <t>PINARGOTE QUIMIS CARMELO JAVIER</t>
  </si>
  <si>
    <t>MUENTES BONE ANA ISABEL</t>
  </si>
  <si>
    <t>CARRION BASTIDAS LUIS ANGEL</t>
  </si>
  <si>
    <t>Humana</t>
  </si>
  <si>
    <t>MH 50</t>
  </si>
  <si>
    <t>LAURA CECIBEL FIGUEROA MUÑOZ</t>
  </si>
  <si>
    <t>PLANVITAL</t>
  </si>
  <si>
    <t>PLAN 80</t>
  </si>
  <si>
    <t>SANCHEZ VALLADOLID JOSELYN ANGELA</t>
  </si>
  <si>
    <t>CORREA RUIZ JONATHAN JOSE</t>
  </si>
  <si>
    <t>REINOSO VELIZ CARLA NATHALY</t>
  </si>
  <si>
    <t>GM24G44687</t>
  </si>
  <si>
    <t>LLIVISACA AVECILLAS CARLOS GONZALO</t>
  </si>
  <si>
    <t>Bmi</t>
  </si>
  <si>
    <t>MARIA MERCEDES ORBE CASTILLA</t>
  </si>
  <si>
    <t>WALTER DAVID HANNA GONZALEZ</t>
  </si>
  <si>
    <t>DANIEL HANNA GONZALEZ</t>
  </si>
  <si>
    <t>MERCEDES EUGENIA GONZALEZ LASCANO</t>
  </si>
  <si>
    <t>ESPINOZA GOMEZ MARIA FERNANDA</t>
  </si>
  <si>
    <t>CAMILA ICAZA DE JANON</t>
  </si>
  <si>
    <t>ASISPRO 20</t>
  </si>
  <si>
    <t>MARIA AUXILIADORA MARIDUEÑA ALVAREZ</t>
  </si>
  <si>
    <t>MANZANO PALMA CARLOS FRANCISCO</t>
  </si>
  <si>
    <t>JORGE ADALBERTO AGUILAR CABRERA</t>
  </si>
  <si>
    <t>ANDREA ESTEFANIA MACIAS MACIAS</t>
  </si>
  <si>
    <t>N</t>
  </si>
  <si>
    <t>MARIA ROSARIO GAVILANEZ PALACIOS</t>
  </si>
  <si>
    <t>SULLY JOHANNA CABRERA LOJA</t>
  </si>
  <si>
    <t>JOSE MURILLO VERDOMIGO</t>
  </si>
  <si>
    <t>FERAUD LARREA KATHERINE MARIA</t>
  </si>
  <si>
    <t>GM24G44739</t>
  </si>
  <si>
    <t>RAMOS MORAN SALLY JOICE</t>
  </si>
  <si>
    <t>GM24G44993</t>
  </si>
  <si>
    <t>MERCHAN ARZUBE JOHN MARIO</t>
  </si>
  <si>
    <t>OCHOA OCHOA MARIA PATRICIA</t>
  </si>
  <si>
    <t>MARTILLO GUILLEN MARIA MERCEDES</t>
  </si>
  <si>
    <t>LHEYLA PRISCILA MORALES MONTAÑO</t>
  </si>
  <si>
    <t>WILLIAM CUEVA MORALES</t>
  </si>
  <si>
    <t>VIVANCO YEPEZ MARIA JOSE</t>
  </si>
  <si>
    <t>OLVERA MOREIRA ANDREA AIDA</t>
  </si>
  <si>
    <t>OLVERA MOREIRA MARIA VICTORIA</t>
  </si>
  <si>
    <t>CIRINO BORBOR MARTHA MARIA</t>
  </si>
  <si>
    <t>ARTURO XAVIER CAMPOVERDE ESPINOZA</t>
  </si>
  <si>
    <t>MARIANA BETSABE AGUIRRE ESPAÑA</t>
  </si>
  <si>
    <t>ERIC ENRIQUE LOPEZ CORTEZ</t>
  </si>
  <si>
    <t>VEAS GANCHOZO LISSETH JESSENIA</t>
  </si>
  <si>
    <t>LUPO PLAZA MARIDUEÑA</t>
  </si>
  <si>
    <t>HILDA PAOLA MARIDUEÑA MOLINA</t>
  </si>
  <si>
    <t>FATIMA PILAR ARELLANO MACIAS</t>
  </si>
  <si>
    <t>INNOVA</t>
  </si>
  <si>
    <t>MARIA ROSARIO ROMAN LOJA</t>
  </si>
  <si>
    <t>VALENCIA PEREZ RIGOBERTO EXEQUIAS</t>
  </si>
  <si>
    <t>MAYO</t>
  </si>
  <si>
    <t>ENA ELIZABETH FRANCO USCOCOVICH</t>
  </si>
  <si>
    <t>BUPA</t>
  </si>
  <si>
    <t>OPTIMO</t>
  </si>
  <si>
    <t>GOMEZ INTRIAGO CARLOS EMILIO</t>
  </si>
  <si>
    <t>SKY 50K PLUS - 50</t>
  </si>
  <si>
    <t>Laura Cruz</t>
  </si>
  <si>
    <t>VALENCIA CHICA ALONSO RIGOBERTO</t>
  </si>
  <si>
    <t>SKY 70K PLUS - 100</t>
  </si>
  <si>
    <t>CARLOS ANDRES GUIM MARTINEZ</t>
  </si>
  <si>
    <t>HERNAN GUILLERMO PEÑAHERRERA ORBE</t>
  </si>
  <si>
    <t>AXEL EMILIO JEREMIAS BARREZUETA</t>
  </si>
  <si>
    <t>SAFADI MOURAD RABIH ZIAD</t>
  </si>
  <si>
    <t>Eduardo Moreira</t>
  </si>
  <si>
    <t>karla Garcia</t>
  </si>
  <si>
    <t>HIDROVO FLORES ROSA ISABEL</t>
  </si>
  <si>
    <t>ACERO PEÑAFIEL HUMBERTO ELOY</t>
  </si>
  <si>
    <t>STEPHANY GABRIELA SYLVA FIGUEROA</t>
  </si>
  <si>
    <t>LORENTZEN MENDOZA BRYAN MARCELO</t>
  </si>
  <si>
    <t>MERA MERO CINDY MARIELY</t>
  </si>
  <si>
    <t>ALEJANDRO VARGAS NADIRA SABRINA</t>
  </si>
  <si>
    <t>GM24G45626</t>
  </si>
  <si>
    <t>TAMAYO CAMPOS DAVID LORENZO</t>
  </si>
  <si>
    <t>VALENCIA CHICA JENNY MARIA</t>
  </si>
  <si>
    <t>Asisken</t>
  </si>
  <si>
    <t>CURAE SUMMA SOFT D-$250</t>
  </si>
  <si>
    <t>YENNY DEL CARMEN VARGAS TAPIA</t>
  </si>
  <si>
    <t>TERM 100</t>
  </si>
  <si>
    <t>PH 30</t>
  </si>
  <si>
    <t>CAMBIO BROKER</t>
  </si>
  <si>
    <t>Karla Garcia</t>
  </si>
  <si>
    <t>VERNIMMEN AGUIRRE GUADALUPE MARIA</t>
  </si>
  <si>
    <t>GM24G45314</t>
  </si>
  <si>
    <t>MACIAS BRIONES JULIO UNIGENIO</t>
  </si>
  <si>
    <t>Raul Alban</t>
  </si>
  <si>
    <t>ACOSTA CHAMBERS CRISTHIAN HERARDO</t>
  </si>
  <si>
    <t>ANA BELEN GALLARDO SALVADOR</t>
  </si>
  <si>
    <t>MARIA CECILIA PIMENTEL PUGA</t>
  </si>
  <si>
    <t>Lorena Cevallos</t>
  </si>
  <si>
    <t>COELLO ORDOÑEZ PAMELA DEL ROCIO</t>
  </si>
  <si>
    <t>Privilegio 7</t>
  </si>
  <si>
    <t>MORAN SALTOS EVELYN ZORAIDA</t>
  </si>
  <si>
    <t>DELGADO ORELLANA ROSA ALEXANDRA</t>
  </si>
  <si>
    <t>GUERRERO LOPEZ EVA MARJORIET</t>
  </si>
  <si>
    <t>MELISSA MARIA YCAZA FUENTES</t>
  </si>
  <si>
    <t>TATIANA JAZMIN DELGADO ARMIJOS</t>
  </si>
  <si>
    <t>ERIKA MERCEDES MOREIRA ESPINOZA</t>
  </si>
  <si>
    <t>FAJARDO TRIVIÑO ADRIANA ESTEFANIA</t>
  </si>
  <si>
    <t>JUAN FERNANDO VARGAS COBOS</t>
  </si>
  <si>
    <t>CARMEN LORENA CARVAJAL RIOFRIO</t>
  </si>
  <si>
    <t>FRANCES SAMANTA ALTAMIRANO CARVAJAL</t>
  </si>
  <si>
    <t>PITA ANDRADE MARIA GABRIELA</t>
  </si>
  <si>
    <t>ALAY CATAGUA MIRIAM DELIA</t>
  </si>
  <si>
    <t>ARMIJOS PARDO LISSET FERNANDA</t>
  </si>
  <si>
    <t>SKY 50K PLUS - 200</t>
  </si>
  <si>
    <t>RUBIO MACHARE MARIA FERNANDA</t>
  </si>
  <si>
    <t>AZUA FERNANDEZ ANITA LUCETTE</t>
  </si>
  <si>
    <t>SOCRATES GABRIEL MOROCHO CORRALES</t>
  </si>
  <si>
    <t>MERCEDES ISOLINA GUERRERO ZUNINO</t>
  </si>
  <si>
    <t>CONFIPLUS</t>
  </si>
  <si>
    <t>BERTHA DELIA NAVARRO CEDEÑO</t>
  </si>
  <si>
    <t>CARLA CHRIST CARDENAS ULLOA</t>
  </si>
  <si>
    <t>NAH ADELINE ACOSTA MICHUY</t>
  </si>
  <si>
    <t>EPSILON 100</t>
  </si>
  <si>
    <t>WANY PATRICIA GORTAIRE ORELLANA</t>
  </si>
  <si>
    <t>DANIELA ESTEFANIA SALAZAR CRESPO</t>
  </si>
  <si>
    <t>MARIA GABRIELA PALACIOS GORTAIRE</t>
  </si>
  <si>
    <t>MIGUEL ALEJANDRO PALACIOS RECALDE</t>
  </si>
  <si>
    <t>ERICK GEOVANNY PALACIOS BANCHEN</t>
  </si>
  <si>
    <t>BETSY LORENA BANCHEN PEÑAFIEL</t>
  </si>
  <si>
    <t>JENNY ALEXANDRA VINCES OROZCO</t>
  </si>
  <si>
    <t>MARIA PAULA HORMAZA VINCES</t>
  </si>
  <si>
    <t>BETSY GIANNELLA HABLICH ORTEGA</t>
  </si>
  <si>
    <t>JONATHAN ALEXANDER SALAZAR PACHO</t>
  </si>
  <si>
    <t>ADRIANA LISSETTE DIAZ OQUENDO</t>
  </si>
  <si>
    <t>GISELLA MATILDE GUADAMUD TRIVIÑO</t>
  </si>
  <si>
    <t>MOSQUERA ZAMORA GLORIA AMALIA</t>
  </si>
  <si>
    <t>NARANJO ROMO MARIA FERNANDA</t>
  </si>
  <si>
    <t>ORLI ISAAD PERLAZA MORA</t>
  </si>
  <si>
    <t>GALDIS FABIOLA HERRERA HERRERA</t>
  </si>
  <si>
    <t>MARIA FERNANDA BANEGAS ICAZA</t>
  </si>
  <si>
    <t>SI24G44313</t>
  </si>
  <si>
    <t>ALPIZAR ALMEIDA DARA GABRIELA</t>
  </si>
  <si>
    <t>USHIÑA ANDRANGO JULIO CESAR</t>
  </si>
  <si>
    <t>AREVALO HERRAN DAVID FELIPE</t>
  </si>
  <si>
    <t>GONZALEZ MACAYO JOSE LUIS</t>
  </si>
  <si>
    <t>PAZ AVEIGA GIANNIA ROMINA</t>
  </si>
  <si>
    <t>ERIKA ALEXANDRA ARGUDO HARO</t>
  </si>
  <si>
    <t>ISAAC ANGEL ZAMBRANO RUIZ</t>
  </si>
  <si>
    <t>NEWTON ANTONIO TOLEDO BARRETO</t>
  </si>
  <si>
    <t>BEST INDEXED 100 SP 500</t>
  </si>
  <si>
    <t>JOHANNA JESSICA ERAZO GARZON</t>
  </si>
  <si>
    <t>DANIEL COTALLAT ERAZO</t>
  </si>
  <si>
    <t>ELIZALDE BARRAGAN GABRIEL ENRIQUE</t>
  </si>
  <si>
    <t>CEDEÑO VIVAS MARIA ALEJANDRA</t>
  </si>
  <si>
    <t>SOLEDISPA ALVARADO HENRY GABRIEL</t>
  </si>
  <si>
    <t>NUÑEZ PONCE MARIA FERNANDA</t>
  </si>
  <si>
    <t>LOZADA NARANJO EDUARDO ABRAHAM</t>
  </si>
  <si>
    <t>Karla GArcia</t>
  </si>
  <si>
    <t>PEÑA PACHECO VICTOR HUGO</t>
  </si>
  <si>
    <t>ANDRADE ACOSTA JONATHAN GEOVANNY</t>
  </si>
  <si>
    <t>MARTINETTY ITURRALDE BETTY JACQUELINE</t>
  </si>
  <si>
    <t>LINGEN RAMOS JUAN CARLOS</t>
  </si>
  <si>
    <t>LUIS ALFREDO BRAVO MIELES</t>
  </si>
  <si>
    <t>LUIS HELIODORO BRAVO GAME</t>
  </si>
  <si>
    <t>MARIA PIEDAD MIELES RUPERTI</t>
  </si>
  <si>
    <t>MONICA ALEXANDRA SAVERIO MACIAS</t>
  </si>
  <si>
    <t>JOSE MIGUEL VARELA SOLIS</t>
  </si>
  <si>
    <t>GONZALEZ CRUZ GONZALO ALFREDO</t>
  </si>
  <si>
    <t>MOSCOSO ERAZO VICTOR MIGUEL</t>
  </si>
  <si>
    <t>ZAMBRANO MUÑOZ MARIA EULALIA</t>
  </si>
  <si>
    <t>PARRALES VIDAL BRYAN SIMON</t>
  </si>
  <si>
    <t>LORENA ANGELIZA GARCIA CACAO</t>
  </si>
  <si>
    <t>Merlen Valarezo</t>
  </si>
  <si>
    <t>BOHORQUEZ APOLO PAOLA ANDREA</t>
  </si>
  <si>
    <t>CHAVARRIA ANCHUNDIA ANGELA ELIZABETH</t>
  </si>
  <si>
    <t>Pilar Quiñonez</t>
  </si>
  <si>
    <t>PEREZ RIZO CARLA FERNANDA</t>
  </si>
  <si>
    <t>MAURICIO BELTRAN</t>
  </si>
  <si>
    <t>PUMAYUGRA RODRIGUEZ IRENE LUZMILA</t>
  </si>
  <si>
    <t>Ambar Ruiz</t>
  </si>
  <si>
    <t>PAREDES MEZA PIERRE ANDRES</t>
  </si>
  <si>
    <t>ANGELO TIGHE KYLE</t>
  </si>
  <si>
    <t>MARIA GAVILANEZ</t>
  </si>
  <si>
    <t>EDUARDO AYALA</t>
  </si>
  <si>
    <t>MARIA DE LOS ANGELES AYALA PUMAYUGRA</t>
  </si>
  <si>
    <t>JULIO</t>
  </si>
  <si>
    <t>CEVALLOS SALAZAR MAYRA ANA</t>
  </si>
  <si>
    <t>GM24G46857</t>
  </si>
  <si>
    <t>CAMBIO PLAN</t>
  </si>
  <si>
    <t>Allan Arroba</t>
  </si>
  <si>
    <t>RIERA RIVADENEIRA ELVIS PAUL</t>
  </si>
  <si>
    <t>CAROLA BERENICE ARTIEDA COBOS</t>
  </si>
  <si>
    <t>BMI (MARSEGUROS)</t>
  </si>
  <si>
    <t>AREVALO HERRERA JOSE FERNANDO</t>
  </si>
  <si>
    <t>MAURICIO DAVID JACOBSON LEON</t>
  </si>
  <si>
    <t>LORENA ANGELICA GARCIA CACAO</t>
  </si>
  <si>
    <t>LLANOS SARANGO MARTIN JOEL</t>
  </si>
  <si>
    <t>SALAS VACA OLGA LORENA</t>
  </si>
  <si>
    <t>ARIAS CHAVEZ ARTURO SERGIO</t>
  </si>
  <si>
    <t>MAURICIO DANIEL JACOBSON LEON</t>
  </si>
  <si>
    <t>PAMELA MARIBEL CALDERON MARTINEZ</t>
  </si>
  <si>
    <t>BEST INDEXD 100</t>
  </si>
  <si>
    <t>JOEL ISAAC AVILES MERA</t>
  </si>
  <si>
    <t>CALDERON MARTINEZ PAMELA MARIBEL</t>
  </si>
  <si>
    <t>SANCHEZ JIMENEZ PAOLA CAROLINA</t>
  </si>
  <si>
    <t>ARCE ICAZA JORGE LUIS</t>
  </si>
  <si>
    <t>PAREDES AMBROSI MARIA DANIELA</t>
  </si>
  <si>
    <t>JOSE MIGUEL VALERA SOLIS</t>
  </si>
  <si>
    <t>VILLACRES SANDOYA GLORIA PERPETUA</t>
  </si>
  <si>
    <t>ESPINOSA ESPINOSA NANCY ARACELY</t>
  </si>
  <si>
    <t>GM24G47389</t>
  </si>
  <si>
    <t>RUTH MERCEDES PRIETO VEGA</t>
  </si>
  <si>
    <t>GM24G47397</t>
  </si>
  <si>
    <t>ERICKA MELISSA MENDEZ BURGOS</t>
  </si>
  <si>
    <t>ANDRADE CEVALLOS IVONNE ELIZABETH</t>
  </si>
  <si>
    <t>Lorena cevallos</t>
  </si>
  <si>
    <t>GUERRERO PAREDES ROBERTO ANDRES</t>
  </si>
  <si>
    <t>PEREZ REYNADO FREDDY ROBERT</t>
  </si>
  <si>
    <t>MELANY JUDITH LITARDO BRIONES</t>
  </si>
  <si>
    <t>LADY ALEXANDRA SANMARTIN CEDEÑO</t>
  </si>
  <si>
    <t>DANIELA MADELEINE RODRIGUEZ MONTERO</t>
  </si>
  <si>
    <t>SEMESTRAL</t>
  </si>
  <si>
    <t>HILDA VICTORIA MOYA FRANCO</t>
  </si>
  <si>
    <t>SANCHEZ QUIMIS DIANA ELISA</t>
  </si>
  <si>
    <t>GUTIERREZ CARDENAS FLERIDA FLORIPES</t>
  </si>
  <si>
    <t>CALDERON GOMEZ CINDY PAMELA</t>
  </si>
  <si>
    <t>FIGUEROA ELENA RITA</t>
  </si>
  <si>
    <t>ANA MARIA RIBADENEIRA PAZMIÑO</t>
  </si>
  <si>
    <t>JOSE GREGORIO SOTOMAYOR PERALTA</t>
  </si>
  <si>
    <t>MONTERO MARTINEZ GABRIELA MARIA</t>
  </si>
  <si>
    <t>SEMIDA MARGARITA QUEZAD QUEZADA</t>
  </si>
  <si>
    <t>SENIOR CARE</t>
  </si>
  <si>
    <t>GUSTAVO DANIEL DEL PINO VERA</t>
  </si>
  <si>
    <t>PLAN 70</t>
  </si>
  <si>
    <t>IVAN ERNESTO DEL PINO VERA</t>
  </si>
  <si>
    <t>VALENCIA CHICA EDISON MANUEL</t>
  </si>
  <si>
    <t>CARLOS EDUARDO ALVAREZ MORENO</t>
  </si>
  <si>
    <t>SKY 50+</t>
  </si>
  <si>
    <t>GM24G47365</t>
  </si>
  <si>
    <t>SANCHEZ MONROY SONIA ISABEL</t>
  </si>
  <si>
    <t>VITERI MURILLO HOLGUER DAVID</t>
  </si>
  <si>
    <t>MARLENE JUDITH GOMEZ AYLLON</t>
  </si>
  <si>
    <t>VASCONEZ LECARO DANIEL</t>
  </si>
  <si>
    <t>CHALEN FEREZ PEDRO ISRAEL</t>
  </si>
  <si>
    <t>AGOSTO</t>
  </si>
  <si>
    <t>TANYA ALEXANDRA MURILLO OBREGON</t>
  </si>
  <si>
    <t>SUSANA ESTEFANIA DE LA TORRE MORALES</t>
  </si>
  <si>
    <t>ADDIS EMPERATRIZ REYES TORRES</t>
  </si>
  <si>
    <t>MELANY CRISTINA ZAMBRANO VEGA</t>
  </si>
  <si>
    <t>GM24G48159</t>
  </si>
  <si>
    <t>GABRIEL ANDRES DELGADO GUEVARA</t>
  </si>
  <si>
    <t>JANNINA ISABELA OREJUELA GALLARDO</t>
  </si>
  <si>
    <t>EDUARDO OREJUELA GALLARDO</t>
  </si>
  <si>
    <t>PEDRO VICENTE MENDOZA ZAMBRANO</t>
  </si>
  <si>
    <t>PEDRO ALBERTO ROBLES CAMPOS</t>
  </si>
  <si>
    <t>CARMEN ROSA TOMALA RUIZ</t>
  </si>
  <si>
    <t>MARIA DE FATIMA ICAZA GUEVARA</t>
  </si>
  <si>
    <t>GM24G48337</t>
  </si>
  <si>
    <t>JAVIER AUGUSTO SEGOVIA OBREGON</t>
  </si>
  <si>
    <t>DARLIN OMAR CABELLO ANDRADE</t>
  </si>
  <si>
    <t>SKY 70 PLUS</t>
  </si>
  <si>
    <t>VERONICA MONSERRATE ESCALANTE AMAIQUEMA</t>
  </si>
  <si>
    <t>46143-1</t>
  </si>
  <si>
    <t>LUIGGI LEONARDO MOREIRA ESPINOZA</t>
  </si>
  <si>
    <t>ARTURO JAVIER FAGGIONI MARTINEZ</t>
  </si>
  <si>
    <t>THALIA IDALIA FLORENCIA MENDOZA</t>
  </si>
  <si>
    <t>GM24G48552</t>
  </si>
  <si>
    <t>MARIA ELISA BELTRAN</t>
  </si>
  <si>
    <t>VIVIANA ELIZABETH GUERRERO ALONSO</t>
  </si>
  <si>
    <t>EMMA ISABELLA ANDRADE GUERRERO</t>
  </si>
  <si>
    <t>WENDY JANELA ROMAN PATIÑO</t>
  </si>
  <si>
    <t>YADIRA CECILIA ROMAN PATIÑO</t>
  </si>
  <si>
    <t>SEPTIEMBRE</t>
  </si>
  <si>
    <t>ANDREA STEFANIA DUEÑAS CABEZAS</t>
  </si>
  <si>
    <t>EMMA GUILLEN DUEÑAS</t>
  </si>
  <si>
    <t>ASISTENCIA MEDICA</t>
  </si>
  <si>
    <t>VIDA</t>
  </si>
  <si>
    <t>VEHICULOS Y GENERALES</t>
  </si>
  <si>
    <t>TOTAL</t>
  </si>
  <si>
    <t>REPORTE MENSUAL DE NEGOCIOS NUEVOS</t>
  </si>
  <si>
    <t>MARLON CISNEROS</t>
  </si>
  <si>
    <t>VALOR</t>
  </si>
  <si>
    <t>GENERALES</t>
  </si>
  <si>
    <t>EXTERNOS</t>
  </si>
  <si>
    <t>MANUEL VILLAVICENCIO</t>
  </si>
  <si>
    <t>REBECA APOLONIA PEREZ RIZO</t>
  </si>
  <si>
    <t>MIA RAPHAELA CEDEÑO PEREZ</t>
  </si>
  <si>
    <t>LISBETH ZAMBRANO</t>
  </si>
  <si>
    <t>GINO EDUARDO LASCANO VERA</t>
  </si>
  <si>
    <t>DENTAL MASTER</t>
  </si>
  <si>
    <t>WENDY JAZMIN ALVARADO SALAS</t>
  </si>
  <si>
    <t>JOSE LUIS HANNA GONZALEZ</t>
  </si>
  <si>
    <t>EXPERIENCE WORD</t>
  </si>
  <si>
    <t xml:space="preserve">EVA BETHSABE ARCE ICAZA </t>
  </si>
  <si>
    <t>ROSA DELFINA CHEREZ OJEADA</t>
  </si>
  <si>
    <t>FANNY JUDTH ALARCON CANDELARIO</t>
  </si>
  <si>
    <t>MANUEL DE JESUS MORENO ALARCON</t>
  </si>
  <si>
    <t>IRMA ITATI CARBO BERMUDEZ</t>
  </si>
  <si>
    <t>DIANA ELIZABETH DOMINGUEZ GARZON</t>
  </si>
  <si>
    <t>MARIA FERNANDA CEVALLOS ROSERO</t>
  </si>
  <si>
    <t>XAVIR RAUL CASTRO CONTRERAS</t>
  </si>
  <si>
    <t>MARIA ABIGAIL COLINA VILLENA</t>
  </si>
  <si>
    <t>PONCE ZUÑIGA ANGELA DORILA</t>
  </si>
  <si>
    <t>TACURY OTERO CARLOS ALBERTO</t>
  </si>
  <si>
    <t>JEFFERSON ANDRES PALAMA MENDOZA</t>
  </si>
  <si>
    <t>SONNIA CAROLINA MACIAS CARRERA</t>
  </si>
  <si>
    <t>DEBITO BANCARIO</t>
  </si>
  <si>
    <t xml:space="preserve"> </t>
  </si>
  <si>
    <t>BMI AHORRO</t>
  </si>
  <si>
    <t>JEFFERSON ANDRES PALMA MENDOZA</t>
  </si>
  <si>
    <t>CARLOS ANDRES ANDRADE NAVARRETE</t>
  </si>
  <si>
    <t>MONICA MONTENEGRO ARAGUNDI</t>
  </si>
  <si>
    <t>MARIA PAOLA GARCIA OCHOA</t>
  </si>
  <si>
    <t>XIMENA CECILIA NAVARRETE ABAD</t>
  </si>
  <si>
    <t>JUAN JOSE PIGUAVE CHALEN</t>
  </si>
  <si>
    <t>OLE</t>
  </si>
  <si>
    <t>100K</t>
  </si>
  <si>
    <t>GARCIA ROMAN JULIAN SANTIAGO</t>
  </si>
  <si>
    <t>HIDALGO VILLARREAL MARIA FERNANDA</t>
  </si>
  <si>
    <t>HIDALGO VILLARREAL MARIA AUGUSTA</t>
  </si>
  <si>
    <t>ALVAREZ ESPINOZA ABEL OMAR</t>
  </si>
  <si>
    <t>MACIAS SALTOS MIRNA LORENA</t>
  </si>
  <si>
    <t xml:space="preserve">BELTRAN BAJAÑA JAVIER ALONSO/OLPI AGRO S.A.
</t>
  </si>
  <si>
    <t>ALBAN VILLAFUERTE MARIA LAURA</t>
  </si>
  <si>
    <t>ROMAN TORO XIMENA DE LOURDES</t>
  </si>
  <si>
    <t>ODALYS BETZABETH PALACIOS LEON</t>
  </si>
  <si>
    <t>VILLACRES PEÑAFIEL JOSE</t>
  </si>
  <si>
    <t>SANCAN CHAVEZ ERIKA ZORAIDA</t>
  </si>
  <si>
    <t>ALTAMIRANO HERNANDEZ CINTHYA ESTEFANIA</t>
  </si>
  <si>
    <t>MANCERO MENENDEZ MARIA JOSE</t>
  </si>
  <si>
    <t>VILLACRES PEÑAFIEL JOSE DAVID</t>
  </si>
  <si>
    <t>ERRAEZ VEGA KARLA ALEXANDRA</t>
  </si>
  <si>
    <t>CEVALLOS LOAIZA MIGUEL HONORIO</t>
  </si>
  <si>
    <t>TORRES PANCHO JOSE ANTONIO</t>
  </si>
  <si>
    <t>DOMACCIN AROS ELBA ORFELIA</t>
  </si>
  <si>
    <t>NOTTBOHM COELLO MELISSA</t>
  </si>
  <si>
    <t>SANCHEZ BUSTAMANTE BIZMARCK FEDERICO</t>
  </si>
  <si>
    <t>CHOEZ GONZALEZ JENNY MIRIAM</t>
  </si>
  <si>
    <t>ARAY PLAZA ANDRES</t>
  </si>
  <si>
    <t>MOSQUERA VARGAS ROBERTO FERNANDO</t>
  </si>
  <si>
    <t>SANCHEZ LEON ELIAS BENJAMIN</t>
  </si>
  <si>
    <t>LEANDRO STALIN BAJAÑA ZAMBRANO</t>
  </si>
  <si>
    <t>JOSSELYN MARGOTH PIZARRO ECHEVERRIA</t>
  </si>
  <si>
    <t>MERA MERO PAOLA IDALINA</t>
  </si>
  <si>
    <t>ROSERO VELASCO FERNANDA PAOLA</t>
  </si>
  <si>
    <t>RAUL FERNANDO ALBAN ROBALINO</t>
  </si>
  <si>
    <t>CASTRO PERALTA YOMAYRA ELIZBETH</t>
  </si>
  <si>
    <t>RUEDA VERZOLA PABLO ANTONIO</t>
  </si>
  <si>
    <t>MARRIOTT CRESPO XAVIERA ARIANA</t>
  </si>
  <si>
    <t>CHANG ALAVA NELLY ROCIO</t>
  </si>
  <si>
    <t>MITE RUBIO ANGEL HUMBERTO</t>
  </si>
  <si>
    <t>BRAVO ROMERO ELIANA ELIZABETH</t>
  </si>
  <si>
    <t>UVIDIA CORTEZ JERARDINE ROSAURA</t>
  </si>
  <si>
    <t>PEÑA CUERVO DAMARYS DEL CARMEN</t>
  </si>
  <si>
    <t>Confiamed</t>
  </si>
  <si>
    <t>saludsa</t>
  </si>
  <si>
    <t>CONFIPLUS $30000 RED-1</t>
  </si>
  <si>
    <t>SALUD DENTAL PRIVILEGIO</t>
  </si>
  <si>
    <t>SKY 70K PLUS - 200</t>
  </si>
  <si>
    <t>NASDAQ 150.000</t>
  </si>
  <si>
    <t>Experience</t>
  </si>
  <si>
    <t>BEST INDEXED NASDAQ 250.000</t>
  </si>
  <si>
    <t>BEST INDEXED NASDAQ 250.001</t>
  </si>
  <si>
    <t>BEST INDEXED NASDAQ 150.001</t>
  </si>
  <si>
    <t>EXPERIENCE WORLD 3.0 3M - 500-5000 D5K</t>
  </si>
  <si>
    <t>PLAN GRUPAL 20.000</t>
  </si>
  <si>
    <t>TORRES LOPEZ MARTHA ELISA</t>
  </si>
  <si>
    <t>PEREZ RAMOS WILBERT ARTURO</t>
  </si>
  <si>
    <t>RUIZ CARDENAS DIEGO ERNESTO</t>
  </si>
  <si>
    <t>HEIDY JOCKSABELL ALVAREZ CABELLO</t>
  </si>
  <si>
    <t>SANCHEZ MANTILLA OMAR EUCLIDES</t>
  </si>
  <si>
    <t>ASPIAZU FRANCO PIERINA STEPHANIA</t>
  </si>
  <si>
    <t>DIAZ MEZA KAREN ELVIRA</t>
  </si>
  <si>
    <t>MENDOZA EUGENIO JOEL ROGELIO</t>
  </si>
  <si>
    <t>VANEGAS ANASTACIO VILMA PETITA</t>
  </si>
  <si>
    <t>LEON PACHECO XAVIER RAFAEL</t>
  </si>
  <si>
    <t>GARCIA FLORES ALLAN WIMPER</t>
  </si>
  <si>
    <t>VELEZ MOREIRA MARIUXI BELEN</t>
  </si>
  <si>
    <t>CORONEL SUAREZ VICTOR HUGO</t>
  </si>
  <si>
    <t>BAZURTO PARRALES NANCY MAGALI</t>
  </si>
  <si>
    <t>AYALA CADENA IVONNE ALEXANDRA</t>
  </si>
  <si>
    <t>PLAN SENIOR 45.000</t>
  </si>
  <si>
    <t>STAR 15K LITE</t>
  </si>
  <si>
    <t>Asispro 30</t>
  </si>
  <si>
    <t>TOTAL PRIMA NETA ANUAL</t>
  </si>
  <si>
    <t>VANON S.A.</t>
  </si>
  <si>
    <t>WENDY JAZMINE ALVARADO SALAS</t>
  </si>
  <si>
    <t>POOL</t>
  </si>
  <si>
    <t>JULIO CESAR FERNANDEZ ALAVA</t>
  </si>
  <si>
    <t>ELENA LEOPOLDINA ABARCA STRONG</t>
  </si>
  <si>
    <t>OCTUBRE</t>
  </si>
  <si>
    <t>CLARA EMPERATRIZ ANZULEZ CEDEÑO</t>
  </si>
  <si>
    <t>MONICA DEL ROCIO MONTENEGRO ARAGUNDI</t>
  </si>
  <si>
    <t>JUNIOR ALEXANDER RESTREPO RAMIREZ</t>
  </si>
  <si>
    <t>DEREK RESTREPO ECHEVERRI</t>
  </si>
  <si>
    <t>DIEGO FERNANDO RUPERTI LOOR</t>
  </si>
  <si>
    <t>MAFER QUINTERO</t>
  </si>
  <si>
    <t>ARGENTINA DEL ROSARIO TAPIA GONZALEZ</t>
  </si>
  <si>
    <t>ANULADO</t>
  </si>
  <si>
    <t>ESTHER KARINA BOMBON PEREZ</t>
  </si>
  <si>
    <t>ISAAC DAVID LALAMA VANEGAS</t>
  </si>
  <si>
    <t>GM24G50048</t>
  </si>
  <si>
    <t>GM24G49943</t>
  </si>
  <si>
    <t>GM24Q49883</t>
  </si>
  <si>
    <t>GM24G49859</t>
  </si>
  <si>
    <t>GARCIA BURGOS RITA NICOLLE</t>
  </si>
  <si>
    <t>CABRERA HENRIQUEZ VIANKA CAROLINA</t>
  </si>
  <si>
    <t>COELLO RECALDE MARIA CRISTINA</t>
  </si>
  <si>
    <t>URRESTO MARTINEZ LINDA JENIFFER</t>
  </si>
  <si>
    <t>ALVEAR FERRIN HAROL ALEXANDRO</t>
  </si>
  <si>
    <t>ORTIZ ELJURI JUAN SEBASTIAN</t>
  </si>
  <si>
    <t>LUCIO ARAGUNDY LISSETTE DANIELA</t>
  </si>
  <si>
    <t>RODRIGUEZ SAETEROS LISSETT GEOSSELINE</t>
  </si>
  <si>
    <t>SORIA BRIONES LISSETH MERCEDES</t>
  </si>
  <si>
    <t>GARCIA RIVAS VALERIA ESTEFANIA</t>
  </si>
  <si>
    <t>VITERI VILLON TERESA DE JESUS</t>
  </si>
  <si>
    <t>BARRETO ZAMBRANO MERLI LUCIA</t>
  </si>
  <si>
    <t>SANTOS LOPEZ ESTEBAN RAMIRO</t>
  </si>
  <si>
    <t>BASTIDAS ESPIN CRISTHIAN RAMIRO</t>
  </si>
  <si>
    <t>NARANJO ORDOÑEZ XAVIER ANIBAL</t>
  </si>
  <si>
    <t>ESPINOZA MOSQUERA JULIO ENRIQUE</t>
  </si>
  <si>
    <t>VIAMONTE TEJENA ZARIFE ANAYOJARATH</t>
  </si>
  <si>
    <t>MAHAUAD LEON NATHALIA ESTHER</t>
  </si>
  <si>
    <t>eduardo Moreira</t>
  </si>
  <si>
    <t>Deyanira Puicon</t>
  </si>
  <si>
    <t>Jorge Guerra</t>
  </si>
  <si>
    <t>Julio Luna</t>
  </si>
  <si>
    <t>GM24G49238</t>
  </si>
  <si>
    <t>GM24G50050</t>
  </si>
  <si>
    <t>RT plus</t>
  </si>
  <si>
    <t>Asispro 20</t>
  </si>
  <si>
    <t>PRO 150 K - 150</t>
  </si>
  <si>
    <t>VALDIVIEZO IÑIGUEZ JENNYPHER VIVIANA</t>
  </si>
  <si>
    <t>CACERES AVECILLAS CARLA ANDREA</t>
  </si>
  <si>
    <t>CARDENAS ASTUDILLO TAMARA VIOLETA</t>
  </si>
  <si>
    <t>ANDRADE SANCHEZ TATIANA ESTEFANI</t>
  </si>
  <si>
    <t>LOPEZ PISCOCAMA MARCELO FERNANDO</t>
  </si>
  <si>
    <t>GARCIA ENDERICA ANDREA CAROLINA</t>
  </si>
  <si>
    <t>RAMIREZ NELY JUDITH</t>
  </si>
  <si>
    <t>JIMENEZ MARTINEZ NAYIB ABRAHAN</t>
  </si>
  <si>
    <t>ORTIZ GUEVARA OLGA CRISTINA</t>
  </si>
  <si>
    <t>SANTOS MARTINEZ NANCY GEOVANNA</t>
  </si>
  <si>
    <t>FERNANDEZ ORTEGA EDUARDO PAUL</t>
  </si>
  <si>
    <t>ALVARADO LINO GLADYS PILAR</t>
  </si>
  <si>
    <t>TRIVIÑO ZAMBRANO OSWALDO FARITH</t>
  </si>
  <si>
    <t>ORTEGA PONCE WENDY JACQUELINE</t>
  </si>
  <si>
    <t>ZAMBRANO PACHECO EMILLY THAIS</t>
  </si>
  <si>
    <t>ZAMORA QUINAPALLO CINTHYA DANIELA</t>
  </si>
  <si>
    <t>OCHOA BRITO GLENDA MARIANA</t>
  </si>
  <si>
    <t>CORDOVA LARA FREDDY EDISON</t>
  </si>
  <si>
    <t>SACOTO LOOR GIOVANNI</t>
  </si>
  <si>
    <t>LOMBEIDA CASTRO KATHERINE LORENA</t>
  </si>
  <si>
    <t>RONQUILLO ALVARADO RUTH LIBERTAD</t>
  </si>
  <si>
    <t>BRIONES REYES MARIANA DE JESUS</t>
  </si>
  <si>
    <t>JIBAJA RIVADENEIRA MARIO EDUARDO</t>
  </si>
  <si>
    <t>PAZ COLOMA BRYAN EMILIO</t>
  </si>
  <si>
    <t>SALCEDO FIGUEROA MARIA WUESTHFALIA</t>
  </si>
  <si>
    <t>VIDAL ORDOÑEZ NICOLE DENNISSE</t>
  </si>
  <si>
    <t>RIVADENEIRA PAZ FRANCOISE FRAYLAS</t>
  </si>
  <si>
    <t>GM24G50627</t>
  </si>
  <si>
    <t>GM24G50570</t>
  </si>
  <si>
    <t>NOVIEMBRE</t>
  </si>
  <si>
    <t>STAR 15K - 71</t>
  </si>
  <si>
    <t>Pro 20</t>
  </si>
  <si>
    <t>SKY 70 PLUS 100</t>
  </si>
  <si>
    <t>Asispro 50</t>
  </si>
  <si>
    <t>Gonzalo Gonzalez</t>
  </si>
  <si>
    <t>Julio de Luna</t>
  </si>
  <si>
    <t>DICIEMBRE</t>
  </si>
  <si>
    <t>JAVIER SANTIAGO CASTAÑEDA REYES</t>
  </si>
  <si>
    <t>TITO ANDRES FERRIN CEDEÑO</t>
  </si>
  <si>
    <t>NATALIA CRISTINA NAVARRO ALVAREZ</t>
  </si>
  <si>
    <t>ALEXANDRA ELIZABETH QUIÑONEZ CABEZAS</t>
  </si>
  <si>
    <t>MARIA ALEXANDRA CASTILLO MALO</t>
  </si>
  <si>
    <t>DOLORES VANESSA MANZABA CEDEÑO</t>
  </si>
  <si>
    <t>LISSETTE DANIELA LUCIO ARAGUNDY</t>
  </si>
  <si>
    <t>MARIA JOSE GRANDA CASTILLO</t>
  </si>
  <si>
    <t>WILLIAM ALBERTO RODRIGUEZ ZURITA</t>
  </si>
  <si>
    <t>LAURA CECILIA DURAN</t>
  </si>
  <si>
    <t>OSCAR GABRIEL MURILLO VASQUEZ</t>
  </si>
  <si>
    <t>BIUTY MICHELL TAMAYO CHASIN</t>
  </si>
  <si>
    <t>DANIEL ANTONIO PUMAYUGRA GAVILANEZ</t>
  </si>
  <si>
    <t>PAULA RENATA BENITEZ PERALTA</t>
  </si>
  <si>
    <t>NICOLAS FERNANDO MARTINEZ PERALTA</t>
  </si>
  <si>
    <t>VERONICA YADIRA HIAUPATIN VELASCO</t>
  </si>
  <si>
    <t xml:space="preserve">ARMIJOS SARMIENTO MARCO ANTONIO </t>
  </si>
  <si>
    <t xml:space="preserve">SARMIENTO ANDINO CHRISTIAN ALFREDO </t>
  </si>
  <si>
    <t>DIANA GABRIELA CARREÑO SORNOZA</t>
  </si>
  <si>
    <t>LUIS ALCIDES MOREIRA ESPINOZA</t>
  </si>
  <si>
    <t>NICOLAS JOAQUIN PRIETO ENDERICA</t>
  </si>
  <si>
    <t>CECILIA ELIZABETH HENRIQUEZ LUNA</t>
  </si>
  <si>
    <t>RONALD GUSTAVO REESE RAMIREZ</t>
  </si>
  <si>
    <t>MONICA LETICIA SOLANO ITURBURU</t>
  </si>
  <si>
    <t>KERLY NELITZA CAMCHONG PORTUGAL</t>
  </si>
  <si>
    <t>ERNESTO FEDERICO RAMIA ANTUNEZ</t>
  </si>
  <si>
    <t>NATASHA ISABELLA ALVARADO ZAVALA</t>
  </si>
  <si>
    <t>MARCOS WILFRIDO VILLEGAS PILALOA</t>
  </si>
  <si>
    <t>MAGALI PATRICIA VILLEGAS PILALOA</t>
  </si>
  <si>
    <t>ANDREA PAULETJ UQUILLAS PILALOA</t>
  </si>
  <si>
    <t>CAMILA CECILIA CARRION LASSO</t>
  </si>
  <si>
    <t>LIGIA ANDREA FREIRE ACUÑA</t>
  </si>
  <si>
    <t>ANA LUISA ERAZO DIAZ</t>
  </si>
  <si>
    <t>ELENA SUSANA AGUILERA MONTES</t>
  </si>
  <si>
    <t>JUANA RAQUEL ALVARDO SALDAÑA</t>
  </si>
  <si>
    <t>ROSA HAYDEE ANDRADE ILLESCAS</t>
  </si>
  <si>
    <t>DENIZZE ELIANE PARRA ZUÑIGA</t>
  </si>
  <si>
    <t>GM24G51191</t>
  </si>
  <si>
    <t>KIARA JESEL MIÑANO CARMEN</t>
  </si>
  <si>
    <t>STAR 15</t>
  </si>
  <si>
    <t>JULIO GUTIERREZ CHAVEZ</t>
  </si>
  <si>
    <t>AMINTA JESSENIA GUALOTE VERA</t>
  </si>
  <si>
    <t>ABEL ANDRES ROMAN PARRAGA</t>
  </si>
  <si>
    <t>ESDRAS FERNANDEZ JARA</t>
  </si>
  <si>
    <t xml:space="preserve">MARIUXI TORRES </t>
  </si>
  <si>
    <t>MISHEL SALTOS CASTILLO</t>
  </si>
  <si>
    <t>TRAVEL</t>
  </si>
  <si>
    <t>HINOJOSA MURILLO BORYS MICHAEL</t>
  </si>
  <si>
    <t>PLAZA BOLAÑOS MARIA PATRICIA</t>
  </si>
  <si>
    <t>Gabriela Aviles</t>
  </si>
  <si>
    <t>UGARTE EGUES CRISTINA DOMENICA</t>
  </si>
  <si>
    <t>PRO 150K - 500 WALLET</t>
  </si>
  <si>
    <t>CEVALLOS BARRIGA JORGE EMILIO</t>
  </si>
  <si>
    <t>GALARZA GALARZA BLANCA LISENCIA</t>
  </si>
  <si>
    <t>GUERRERO YEPEZ ROSA ELIANA</t>
  </si>
  <si>
    <t>PLUAS LUCIO MONICA SAYENKA</t>
  </si>
  <si>
    <t>TIRCIO RODRIGUEZ MONICA EDITH</t>
  </si>
  <si>
    <t>BURGOS MUÑOZ RITA JACQUELINE</t>
  </si>
  <si>
    <t>Plan Vital/Christian</t>
  </si>
  <si>
    <t>FERNANDEZ MORETA ERICK JOEL</t>
  </si>
  <si>
    <t>BRAVO OJEDA VICTOR ALBERTO</t>
  </si>
  <si>
    <t>STAR 30K LITE</t>
  </si>
  <si>
    <t>AGUILAR ARIAS MARIA DEL ROCIO</t>
  </si>
  <si>
    <t>MOSCOSO SALAZAR RAUL MIGUEL</t>
  </si>
  <si>
    <t>STAR 70K - 100 LITE</t>
  </si>
  <si>
    <t>Anieli Gonzalez</t>
  </si>
  <si>
    <t>BEATRIZ MARTINEZ</t>
  </si>
  <si>
    <t>CARLOS SOTO</t>
  </si>
  <si>
    <t>PARRISH MOLINA</t>
  </si>
  <si>
    <t>2024</t>
  </si>
  <si>
    <t>PATRICIA MEDINA</t>
  </si>
  <si>
    <t>FREDDY SANTIAGO HIDALGO CASTRO</t>
  </si>
  <si>
    <t>BEST INDEX</t>
  </si>
  <si>
    <t>Estimados</t>
  </si>
  <si>
    <t>Hemos ingresado la solicitud de seguro de salud: </t>
  </si>
  <si>
    <t>Compañía: </t>
  </si>
  <si>
    <t>Titular:  </t>
  </si>
  <si>
    <t xml:space="preserve">Agente: </t>
  </si>
  <si>
    <t xml:space="preserve">Sala: </t>
  </si>
  <si>
    <t xml:space="preserve">Novedades: </t>
  </si>
  <si>
    <t>Saludos cordiales,</t>
  </si>
  <si>
    <t>Lcdo. Carlos Soto J.</t>
  </si>
  <si>
    <t>COORDINADOR COMERCIAL</t>
  </si>
  <si>
    <t>Negocios nuevos, requerimientos y cobranzas</t>
  </si>
  <si>
    <t xml:space="preserve">Cel. 0963281550 </t>
  </si>
  <si>
    <t>www.ElitePartnersEc.com</t>
  </si>
  <si>
    <t>Cuota :</t>
  </si>
  <si>
    <t>CORREO</t>
  </si>
  <si>
    <t>HOLA@DIB.COM</t>
  </si>
  <si>
    <t>Negocio revisado: CARLOS SOTO</t>
  </si>
  <si>
    <t>SANTIAGO JAVIER CHERREZ PASTOR</t>
  </si>
  <si>
    <t>Plan:</t>
  </si>
  <si>
    <t>Años</t>
  </si>
  <si>
    <t>PAGADO</t>
  </si>
  <si>
    <t>GM25G52109</t>
  </si>
  <si>
    <t>JUAN JOSE ARROBA FRANCO</t>
  </si>
  <si>
    <t>OPERATIVO</t>
  </si>
  <si>
    <t>HENRY ALFREDO NORIOSHI FULLEDA GONZALEZ</t>
  </si>
  <si>
    <t>FITFLOW S.A.</t>
  </si>
  <si>
    <t>AC35</t>
  </si>
  <si>
    <t>MARCELO ANDRES CORDOVA AGUILAR</t>
  </si>
  <si>
    <t>FABRICIO ERNESCO COBOS ARBELAEZ</t>
  </si>
  <si>
    <t>ALEXI REINALDO PARRA MONSERRATE</t>
  </si>
  <si>
    <t>ALEXIS REINALDO PARRA MONSERRATE</t>
  </si>
  <si>
    <t>COBRA</t>
  </si>
  <si>
    <t>MARIA JOSE FICHAMBA SALAZAR</t>
  </si>
  <si>
    <t>JULIO CESAR DE LUNA</t>
  </si>
  <si>
    <t>WILLIAMS ORTIZ VILLACRES</t>
  </si>
  <si>
    <t>LUIS RIVADENERIRA BERRONE</t>
  </si>
  <si>
    <t>GM25Q52289</t>
  </si>
  <si>
    <t>MARCOS DEMOSTENES SABANDO GARCIA</t>
  </si>
  <si>
    <t>ROGER GEOVANNY AVILES ESPINAR</t>
  </si>
  <si>
    <t>JONATHAN RAMIRO RAMIA ANZULEZ</t>
  </si>
  <si>
    <t>GIANCARLOS EMANUEL ZAMORA MUÑOZ</t>
  </si>
  <si>
    <t>ERCKA LORENA PLUAS ALVARADO</t>
  </si>
  <si>
    <t>DANIELA JACQUELINE GONZALEZ GUERRA</t>
  </si>
  <si>
    <t>ANDRES FERNANDO OÑATE CISNEROS</t>
  </si>
  <si>
    <t>RUBEN DAVID APOLINARIO GUTIERREZ</t>
  </si>
  <si>
    <t>MARIA DE LOS ANGELES AVILES DE LA CRUZ</t>
  </si>
  <si>
    <t>MELLISA PAOLA MARTINEZ MELENDEZ</t>
  </si>
  <si>
    <t>GM25G52301</t>
  </si>
  <si>
    <t>HIPOLITO RODIMIRO GONZALEZ GOMEZ</t>
  </si>
  <si>
    <t>STEPHANIE PALADINES BURGOS</t>
  </si>
  <si>
    <t>47974-1</t>
  </si>
  <si>
    <t>JOSE AGUSTIN URUETA MARRIOT</t>
  </si>
  <si>
    <t>FREDDY ABDON RODRIGUEZ EGAS</t>
  </si>
  <si>
    <t>ISABEL CAMILA ARZUBE DEL HIERRO</t>
  </si>
  <si>
    <t>GM25G52527</t>
  </si>
  <si>
    <t>MAYA ISABEL BARRENO ZAMBRANO</t>
  </si>
  <si>
    <t>JACQUELINE JIMENEZ JIMENEZ</t>
  </si>
  <si>
    <t>LEGACY</t>
  </si>
  <si>
    <t>Glenda Rosales</t>
  </si>
  <si>
    <t>ANA AYALA LOPEZ</t>
  </si>
  <si>
    <t>ALONSO RODRIGO VALENCIA VILLACIS</t>
  </si>
  <si>
    <t>JUAN PABLO ALARCON PERASSO</t>
  </si>
  <si>
    <t>GLADYS PAOLA JAIME ROBALINO</t>
  </si>
  <si>
    <t>KESHYA ANTONELLA RAMIREZ HARO</t>
  </si>
  <si>
    <t>EINSTEIN ANIBAL SOLORZANO YEPEZ</t>
  </si>
  <si>
    <t>LUIS FERNEY GIRALDO GOMEZ</t>
  </si>
  <si>
    <t>GLADYS DIANA ORTEGA MOLINA</t>
  </si>
  <si>
    <t>ERIKA SHAFIA VILLA SALAS</t>
  </si>
  <si>
    <t>AI25G22025</t>
  </si>
  <si>
    <t>WILSON JAVIER VELEZ MOYANO</t>
  </si>
  <si>
    <t>JARRIN &amp; ASO.</t>
  </si>
  <si>
    <t>ORLY PERLAZA</t>
  </si>
  <si>
    <t>GILBER BOSCAN</t>
  </si>
  <si>
    <t>MARISOL ORMEÑO O BRYEN</t>
  </si>
  <si>
    <t>ELIANA BETZABETH MERCHAN BAQUERIZO</t>
  </si>
  <si>
    <t>ALEXANDRA MALDONA</t>
  </si>
  <si>
    <t>IKIGAI</t>
  </si>
  <si>
    <t>FERNANDO JAVIER FABRE ARIAS</t>
  </si>
  <si>
    <t>FERNEY TRUJILLO VARGAS</t>
  </si>
  <si>
    <t>NORMA ALEXANDRA WINSON CONTRERAS</t>
  </si>
  <si>
    <t>ZENCARE</t>
  </si>
  <si>
    <t>DANIEL ANDRES MARTILLO ONOFA</t>
  </si>
  <si>
    <t>DANA BELEN PEREZ POSLIGUA</t>
  </si>
  <si>
    <t>ANA LUZ MEDINA PERLAZA</t>
  </si>
  <si>
    <t>MARTHA NOEMI VERDESOTO SOLEDISPA</t>
  </si>
  <si>
    <t>STEFANY BRIGGITTE ANASTACIO VINUEZA</t>
  </si>
  <si>
    <t>ARIANA MISHAELL CORDERO VALDIVIESO</t>
  </si>
  <si>
    <t>CHRISTOPHER SALAZAR</t>
  </si>
  <si>
    <t>KARINA BETHSABE TAPIA FIGUEROA</t>
  </si>
  <si>
    <t>MARIUXI DEL ROCIO TORRES ROSADO</t>
  </si>
  <si>
    <t>STAR 15K</t>
  </si>
  <si>
    <t>LIANA BETZABETH ZAMBRANO ZAMBRANO</t>
  </si>
  <si>
    <t>SAUL MERCHAN BAQUERIZO</t>
  </si>
  <si>
    <t>60% PRIMERA CUOTA</t>
  </si>
  <si>
    <t>DAVINA MARIA CONTRERAS SOTOMAYOR</t>
  </si>
  <si>
    <t>AZURE</t>
  </si>
  <si>
    <t>ANDREA STEPHANIE AVILES SALAZAR</t>
  </si>
  <si>
    <t>KARLA MARITZA VALAREZO SARMIENTO</t>
  </si>
  <si>
    <t>TATIANA ELIZABETH CEVALLOS CARABAJO</t>
  </si>
  <si>
    <t>KATTY PAOLA ROSALES ARMENDARIS</t>
  </si>
  <si>
    <t>BETSSY ELISA MONTESDEOCA CASTAÑEDA</t>
  </si>
  <si>
    <t>INGRESADO POR EL PORTAL CDELPINO</t>
  </si>
  <si>
    <t>0</t>
  </si>
  <si>
    <t>DIANA DEL CONSUELO ESPINOZA MORA</t>
  </si>
  <si>
    <t>INGRESADO POR CONECTED BROKERSA</t>
  </si>
  <si>
    <t>ENVIADO CANAL TRADICIONAL</t>
  </si>
  <si>
    <t>ENVIADO</t>
  </si>
  <si>
    <t>ANDREA BELEN MOLINA RAMOS</t>
  </si>
  <si>
    <t>ENVIADO CONECTED CDELPINO</t>
  </si>
  <si>
    <t>GM25G52930</t>
  </si>
  <si>
    <t>FANNY MICHELLE SOBERON MENA</t>
  </si>
  <si>
    <t>EMITIDO POR EL PORTAL CDELPINO</t>
  </si>
  <si>
    <t>CARGADO POR EL PORTAL DEL DIRECTOR DE SALA</t>
  </si>
  <si>
    <t>RENE ARMANDO MORALES HERRERA</t>
  </si>
  <si>
    <t>INGRESADO POR EL PORTAL DEL AGENTE</t>
  </si>
  <si>
    <t>EVELYN GAIBOR</t>
  </si>
  <si>
    <t>ALEJANDRA PAULINA ALARCON RAMIREZ</t>
  </si>
  <si>
    <t xml:space="preserve">MARIA PAULINA TAPIA NARANJO </t>
  </si>
  <si>
    <t>ANDREA ESTEFANIA PICO WONG</t>
  </si>
  <si>
    <t>ANDRES EDUARDO NOBOA JORGGE</t>
  </si>
  <si>
    <t>EDEURIS CARIDAD LIRA MORENO</t>
  </si>
  <si>
    <t>MILTON MANUEL LUZURIAGA AGUIRRE</t>
  </si>
  <si>
    <t>PRO 150K</t>
  </si>
  <si>
    <t>RAUL ANDRES AVILES SABANDO</t>
  </si>
  <si>
    <t>JULITZA JUDITH VELEZ MARQUINEZ</t>
  </si>
  <si>
    <t>NELLY ESPINAR QUIJIJE</t>
  </si>
  <si>
    <t>INGRESADO EN PORTAL CDELPINO</t>
  </si>
  <si>
    <t>ADRIANA VALENTINA DONOSO SANCHEZ</t>
  </si>
  <si>
    <t>EDWIN JAVIER ESPINOZA MORA</t>
  </si>
  <si>
    <t>GLENDA VERONICA YAGUAL ESPINOZA</t>
  </si>
  <si>
    <t>INGRESADO CANAL TRADICIONAL</t>
  </si>
  <si>
    <t>PENDIENTE</t>
  </si>
  <si>
    <t>SONIA MONSERRATE BRIONES BRAVO</t>
  </si>
  <si>
    <t>GLADYS ALINA SARMIENTO ZAMBRANO</t>
  </si>
  <si>
    <t>INGRESADO POR GYG TRADICIONAL</t>
  </si>
  <si>
    <t>CAROLINA MARITZA MENDOZA CARRILLO</t>
  </si>
  <si>
    <t>PABLO GIOVANNY PAREDES AGUIRRE</t>
  </si>
  <si>
    <t>EMILY FERNANDA VELASQUEZ TORRES</t>
  </si>
  <si>
    <t>MARCOS LENIN VITERI PINCAY</t>
  </si>
  <si>
    <t>GM25G52855</t>
  </si>
  <si>
    <t>GM25G53039</t>
  </si>
  <si>
    <t>MARCELA KATHERINE ESQUIVEL MENDEZ</t>
  </si>
  <si>
    <t>ANA MINA MEDINA</t>
  </si>
  <si>
    <t>JOSE LUIS HOLGUIN YAGUAL</t>
  </si>
  <si>
    <t>joseholguin1981@gmail.com</t>
  </si>
  <si>
    <t>SKY50 PLUS</t>
  </si>
  <si>
    <t>GONZALO ALFREDO GONZALEZ CRUZ</t>
  </si>
  <si>
    <t>carbonestra@gmail.com</t>
  </si>
  <si>
    <t>GM25Q53279</t>
  </si>
  <si>
    <t>OSCAR IVAN NAVARRETE ESPINOZA</t>
  </si>
  <si>
    <t xml:space="preserve">STAR 15 </t>
  </si>
  <si>
    <t>oskrivan25@gmail.com</t>
  </si>
  <si>
    <t>VIDA BASICO</t>
  </si>
  <si>
    <t>ladyamada30@hotmail.com</t>
  </si>
  <si>
    <t>IGNACION DE ARRUABARRENA FERNANDEZ</t>
  </si>
  <si>
    <t>D311581</t>
  </si>
  <si>
    <t>ignaciodearruabarrena@gmail.com</t>
  </si>
  <si>
    <t>ERICKA LORENA PLUAS ALVARADO</t>
  </si>
  <si>
    <t>MAGDALENA DEL CARMEN HERRERA POZO</t>
  </si>
  <si>
    <t>ELSA OLIVA HERRERA POZO</t>
  </si>
  <si>
    <t>pool salud</t>
  </si>
  <si>
    <t>empresa</t>
  </si>
  <si>
    <t>GUSTAVO ADRIAN MORALES CHAVES</t>
  </si>
  <si>
    <t>ROSA ELVIRA MUÑOZ AUCAPIÑA</t>
  </si>
  <si>
    <t>STAR 15 LITE</t>
  </si>
  <si>
    <t>rosa19801987@gmail.com</t>
  </si>
  <si>
    <t>CONSUELO MARIA CHAFLA JARAMA</t>
  </si>
  <si>
    <t>MIKAELA HEREDIA VERA</t>
  </si>
  <si>
    <t>mkhrvr@hotmail.com</t>
  </si>
  <si>
    <t>FECHA SOLICITUD</t>
  </si>
  <si>
    <t>NUMERO DE CONTRATO</t>
  </si>
  <si>
    <t>FECHA DE ULTIMO DEBITO</t>
  </si>
  <si>
    <t>NOMBRE DE CLIENTE</t>
  </si>
  <si>
    <t>TRAMITADO POR:</t>
  </si>
  <si>
    <t>FECHA FINAL COBERTURA</t>
  </si>
  <si>
    <t>MOTIVO DE CANCELACION</t>
  </si>
  <si>
    <t>ECONOMICO</t>
  </si>
  <si>
    <t>CLIENTE</t>
  </si>
  <si>
    <t>ZAVALA FERRUZOLA LADY STEFANIE</t>
  </si>
  <si>
    <t>TIEMPOS DE RESPUESTA DE LA ASEGURADORA</t>
  </si>
  <si>
    <t>FERNANDEZ ALAVA JULIO CESAR</t>
  </si>
  <si>
    <t>CHINTYA ESTEFANIA FLOR MOSQUERA</t>
  </si>
  <si>
    <t>estefy15772@hotmail.com</t>
  </si>
  <si>
    <t>MARIUXI KARLA LLIVISACA ORTEGA</t>
  </si>
  <si>
    <t>STAR 30</t>
  </si>
  <si>
    <t>INGRESADO POR EL AGENTE</t>
  </si>
  <si>
    <t>MKLLIVISACA@GMAIL.COM</t>
  </si>
  <si>
    <t>FRANCISCO JAVIER RENJIFO LATORRE</t>
  </si>
  <si>
    <t>FRANCISCORENGIFO1994@GMAIL.COM</t>
  </si>
  <si>
    <t>FECHA APLICACIÓN</t>
  </si>
  <si>
    <t>JOSE UBALDO CRESPIN CASTRO</t>
  </si>
  <si>
    <t>FECHA APROVACION</t>
  </si>
  <si>
    <t>REGESTION POR NUEVAS POLITICAS DE LA ASEGURADORA</t>
  </si>
  <si>
    <t>CARLOSOTO</t>
  </si>
  <si>
    <t>FECHA COMISIONABLE</t>
  </si>
  <si>
    <t>marzo</t>
  </si>
  <si>
    <t>febrero</t>
  </si>
  <si>
    <t>diciembre</t>
  </si>
  <si>
    <t>MARIA MARLENE VEGA MOREIRA</t>
  </si>
  <si>
    <t>TANYA MARLENE REYES VEGA</t>
  </si>
  <si>
    <t>TANYA JOANDRA SOLINES REYES</t>
  </si>
  <si>
    <t>CRISTINA ELIZABETH ARTEAGA FIGUEROA</t>
  </si>
  <si>
    <t>SALUD</t>
  </si>
  <si>
    <t>CARLOS TOMAS CANTORE CASAL</t>
  </si>
  <si>
    <t xml:space="preserve">CARLOS TOMAS CANTORE CASAL </t>
  </si>
  <si>
    <t>noviembre</t>
  </si>
  <si>
    <t>EXPERIENCE</t>
  </si>
  <si>
    <t>CARLA ANDREA FIERRO LOOR</t>
  </si>
  <si>
    <t>agosto</t>
  </si>
  <si>
    <t>CARLOS DANIEL JACOBSON ALOY</t>
  </si>
  <si>
    <t>JUNIOR 20K</t>
  </si>
  <si>
    <t>septiembre</t>
  </si>
  <si>
    <t>CAICER CALERO AZUCENA DEL ROCIO</t>
  </si>
  <si>
    <t>0920196656</t>
  </si>
  <si>
    <t>IND</t>
  </si>
  <si>
    <t>julio</t>
  </si>
  <si>
    <t>ERIKA MARIELA SINCHE FUENTES</t>
  </si>
  <si>
    <t>0320165677</t>
  </si>
  <si>
    <t>0964032717</t>
  </si>
  <si>
    <t>0920165677</t>
  </si>
  <si>
    <t>-</t>
  </si>
  <si>
    <t xml:space="preserve">MORENO CHONG, BONNE SHEYLAH                       </t>
  </si>
  <si>
    <t>0915437164</t>
  </si>
  <si>
    <t xml:space="preserve">IG SIGMA (ENE 20)             </t>
  </si>
  <si>
    <t>0980990211</t>
  </si>
  <si>
    <t>PRO150</t>
  </si>
  <si>
    <t>abril</t>
  </si>
  <si>
    <t>MEJIA VELASTEGUI ALY DANIEL</t>
  </si>
  <si>
    <t>0918985458</t>
  </si>
  <si>
    <t>MAYRA ALEJANDRA BRAVO ARAGUNDY</t>
  </si>
  <si>
    <t>0925352536</t>
  </si>
  <si>
    <t>0989158168</t>
  </si>
  <si>
    <t>CLARA ALEMANIA DELGADO VILLACIS</t>
  </si>
  <si>
    <t>0909859613</t>
  </si>
  <si>
    <t>0968992689</t>
  </si>
  <si>
    <t>B</t>
  </si>
  <si>
    <t>SUMMA</t>
  </si>
  <si>
    <t xml:space="preserve">MOSQUERA ARREAGA, CLARA LETICIA                   </t>
  </si>
  <si>
    <t>0912430402</t>
  </si>
  <si>
    <t xml:space="preserve">IG SIGMA (ENE 21)             </t>
  </si>
  <si>
    <t>junio</t>
  </si>
  <si>
    <t>GM23G37136</t>
  </si>
  <si>
    <t>BRAVO ARAGUNDY MAYRA ALEJANDRA</t>
  </si>
  <si>
    <t>SI23C42083</t>
  </si>
  <si>
    <t>ACOSTA SANCHEZ KLEBER ROBERTO</t>
  </si>
  <si>
    <t xml:space="preserve">TITULAR + 2 </t>
  </si>
  <si>
    <t>0918624529</t>
  </si>
  <si>
    <t>0989736432</t>
  </si>
  <si>
    <t xml:space="preserve">BRAVO ANDRADE, HECTOR MELECIO                     </t>
  </si>
  <si>
    <t>1301275820</t>
  </si>
  <si>
    <t xml:space="preserve">CARDENAS MOSQUERA, MARIA CAROLINA                 </t>
  </si>
  <si>
    <t>0914701883</t>
  </si>
  <si>
    <t>GM23G37135</t>
  </si>
  <si>
    <t>ANGELA MARIA MOSQUERA ARREAGA</t>
  </si>
  <si>
    <t>0992152077</t>
  </si>
  <si>
    <t>PARRALES QUIMIS CESAR ANTONIO</t>
  </si>
  <si>
    <t>1312457243</t>
  </si>
  <si>
    <t>AÑAZCO VALAREZO GUILLERMO EDUARDO</t>
  </si>
  <si>
    <t>0911021392</t>
  </si>
  <si>
    <t>GM23G34582</t>
  </si>
  <si>
    <t>0950609529</t>
  </si>
  <si>
    <t>ALVAREZ HERRERA JOHNNY ALBERTO</t>
  </si>
  <si>
    <t>0920798634</t>
  </si>
  <si>
    <t>SI23G41116</t>
  </si>
  <si>
    <t>GUILLERMO DAVID BAÑOS MORA</t>
  </si>
  <si>
    <t>0919026781</t>
  </si>
  <si>
    <t>CASTRO GUARDIA FELIX LUIS</t>
  </si>
  <si>
    <t>D201552</t>
  </si>
  <si>
    <t>TITULAR + 3</t>
  </si>
  <si>
    <t>0921897039</t>
  </si>
  <si>
    <t>JOSE ROBERTO MURILLO URDANIGO</t>
  </si>
  <si>
    <t>FERNANDEZ PAZMIÑO LIGIA VALERIA</t>
  </si>
  <si>
    <t>1715181176</t>
  </si>
  <si>
    <t>PETER GERHARD KHOEN CAMPOS</t>
  </si>
  <si>
    <t>0906034608</t>
  </si>
  <si>
    <t>CONTRAFACTURA</t>
  </si>
  <si>
    <t>MEDLOG ECUATORIANA</t>
  </si>
  <si>
    <t>MOVIMIENTO INTERNO N.A.</t>
  </si>
  <si>
    <t>ROSA CAROLINA CUEVA RAMIREZ</t>
  </si>
  <si>
    <t>0702933482</t>
  </si>
  <si>
    <t>GARAGES MUSSDALL C.LTDA</t>
  </si>
  <si>
    <t>PRIMERA COMPLETA</t>
  </si>
  <si>
    <t>MARIA ALEJANDRA OCHOA CUEVA</t>
  </si>
  <si>
    <t>0704585967</t>
  </si>
  <si>
    <t>AI23G16288</t>
  </si>
  <si>
    <t>TITULAR + 4</t>
  </si>
  <si>
    <t>DIFERIDO ESPECIAL</t>
  </si>
  <si>
    <t>IDEAL 1M</t>
  </si>
  <si>
    <t>SANTACRUZ ACOSTA LUIS DANIEL</t>
  </si>
  <si>
    <t>1713548855</t>
  </si>
  <si>
    <t>enero</t>
  </si>
  <si>
    <t>ELITA ARMENIA MICHUY MENDOZA</t>
  </si>
  <si>
    <t>0915473714</t>
  </si>
  <si>
    <t> AI23G16198</t>
  </si>
  <si>
    <t>JENNIFFER ESTEFANIA ULLAURI QUIÑONEZ</t>
  </si>
  <si>
    <t>0703726158</t>
  </si>
  <si>
    <t>GM22G30717</t>
  </si>
  <si>
    <t>ELBA NOEMI MORA SANCHEZ</t>
  </si>
  <si>
    <t>091902122</t>
  </si>
  <si>
    <t>mayo</t>
  </si>
  <si>
    <t>VALENCIA QUEZADA ALVARO JAMIL</t>
  </si>
  <si>
    <t>0926079021</t>
  </si>
  <si>
    <t> GM23G33218</t>
  </si>
  <si>
    <t>LUCIA NELIS LOOR MEJIA</t>
  </si>
  <si>
    <t>HECTOR BRAVO ANDRADE-HEBRASA</t>
  </si>
  <si>
    <t>MEDINA RODRIGUEZ MARIA BELEN</t>
  </si>
  <si>
    <t>0923035620</t>
  </si>
  <si>
    <t>GM23G33171</t>
  </si>
  <si>
    <t>HENRY PAUL CHAVEZ LOOR</t>
  </si>
  <si>
    <t>0912634854</t>
  </si>
  <si>
    <t>PIERINA PAULETT MERA BALLESTEROS</t>
  </si>
  <si>
    <t>0802215384</t>
  </si>
  <si>
    <t xml:space="preserve"> MENSUAL</t>
  </si>
  <si>
    <t>MARGARITA DEL ROCIO BALLESTEROS POSSO</t>
  </si>
  <si>
    <t>CURAE SUMMA</t>
  </si>
  <si>
    <t>VELASCO CARRION EDER ARTURO</t>
  </si>
  <si>
    <t>0922591722</t>
  </si>
  <si>
    <t>octubre</t>
  </si>
  <si>
    <t>MIGUEL EDUARDO JARAMILLO INSUASTE</t>
  </si>
  <si>
    <t>0918242421</t>
  </si>
  <si>
    <t>JUNIOR ARTURO BARBERAN MOSQUERA</t>
  </si>
  <si>
    <t>0924505142</t>
  </si>
  <si>
    <t>JOSE CRISTOBAL SANCHEZ ORTIZ</t>
  </si>
  <si>
    <t xml:space="preserve">ROMERO ALVAREZ, ERICKA MARIELA                    </t>
  </si>
  <si>
    <t>0918558677</t>
  </si>
  <si>
    <t xml:space="preserve">IG PLAN HOSPICARE (ENE 20)    </t>
  </si>
  <si>
    <t>ARTURO JUNIOR BARBERAN MOSQUERA</t>
  </si>
  <si>
    <t>PRADO ROBLES LENNYN FABRICIO</t>
  </si>
  <si>
    <t>1710535749</t>
  </si>
  <si>
    <t>EDWIN FABIAN RAZO MENENDEZ</t>
  </si>
  <si>
    <t>0500620075</t>
  </si>
  <si>
    <t>SUPREMA COMPLETA</t>
  </si>
  <si>
    <t>SHIRLEY MANUELA HERNANDEZ BAQUERO</t>
  </si>
  <si>
    <t>0912257623</t>
  </si>
  <si>
    <t>PLAN IDEAL</t>
  </si>
  <si>
    <t>DIANA FREIRE CAMPOS</t>
  </si>
  <si>
    <t>PAGO DIRECTO</t>
  </si>
  <si>
    <t>EL SABOR</t>
  </si>
  <si>
    <t>NIVEL 5D</t>
  </si>
  <si>
    <t>HENRY CHAVEZ LOOR</t>
  </si>
  <si>
    <t>MERCEDES EUGENIA LASCANO GONZALEZ</t>
  </si>
  <si>
    <t>DEBITO A TARJETA</t>
  </si>
  <si>
    <t>JUAN DIEGO OCHOA CUEVA</t>
  </si>
  <si>
    <t>0930340880</t>
  </si>
  <si>
    <t>DEBITO A CUENTA</t>
  </si>
  <si>
    <t>ASSIST CARD</t>
  </si>
  <si>
    <t>AC60</t>
  </si>
  <si>
    <t>TARANTO SILVA KAREM YETZIRAM</t>
  </si>
  <si>
    <t>0927527101</t>
  </si>
  <si>
    <t>JOSELINE FALCONI ZAMORA</t>
  </si>
  <si>
    <t>HECTOR MELECIO BRAVO ANDRADE</t>
  </si>
  <si>
    <t>GASTOS MEDICOS MAYORES</t>
  </si>
  <si>
    <t>HILDA MARIA ROMERO JARA</t>
  </si>
  <si>
    <t>MARIA CAROLINA CARDENAS MOSQUERA</t>
  </si>
  <si>
    <t>HOSPICARE</t>
  </si>
  <si>
    <t>MARIA ELIZABETH CEVALLOS</t>
  </si>
  <si>
    <t>092219658-9</t>
  </si>
  <si>
    <t>JUAN PABLO SICCO BELLINI</t>
  </si>
  <si>
    <t>0916613383</t>
  </si>
  <si>
    <t>SEGARRA MATAMOROS LIZZETTE JACKELINE</t>
  </si>
  <si>
    <t>0704174416</t>
  </si>
  <si>
    <t>ESTRADA CASTRO OMAR ALFREDO</t>
  </si>
  <si>
    <t>0922539887</t>
  </si>
  <si>
    <t>CHAVEZ LOOR HENRY PAUL</t>
  </si>
  <si>
    <t>1305876110</t>
  </si>
  <si>
    <t>NIVEL 5</t>
  </si>
  <si>
    <t>PAOLA SHANTEL HERRERA CARDENAS</t>
  </si>
  <si>
    <t>0929092872</t>
  </si>
  <si>
    <t>ASTRID CAROLINA HERRERA CARDENAS</t>
  </si>
  <si>
    <t>0929092880</t>
  </si>
  <si>
    <t>ERIC LOPEZ CORTEZ</t>
  </si>
  <si>
    <t>1202929673</t>
  </si>
  <si>
    <t>NANCY NARCISA CARDENAS MOSQUERA</t>
  </si>
  <si>
    <t>0916117963</t>
  </si>
  <si>
    <t>TARJETA DE CREDITO BOLIVARIANO</t>
  </si>
  <si>
    <t>AHSLEY STEPHANIE BASURTO BAJAÑA</t>
  </si>
  <si>
    <t>0923381628</t>
  </si>
  <si>
    <t>JOYCE BAJAÑA LLERENA</t>
  </si>
  <si>
    <t>LUIS HUMBERTO SOLIS ROBLES</t>
  </si>
  <si>
    <t>PONCE GUERRA JOSE GABRIEL</t>
  </si>
  <si>
    <t>0930382932</t>
  </si>
  <si>
    <t>ANTONIO XAVIER PUENTE VELA</t>
  </si>
  <si>
    <t>00013753</t>
  </si>
  <si>
    <t>MATHIAS NICOLAS OCHOA CUEVA</t>
  </si>
  <si>
    <t>0951966167</t>
  </si>
  <si>
    <t>DIEGO ORLANDO OCHOA ORTIZ</t>
  </si>
  <si>
    <t>0102417268</t>
  </si>
  <si>
    <t xml:space="preserve">OCHOA ORTIZ, DIEGO ORLANDO                        </t>
  </si>
  <si>
    <t xml:space="preserve">IG GMM $20000 (ENE 21)        </t>
  </si>
  <si>
    <t>00013682</t>
  </si>
  <si>
    <t>SILVANA GABRIELA ZUNINO RUSSO</t>
  </si>
  <si>
    <t>0908873201</t>
  </si>
  <si>
    <t>SAMUEL ANDRES CANIZARES ZUNINO</t>
  </si>
  <si>
    <t>0924168883</t>
  </si>
  <si>
    <t>00013683</t>
  </si>
  <si>
    <t>DANILO ROBERTO CANIZARES MC CLARNON</t>
  </si>
  <si>
    <t>0912295029</t>
  </si>
  <si>
    <t>MELANIE CAROLINA LEON REINOSO</t>
  </si>
  <si>
    <t>0921671632</t>
  </si>
  <si>
    <t>KENIA KAREN BAHAMONDE SANDOVAL</t>
  </si>
  <si>
    <t>0927814962</t>
  </si>
  <si>
    <t>PLAN PRO 50</t>
  </si>
  <si>
    <t>ANDRES ALEJANDRO LEON REINOSO</t>
  </si>
  <si>
    <t>0921671608</t>
  </si>
  <si>
    <t>00013646</t>
  </si>
  <si>
    <t>DENIZZE ELIANE PARRA ZUNIGA</t>
  </si>
  <si>
    <t>1600390288</t>
  </si>
  <si>
    <t>CESAR MANUEL ZELAYA PARRA</t>
  </si>
  <si>
    <t>0931400170</t>
  </si>
  <si>
    <t>YADIRA ELIZABETH PINO MUÑOZ</t>
  </si>
  <si>
    <t>0915535355</t>
  </si>
  <si>
    <t>AIRA TAYMIAH GARCIA PINO</t>
  </si>
  <si>
    <t>0930746508</t>
  </si>
  <si>
    <t>SANDOVAL MOLINA NICOLAS NORBERTO</t>
  </si>
  <si>
    <t>1800521922</t>
  </si>
  <si>
    <t>00013596</t>
  </si>
  <si>
    <t>HUGO MARIO LA MOTA IDROVO</t>
  </si>
  <si>
    <t>0905384285</t>
  </si>
  <si>
    <t>TANIA SISI CANDELL VITERI</t>
  </si>
  <si>
    <t>0924612179</t>
  </si>
  <si>
    <t>NOHEMI PAULETT SOLORZANO CANDELL</t>
  </si>
  <si>
    <t>0958471591</t>
  </si>
  <si>
    <t>SHIRLEY ESTHER MUNZON ACOSTA</t>
  </si>
  <si>
    <t>0959897018</t>
  </si>
  <si>
    <t>JORGE ENRIQUE RAMIREZ CANDELL</t>
  </si>
  <si>
    <t>0932261704</t>
  </si>
  <si>
    <t>EMILIO JOSE SOLORZANO CANDELL</t>
  </si>
  <si>
    <t/>
  </si>
  <si>
    <t>LOOR MEJIA, LUCIA NELIS</t>
  </si>
  <si>
    <t>1301636096</t>
  </si>
  <si>
    <t>AYALA PEREIRA MARIA JOSE</t>
  </si>
  <si>
    <t>0706316726</t>
  </si>
  <si>
    <t xml:space="preserve">IG GMM $20000 (ENE 20)        </t>
  </si>
  <si>
    <t>BEJARANO AGUILERA MARIANA DE JESUS</t>
  </si>
  <si>
    <t>1200197927</t>
  </si>
  <si>
    <t>MAYRA KATIUSKA ARAGUNDY HIDALGO</t>
  </si>
  <si>
    <t>0920096476</t>
  </si>
  <si>
    <t>MARIA EMILIA BRAVO ARAGUNDY</t>
  </si>
  <si>
    <t>0930831763</t>
  </si>
  <si>
    <t>HECTOR YOVANNY BRAVO LOOR</t>
  </si>
  <si>
    <t>0912149689</t>
  </si>
  <si>
    <t>HECTOR SANTIAGO BRAVO ARAGUNDY</t>
  </si>
  <si>
    <t>0931913065</t>
  </si>
  <si>
    <t>CAMILA DANIELA BRAVO ARAGUNDY</t>
  </si>
  <si>
    <t>0940294440</t>
  </si>
  <si>
    <t>JESSICA DE LOURDES FLORES MARIDUEÑA</t>
  </si>
  <si>
    <t>0914429097</t>
  </si>
  <si>
    <t>PLAN PRO 30</t>
  </si>
  <si>
    <t>DEL PINO FIGUEROA CHRISTIAN JACOBO</t>
  </si>
  <si>
    <t>0922608997</t>
  </si>
  <si>
    <t>FREIRE CAMPOS LUIS ALFONSO</t>
  </si>
  <si>
    <t>0916959125</t>
  </si>
  <si>
    <t>XPR</t>
  </si>
  <si>
    <t>ULLAURI QUIÑONEZ GALO ALBERTO</t>
  </si>
  <si>
    <t>0702538448</t>
  </si>
  <si>
    <t>DANIELA ASIRI CHAUCA ZEAS</t>
  </si>
  <si>
    <t>0959658592</t>
  </si>
  <si>
    <t>ASANZA VALENCIA SANDRA PATRICIA</t>
  </si>
  <si>
    <t>0916671555</t>
  </si>
  <si>
    <t>VELEZ GARCIA OLAYA VANESSA</t>
  </si>
  <si>
    <t>1311451528</t>
  </si>
  <si>
    <t>MOLINA BALDA LETTY ELIZABETH</t>
  </si>
  <si>
    <t>1302357023</t>
  </si>
  <si>
    <t>IVON SILVANA CADENA CIFUENTES</t>
  </si>
  <si>
    <t>1002179131</t>
  </si>
  <si>
    <t>GM25G53513</t>
  </si>
  <si>
    <t xml:space="preserve"> ELSA ESPERANZA LAMA CHANG</t>
  </si>
  <si>
    <t>MARIA AUXILIADORA JARAMILLO GARCIA</t>
  </si>
  <si>
    <t>TIAGO CARRERA</t>
  </si>
  <si>
    <t>BMI MARSEGUROS</t>
  </si>
  <si>
    <t>LAUDALI GONZALEZ</t>
  </si>
  <si>
    <t>GM25G53503</t>
  </si>
  <si>
    <t> MARIUXI KARLA LLIVISACA ORTEGA</t>
  </si>
  <si>
    <t>INGRESADO CONNECTED GYG</t>
  </si>
  <si>
    <t>JOSELINE GIANELA GALLARDO MACIAS</t>
  </si>
  <si>
    <t>DONALD DANIEL ARIZA ROSALES</t>
  </si>
  <si>
    <t>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89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</si>
  <si>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PUBLIO ANTONIO ORTEGA LANATA</t>
  </si>
  <si>
    <t>JESSICA MARIETA MORALES ZUÑIGA</t>
  </si>
  <si>
    <t>JOSE LUIS PILOZO HABLICH</t>
  </si>
  <si>
    <t>SELENA ALEJANDRA TAPIA BERMEO</t>
  </si>
  <si>
    <t>SIGMA 500</t>
  </si>
  <si>
    <t>CARLOS ADAN MICHUY MENDOZA</t>
  </si>
  <si>
    <t>ALONSO RIGOBERTO VALENCIA CHICA</t>
  </si>
  <si>
    <t>contable@lacasadelfrio.com.ec</t>
  </si>
  <si>
    <t>sky 70+</t>
  </si>
  <si>
    <t>ROSARIO ARACELY MORALES YAGUAL</t>
  </si>
  <si>
    <t>DEMORA EN CONTESTAR LLAMADA DE LA ASEGURADORA</t>
  </si>
  <si>
    <t>GONZALO ALBERTO BALLADARES COSTALES</t>
  </si>
  <si>
    <t>REDBRIDGE</t>
  </si>
  <si>
    <t>No. POLIZA</t>
  </si>
  <si>
    <t>EVELING ZORAIDA REYES ALAY</t>
  </si>
  <si>
    <t>STAR15 K</t>
  </si>
  <si>
    <t>evelingreyes28@hotmail.com</t>
  </si>
  <si>
    <t>KATHERINE GENOVEVA SAN LUCAS ARCE</t>
  </si>
  <si>
    <t>miliksan@gmail.com</t>
  </si>
  <si>
    <t>MIGUEL ANGEL BALDEON TAPIA</t>
  </si>
  <si>
    <t>GM25G53785</t>
  </si>
  <si>
    <t>CARMEN DE LOURDES CHAVEZ VILLAFUERTE</t>
  </si>
  <si>
    <t>CHRISTHEL SOLANGE CEVALLOS FALCONES</t>
  </si>
  <si>
    <t>ADRIANA DANIELA TERAN VILLAFUERTE</t>
  </si>
  <si>
    <t>GM25G53684</t>
  </si>
  <si>
    <t>SI25G45279</t>
  </si>
  <si>
    <t>ENVIADO A MARSEGUROS CON REGESTION DE CAMBIO DE VIGENCIA Y DEVOLUCION DE CUOTA</t>
  </si>
  <si>
    <t>SYMPHONY</t>
  </si>
  <si>
    <t>NATASHA NABILA CHONG QUI ESPINOZA</t>
  </si>
  <si>
    <t xml:space="preserve">EVA BETHSABE TRONCOSO VELEZ </t>
  </si>
  <si>
    <t>AC 35</t>
  </si>
  <si>
    <t>SHIRLEY MARLENE MORENO RODRIGUEZ</t>
  </si>
  <si>
    <t>AARON DE JESUS MORAL RODRIGUEZ</t>
  </si>
  <si>
    <t>LUCILA CONSUELO RODRIGUEZ OLIVERO</t>
  </si>
  <si>
    <t>TAMARA ELIZABETH MERCHAN ARREAGA</t>
  </si>
  <si>
    <t>RENE DIERS</t>
  </si>
  <si>
    <t>CARMEN SABANDO VARELA</t>
  </si>
  <si>
    <t>MARIA RODRIGUEZ NUQUEZ</t>
  </si>
  <si>
    <t>MARIA HUERTA HINOJOSA</t>
  </si>
  <si>
    <t>INGRESADO PORTAL CDELPINO</t>
  </si>
  <si>
    <t>LIDIA AZUCENA TOLEDO BRAVO</t>
  </si>
  <si>
    <t>CATALINA BETZABE MORA MUÑOZ</t>
  </si>
  <si>
    <t>KATHERINE MISHEL SAMANIEGO ZAVALA</t>
  </si>
  <si>
    <t>JOSE LEONARDO CARRION PACHECO</t>
  </si>
  <si>
    <t>LAURA CRISTINA REDIN QUITO</t>
  </si>
  <si>
    <t>SKY70</t>
  </si>
  <si>
    <t>BETSY MADELLINE ORDOÑEZ URBANO</t>
  </si>
  <si>
    <t>MARIA YAQUELIN CHICHANDE QUINTERO</t>
  </si>
  <si>
    <t xml:space="preserve">INGRESADO </t>
  </si>
  <si>
    <t>NAOMY ARIANA ROSAS MUÑOZ</t>
  </si>
  <si>
    <t>60% DESCUENTO EN PRIMERA CUOTA</t>
  </si>
  <si>
    <t>LILIANA SABRINA RANGEL CHAVEZ</t>
  </si>
  <si>
    <t>CARMEN ADRIANA SABANDO VARELA</t>
  </si>
  <si>
    <t>GM25G54066</t>
  </si>
  <si>
    <t>GM25G54063</t>
  </si>
  <si>
    <t>PAMELA DEL CARMEN ARIAS BARBA</t>
  </si>
  <si>
    <t>GM25G53971</t>
  </si>
  <si>
    <t>GM25G53887</t>
  </si>
  <si>
    <t>JEFFREY XAVIER CHASIN ORTEGA</t>
  </si>
  <si>
    <t>BI00773104</t>
  </si>
  <si>
    <t>IVAN ENRIQUE GONZALEZ PINCAY</t>
  </si>
  <si>
    <t>INGRESADO PORTAL ELITE VIDA</t>
  </si>
  <si>
    <t>SONIA CATALINA BARROS PAZMIÑO</t>
  </si>
  <si>
    <t>JIMMY XAVIER GARCIA MERO</t>
  </si>
  <si>
    <t>INGRESADO PORTAL DEL AGENTE</t>
  </si>
  <si>
    <t>JESENIA VANESSA TORRES BLACIO</t>
  </si>
  <si>
    <t>Póliza:</t>
  </si>
  <si>
    <t>CARLOS CESAR FERRIN ELIZALDE</t>
  </si>
  <si>
    <t>DANIEL ANDRES FERRIN ELIZALDE</t>
  </si>
  <si>
    <t>JOHANNA MARIBEL ORELLANA PONCE</t>
  </si>
  <si>
    <t>MICHELLE JERANEA MEJIA ESPINOZA</t>
  </si>
  <si>
    <t>DYLAN ALEJANDRO VILLON TENEZACA</t>
  </si>
  <si>
    <t>SOLANDA GLADYS ROQUE INTRIAGO</t>
  </si>
  <si>
    <t>NUMAN DANILO HURTADO PLAZA</t>
  </si>
  <si>
    <t>GRACE RENATA ANDINO MONTAÑO</t>
  </si>
  <si>
    <t>GM25G54175</t>
  </si>
  <si>
    <t>DARWIN YIMMY GOMEZ TORRES</t>
  </si>
  <si>
    <t>SHELLA NICOLE RIVERA CHILAN</t>
  </si>
  <si>
    <t>NICOLE DENNISE VIDAL ORDOÑEZ</t>
  </si>
  <si>
    <t>JUAN JAVIER FAJARDO ANCHUNDIA</t>
  </si>
  <si>
    <t>MIGUEL AGUSTIN MEJIA MONROY</t>
  </si>
  <si>
    <t>ARIANA DOLORES CEDEÑO SUAREZ</t>
  </si>
  <si>
    <t>GM25G54262</t>
  </si>
  <si>
    <t>INGRESADO PORTAL GYG</t>
  </si>
  <si>
    <t>INGRESADO POR LE PORTAL DEL AGENTE</t>
  </si>
  <si>
    <t>ANDREA ESTEFANIA ASTUDILLO POSLIGUA</t>
  </si>
  <si>
    <t>GUSTAVO XAVIER RODRIGUEZ ARTEAGA</t>
  </si>
  <si>
    <t>50% DESCUENTO PRIMERA CUOTA</t>
  </si>
  <si>
    <t>IVETTE ANDREINA FERRIN CEDEÑO</t>
  </si>
  <si>
    <t>KARLA NICHOL JARA ESTACIO</t>
  </si>
  <si>
    <t>STAR 30K</t>
  </si>
  <si>
    <t>GM25G54538</t>
  </si>
  <si>
    <t>DANIEL GREGORIO LUZURIAGA VILLON</t>
  </si>
  <si>
    <t>GEORGINA MARIA VILLON MATUTE</t>
  </si>
  <si>
    <t>GM25G54536</t>
  </si>
  <si>
    <t>INGRESADO POR EL CONNECTED CDELPINO</t>
  </si>
  <si>
    <t>DIANA MARIELLA GURUMENDI HERNANDEZ</t>
  </si>
  <si>
    <t>JORGE ANTONIO AVALOS LEON</t>
  </si>
  <si>
    <t>ANTONELLA IVETTE LOOR AVALOS</t>
  </si>
  <si>
    <t>EDUARDO BOLIVAR VIVANCO MALDONADO</t>
  </si>
  <si>
    <t>INGRESADO POR PORTAL CDELPINO</t>
  </si>
  <si>
    <t>EDUARDO JULIO SALAZAR CORREA</t>
  </si>
  <si>
    <t>INGRESADO PORTAL DIRECTOR</t>
  </si>
  <si>
    <t>JOSE DANIEL LAZO LARA</t>
  </si>
  <si>
    <t>RUTH ELENA SUAREZ CORDERO</t>
  </si>
  <si>
    <t>EMILIO IVAN GRANJA ZAMBRANO</t>
  </si>
  <si>
    <t>LOURDES MARILYN PAREDES ASENCIO</t>
  </si>
  <si>
    <t>AZARIA CHANTHELL LEDESMA ASPIAZU</t>
  </si>
  <si>
    <t>MARCO VINICIO BURNEO MOLINA</t>
  </si>
  <si>
    <t>CYNTHIA CAROLINA NIETO PAREDES</t>
  </si>
  <si>
    <t>RUTH KARINA HERMENEJILDO SOTOMAYOR</t>
  </si>
  <si>
    <t>GM25G54628</t>
  </si>
  <si>
    <t>INGRESADO CONNECTED CDELPINO</t>
  </si>
  <si>
    <t>emmita1987@outlook.com</t>
  </si>
  <si>
    <t>ALEXANDRA ELVIRA ZUÑIGA CEDEÑO</t>
  </si>
  <si>
    <t>JONATHAN EMILIO ARREAGA GALARZA</t>
  </si>
  <si>
    <t>EXPERIENCE LITE LATAM</t>
  </si>
  <si>
    <t>ASISKEN RODOLFO</t>
  </si>
  <si>
    <t>ASISKEN GABY</t>
  </si>
  <si>
    <t>BMI VIDA</t>
  </si>
  <si>
    <t>SEGOVIA MARILUZ MARTINEZ HOLGUIN</t>
  </si>
  <si>
    <t>GM25G54496</t>
  </si>
  <si>
    <t>JULIANA LEY YEN LAMA CHANG</t>
  </si>
  <si>
    <t>INGRESADO POR EL CANAL TRADICIONAL</t>
  </si>
  <si>
    <t>JEFFERSON ROBERTO MATAMORO DELGADO</t>
  </si>
  <si>
    <t>OPTIMUS 500</t>
  </si>
  <si>
    <t>CARLOS GUSTAVO RODRIGUEZ ROMERO</t>
  </si>
  <si>
    <t>ASISKEN ALEXANDRA MALDONADO</t>
  </si>
  <si>
    <t>MONICA ALEXANDRA CALDERON VANEGAS</t>
  </si>
  <si>
    <t>LUIS ISAAC ABAD ZEVALLOS</t>
  </si>
  <si>
    <t>DENNY ALEX ESPINOZA MURILLO</t>
  </si>
  <si>
    <t>x1x</t>
  </si>
  <si>
    <t>PUBLIO MEDARDO ORTEGA PEREIRA</t>
  </si>
  <si>
    <t>SPECIALITYMED CIA. LTDA.</t>
  </si>
  <si>
    <t xml:space="preserve">POOL </t>
  </si>
  <si>
    <t>POOL EMPRESARIAL MENSUAL</t>
  </si>
  <si>
    <t>CESAR ALFONSO VERA PIEDRA</t>
  </si>
  <si>
    <t>INGRESADO PORTAL AGENTE</t>
  </si>
  <si>
    <t>MARTHA ISABEL ANDRADE YCAZA</t>
  </si>
  <si>
    <t>VIGENCIA 16 DE ABRIL</t>
  </si>
  <si>
    <t>MONICA VALVERDE</t>
  </si>
  <si>
    <t>ANGELES AUDELITH GARCIA IZURIETA</t>
  </si>
  <si>
    <t>OPTIMUS 70-5K</t>
  </si>
  <si>
    <t>WILBERT ARTURO PEREZ RAMOS</t>
  </si>
  <si>
    <t>GM25G54861</t>
  </si>
  <si>
    <t>WILLIAM EDUARDO ROMERO MORAN</t>
  </si>
  <si>
    <t>PLAN VITAL</t>
  </si>
  <si>
    <t>KIDS PH 15</t>
  </si>
  <si>
    <t>INGRESADO POR EL PORTAL DE ELITE</t>
  </si>
  <si>
    <t>GM25G54313</t>
  </si>
  <si>
    <t>LILIA PATRICIA OCHOA BRITO</t>
  </si>
  <si>
    <t>ERIKA GEOVANNA PONCE MIRANDA</t>
  </si>
  <si>
    <t>RICARDO ROGELIO ROSALES RAMOS</t>
  </si>
  <si>
    <t>CHRISTIAN JAMPIER MIRABA ROMERO</t>
  </si>
  <si>
    <t>INGRESADO PORTAL ELITE</t>
  </si>
  <si>
    <t>INGRESADO POR MEDIO DE AXIS</t>
  </si>
  <si>
    <t>E</t>
  </si>
  <si>
    <t>MARIA VERONICA TERAN OLMEDO</t>
  </si>
  <si>
    <t>40% DESDECUENTO EN PRIMERA CUOTA</t>
  </si>
  <si>
    <t>BRAYAN CAMILO FRANCO GOMEZ</t>
  </si>
  <si>
    <t>INGRESADO PORTAL</t>
  </si>
  <si>
    <t>KIANA ABIGAIL GUZÑAY CHAUG</t>
  </si>
  <si>
    <t>ELITE 70</t>
  </si>
  <si>
    <t>NELIDA ISABEL VASQUEZ ALCIVAR</t>
  </si>
  <si>
    <t>2025</t>
  </si>
  <si>
    <t>MARIA ELENA OCHOA AZUERO</t>
  </si>
  <si>
    <t>INGRESADO POR AXIS</t>
  </si>
  <si>
    <t>BYRON AGUSTIN GOMEZ TORRES</t>
  </si>
  <si>
    <t>JOSSUE GERARDO CHAVEZ JIMENEZ</t>
  </si>
  <si>
    <t>CHRISTOPHER</t>
  </si>
  <si>
    <t>ENVIADO DIRECTAMENTE POR EL AGENTE A MARIO MONCAYO</t>
  </si>
  <si>
    <t>BMI G&amp;G</t>
  </si>
  <si>
    <t>ROSA ALEXANDRA DELGADO ORELLANA</t>
  </si>
  <si>
    <t>OPTIMUS 150</t>
  </si>
  <si>
    <t>jeniariana0412@gmail.com</t>
  </si>
  <si>
    <t>GM25G55075</t>
  </si>
  <si>
    <t>GM25G55043</t>
  </si>
  <si>
    <t>NICOLAS OMAR ORTEGA LANATA</t>
  </si>
  <si>
    <t>JAVIER EDUARDO PACTONG LUCERO</t>
  </si>
  <si>
    <t>CONTADO</t>
  </si>
  <si>
    <t>PAGADO DE CONTADO INGRESADO EN EL PORTAL G&amp;G</t>
  </si>
  <si>
    <t>INGRESADO PORTAL G&amp;G</t>
  </si>
  <si>
    <t>MARIA JOSE MARTINEZ CARRASCO</t>
  </si>
  <si>
    <t>martinezcarrasco@hotmail.es</t>
  </si>
  <si>
    <t>HILDA ROXANA MOYA GONZALEZ</t>
  </si>
  <si>
    <t>MARJORIE LISETTE SOLEDISPA BELTRAN</t>
  </si>
  <si>
    <t>GM25G55159</t>
  </si>
  <si>
    <t>ROSA ERCILIA CEDEÑO VELEZ</t>
  </si>
  <si>
    <t>SE SOLCITO ELIMINACION DE DISCAPACIDAD</t>
  </si>
  <si>
    <t>ASISDENT</t>
  </si>
  <si>
    <t>KARLA ABIGAIL MOLINA GONZALEZ</t>
  </si>
  <si>
    <t>s</t>
  </si>
  <si>
    <t>ZOILA MARTHA MARTINEZ ESPINOZA</t>
  </si>
  <si>
    <t>CYNTHIA BRIGITTE VASQUEZ JARAMILLO</t>
  </si>
  <si>
    <t>RAÚL AVILES</t>
  </si>
  <si>
    <t>ROMINA ISABELLA ANDRADE HERRERA</t>
  </si>
  <si>
    <t xml:space="preserve">ERICK SANTOS QUIMI TIGUERO </t>
  </si>
  <si>
    <t>EVELYN LORENA HERRERA CHAVEZ</t>
  </si>
  <si>
    <t>JULISSA TATIANA JAMA PILAY</t>
  </si>
  <si>
    <t>GASTON ENRIQUE TORRES PARRALES</t>
  </si>
  <si>
    <t>DOLORES LILIVETH GIRALDO MARTINEZ</t>
  </si>
  <si>
    <t>40% DESCUENTO EN PRIMERA CUOTA</t>
  </si>
  <si>
    <t>ERICKA JULISSA SALTOS MARTINEZ</t>
  </si>
  <si>
    <t>EDUARDO PAUL FERNANDEZ CEVALLOS</t>
  </si>
  <si>
    <t>CARLA MARIA SALAS CASTILLO</t>
  </si>
  <si>
    <t>INGRESADO SIN DESCUENTO</t>
  </si>
  <si>
    <t>MARIA FERNANDA ORTIZ GOVEA</t>
  </si>
  <si>
    <t xml:space="preserve">CARLOS ALBERTO NEIRA NUQUES </t>
  </si>
  <si>
    <t>CAMILA LISSETTE ESTRADA VERDUGA</t>
  </si>
  <si>
    <t>INCLUSION JULIO ARRATA</t>
  </si>
  <si>
    <t>(en blanco)</t>
  </si>
  <si>
    <t>MARIO GUSTAVO MONCAYO GAME</t>
  </si>
  <si>
    <t>PAULA DANIELA OCAMPO CAÑIZARES</t>
  </si>
  <si>
    <t>MARIA GABRIELA VALAREZO AVILES</t>
  </si>
  <si>
    <t>ANDREA CECILIA RUIZ VASQUEZ</t>
  </si>
  <si>
    <t>FELIX MARTIN AVILEZ VILLAVICENCIO</t>
  </si>
  <si>
    <t>WALTER SAUL DOMINGUEZ SUAREZ</t>
  </si>
  <si>
    <t>ANA FABIOLA PAZMIÑO JACOME</t>
  </si>
  <si>
    <t>RUBEN ALFREDO HERMENEGILDO CHONG</t>
  </si>
  <si>
    <t>GM25G55426</t>
  </si>
  <si>
    <t>LILLY NICOLE NOVILLO SILVA</t>
  </si>
  <si>
    <t>KEVIN ALEXANDER SALVATIERRA PITA</t>
  </si>
  <si>
    <t>50% EN PRIMERA CUOTA</t>
  </si>
  <si>
    <t>EXPERIENCE WORLD 3.0</t>
  </si>
  <si>
    <t>ERICKA CRISTINA MARTINEZ BONILLA</t>
  </si>
  <si>
    <t>LHEYLA MORALES CEVALLOS</t>
  </si>
  <si>
    <t>NARCISA MORALES MONTAÑO</t>
  </si>
  <si>
    <t>IVAN LIMONGI</t>
  </si>
  <si>
    <t>MARIA PAULA HERRERA BURNEO</t>
  </si>
  <si>
    <t>INGRESADO POR EL AGENTE, APLICA 20% DESCUENTO 1RA CUOTA</t>
  </si>
  <si>
    <t>FABRICIO ORELLANA</t>
  </si>
  <si>
    <t>LILIANA SALLY CORNEJO CARRIEL</t>
  </si>
  <si>
    <t>70% DESCUENTO EN PRIMERA CUOTA</t>
  </si>
  <si>
    <t>GM25G55529</t>
  </si>
  <si>
    <t>JAVIER OLAJUWON GUZMAN CEDEÑO</t>
  </si>
  <si>
    <t>VALERY MICHELLE VELEZ MOREIRA</t>
  </si>
  <si>
    <t>GM25G55564</t>
  </si>
  <si>
    <t>MARIA LAURA BOHORQUEZ MOSQUERA</t>
  </si>
  <si>
    <t>NGRESADO POR EL AGENTE, APLICA 60% DESCUENTO 1RA CUOTA</t>
  </si>
  <si>
    <t>NAHOMI SOLEDAD GUZMAN CEDEÑO</t>
  </si>
  <si>
    <t>GM25G55532</t>
  </si>
  <si>
    <t>INGRESADO POR EL AGENTE, APLICA 60% DESCUENTO 1RA CUOTA</t>
  </si>
  <si>
    <t>NATACHA BELEN MELO VELEZ</t>
  </si>
  <si>
    <t>DIANA PRISCILA HOLGUIN MERCHAN</t>
  </si>
  <si>
    <t>SAMIA NICOLE LOPEZ CEDEÑO</t>
  </si>
  <si>
    <t>MARIA ELENA MENDEZ MOSQUERA</t>
  </si>
  <si>
    <t>NABIL ANDRES ESPAÑA SOLANO</t>
  </si>
  <si>
    <t>FATIMA MARLENE CEDEÑO CEDEÑO</t>
  </si>
  <si>
    <t>GM25G55596</t>
  </si>
  <si>
    <t>ENVIADO PORTAL DEL AGENTE 20% DESC PRIMERA CUOTA</t>
  </si>
  <si>
    <t>GM25G55554</t>
  </si>
  <si>
    <t>CONNIE MARLENE MAN HING LOPEZ</t>
  </si>
  <si>
    <t>SONNIA SANCHEZ</t>
  </si>
  <si>
    <t>NANCY CHICHI FREIRE ROMERO</t>
  </si>
  <si>
    <t>GALO ALEJANDRO VINCES DELGADO</t>
  </si>
  <si>
    <t>FECHA DE RENOVACION</t>
  </si>
  <si>
    <t>RENOVACION</t>
  </si>
  <si>
    <t>29/2/2025</t>
  </si>
  <si>
    <t>RENOVADA</t>
  </si>
  <si>
    <t>ANULADA</t>
  </si>
  <si>
    <t>ALZA DE PRECIOS</t>
  </si>
  <si>
    <t>INCONFORMIDAD DEL SERVICIO</t>
  </si>
  <si>
    <t>VIAJE</t>
  </si>
  <si>
    <t>POR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</si>
</sst>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&quot;$&quot;* #,##0.00_ ;_ &quot;$&quot;* \-#,##0.00_ ;_ &quot;$&quot;* &quot;-&quot;??_ ;_ @_ "/>
    <numFmt numFmtId="165" formatCode="_ * #,##0.00_ ;_ * \-#,##0.00_ ;_ * &quot;-&quot;??_ ;_ @_ "/>
    <numFmt numFmtId="166" formatCode="[$-F800]dddd\,\ mmmm\ dd\,\ yyyy"/>
    <numFmt numFmtId="167" formatCode="0000000000"/>
    <numFmt numFmtId="168" formatCode="[Red]#\ &quot;CADUCADO&quot;;[Green]#\ &quot;POR CADUCAR&quot;;[Blue]#\ &quot;RENOVAR&quot;"/>
    <numFmt numFmtId="169" formatCode="mmmm\-yyyy"/>
    <numFmt numFmtId="170" formatCode="d/mmm/yyyy"/>
    <numFmt numFmtId="171" formatCode="_ * #,##0_ ;_ * \-#,##0_ ;_ * &quot;-&quot;??_ ;_ @_ "/>
    <numFmt numFmtId="172" formatCode="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5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  <font>
      <sz val="9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2" applyFont="1" applyAlignment="1">
      <alignment horizontal="center"/>
    </xf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67" fontId="3" fillId="2" borderId="0" xfId="0" applyNumberFormat="1" applyFont="1" applyFill="1" applyAlignment="1">
      <alignment horizontal="center" vertical="center" wrapText="1"/>
    </xf>
    <xf numFmtId="164" fontId="3" fillId="2" borderId="2" xfId="2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2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/>
    </xf>
    <xf numFmtId="164" fontId="6" fillId="0" borderId="0" xfId="2" applyFont="1" applyAlignment="1">
      <alignment horizontal="center"/>
    </xf>
    <xf numFmtId="167" fontId="2" fillId="0" borderId="0" xfId="0" quotePrefix="1" applyNumberFormat="1" applyFont="1" applyAlignment="1">
      <alignment horizontal="center" vertical="center"/>
    </xf>
    <xf numFmtId="164" fontId="2" fillId="0" borderId="0" xfId="2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4" fontId="0" fillId="0" borderId="0" xfId="2" applyFont="1"/>
    <xf numFmtId="164" fontId="0" fillId="0" borderId="0" xfId="0" applyNumberFormat="1"/>
    <xf numFmtId="0" fontId="0" fillId="0" borderId="0" xfId="0" pivotButton="1" applyAlignment="1">
      <alignment horizontal="center" vertical="center" wrapText="1"/>
    </xf>
    <xf numFmtId="17" fontId="10" fillId="4" borderId="2" xfId="0" applyNumberFormat="1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0" borderId="2" xfId="0" applyBorder="1"/>
    <xf numFmtId="164" fontId="0" fillId="0" borderId="2" xfId="2" applyFont="1" applyBorder="1"/>
    <xf numFmtId="164" fontId="12" fillId="3" borderId="2" xfId="2" applyFont="1" applyFill="1" applyBorder="1"/>
    <xf numFmtId="0" fontId="12" fillId="3" borderId="2" xfId="0" applyFont="1" applyFill="1" applyBorder="1"/>
    <xf numFmtId="164" fontId="8" fillId="0" borderId="2" xfId="0" applyNumberFormat="1" applyFont="1" applyBorder="1"/>
    <xf numFmtId="164" fontId="11" fillId="5" borderId="2" xfId="2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170" fontId="3" fillId="2" borderId="2" xfId="0" applyNumberFormat="1" applyFont="1" applyFill="1" applyBorder="1" applyAlignment="1">
      <alignment horizontal="center" vertical="center" wrapText="1"/>
    </xf>
    <xf numFmtId="170" fontId="2" fillId="0" borderId="0" xfId="0" applyNumberFormat="1" applyFont="1" applyAlignment="1">
      <alignment horizontal="center" vertical="center"/>
    </xf>
    <xf numFmtId="164" fontId="12" fillId="3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9" borderId="0" xfId="0" applyFill="1"/>
    <xf numFmtId="0" fontId="0" fillId="9" borderId="0" xfId="0" applyFill="1" applyAlignment="1">
      <alignment horizontal="center"/>
    </xf>
    <xf numFmtId="164" fontId="0" fillId="9" borderId="0" xfId="2" applyFont="1" applyFill="1"/>
    <xf numFmtId="17" fontId="0" fillId="9" borderId="0" xfId="0" applyNumberFormat="1" applyFill="1"/>
    <xf numFmtId="17" fontId="0" fillId="9" borderId="0" xfId="0" applyNumberFormat="1" applyFill="1" applyAlignment="1">
      <alignment horizontal="center"/>
    </xf>
    <xf numFmtId="0" fontId="14" fillId="0" borderId="0" xfId="0" applyFont="1" applyAlignment="1">
      <alignment vertical="center"/>
    </xf>
    <xf numFmtId="167" fontId="14" fillId="0" borderId="0" xfId="0" applyNumberFormat="1" applyFont="1" applyAlignment="1">
      <alignment vertical="center"/>
    </xf>
    <xf numFmtId="0" fontId="13" fillId="0" borderId="0" xfId="1" applyNumberFormat="1" applyFont="1" applyAlignment="1">
      <alignment horizontal="left" vertical="center"/>
    </xf>
    <xf numFmtId="0" fontId="14" fillId="0" borderId="0" xfId="0" applyFont="1" applyAlignment="1">
      <alignment horizontal="center"/>
    </xf>
    <xf numFmtId="164" fontId="14" fillId="0" borderId="0" xfId="2" applyFont="1" applyAlignment="1">
      <alignment horizontal="center"/>
    </xf>
    <xf numFmtId="0" fontId="14" fillId="0" borderId="0" xfId="0" applyFont="1"/>
    <xf numFmtId="0" fontId="0" fillId="11" borderId="0" xfId="0" applyFill="1" applyAlignment="1">
      <alignment horizontal="left"/>
    </xf>
    <xf numFmtId="164" fontId="0" fillId="11" borderId="0" xfId="2" applyFont="1" applyFill="1"/>
    <xf numFmtId="0" fontId="0" fillId="12" borderId="0" xfId="0" applyFill="1" applyAlignment="1">
      <alignment horizontal="left"/>
    </xf>
    <xf numFmtId="164" fontId="0" fillId="12" borderId="0" xfId="2" applyFont="1" applyFill="1"/>
    <xf numFmtId="0" fontId="0" fillId="13" borderId="0" xfId="0" applyFill="1" applyAlignment="1">
      <alignment horizontal="left"/>
    </xf>
    <xf numFmtId="164" fontId="0" fillId="13" borderId="0" xfId="2" applyFont="1" applyFill="1"/>
    <xf numFmtId="0" fontId="0" fillId="14" borderId="0" xfId="0" applyFill="1" applyAlignment="1">
      <alignment horizontal="left"/>
    </xf>
    <xf numFmtId="164" fontId="0" fillId="14" borderId="0" xfId="2" applyFont="1" applyFill="1"/>
    <xf numFmtId="0" fontId="0" fillId="15" borderId="0" xfId="0" applyFill="1" applyAlignment="1">
      <alignment horizontal="left"/>
    </xf>
    <xf numFmtId="164" fontId="0" fillId="15" borderId="0" xfId="2" applyFont="1" applyFill="1"/>
    <xf numFmtId="0" fontId="0" fillId="16" borderId="0" xfId="0" applyFill="1" applyAlignment="1">
      <alignment horizontal="left"/>
    </xf>
    <xf numFmtId="164" fontId="0" fillId="16" borderId="0" xfId="2" applyFont="1" applyFill="1"/>
    <xf numFmtId="0" fontId="15" fillId="2" borderId="2" xfId="0" applyFont="1" applyFill="1" applyBorder="1" applyAlignment="1">
      <alignment horizontal="center" vertical="center" wrapText="1"/>
    </xf>
    <xf numFmtId="0" fontId="14" fillId="18" borderId="0" xfId="0" applyFont="1" applyFill="1" applyAlignment="1">
      <alignment horizontal="center" vertical="center"/>
    </xf>
    <xf numFmtId="164" fontId="2" fillId="19" borderId="0" xfId="0" applyNumberFormat="1" applyFont="1" applyFill="1" applyAlignment="1">
      <alignment horizontal="center" vertical="center"/>
    </xf>
    <xf numFmtId="164" fontId="0" fillId="0" borderId="2" xfId="0" applyNumberFormat="1" applyBorder="1"/>
    <xf numFmtId="164" fontId="0" fillId="0" borderId="0" xfId="2" applyFont="1" applyBorder="1"/>
    <xf numFmtId="17" fontId="10" fillId="4" borderId="2" xfId="0" quotePrefix="1" applyNumberFormat="1" applyFont="1" applyFill="1" applyBorder="1" applyAlignment="1">
      <alignment horizontal="center" vertical="center" wrapText="1"/>
    </xf>
    <xf numFmtId="0" fontId="12" fillId="20" borderId="0" xfId="0" applyFont="1" applyFill="1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9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vertical="center"/>
    </xf>
    <xf numFmtId="171" fontId="2" fillId="0" borderId="0" xfId="1" applyNumberFormat="1" applyFont="1"/>
    <xf numFmtId="0" fontId="6" fillId="0" borderId="0" xfId="1" applyNumberFormat="1" applyFont="1" applyAlignment="1">
      <alignment horizontal="center"/>
    </xf>
    <xf numFmtId="0" fontId="6" fillId="0" borderId="0" xfId="1" applyNumberFormat="1" applyFont="1" applyAlignment="1">
      <alignment horizontal="center" vertical="center"/>
    </xf>
    <xf numFmtId="164" fontId="0" fillId="0" borderId="0" xfId="2" applyFont="1" applyAlignment="1">
      <alignment horizontal="left" vertical="center"/>
    </xf>
    <xf numFmtId="170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67" fontId="24" fillId="0" borderId="0" xfId="0" quotePrefix="1" applyNumberFormat="1" applyFont="1" applyAlignment="1">
      <alignment horizontal="center" vertical="center"/>
    </xf>
    <xf numFmtId="164" fontId="24" fillId="0" borderId="0" xfId="2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168" fontId="24" fillId="0" borderId="0" xfId="0" applyNumberFormat="1" applyFont="1" applyAlignment="1">
      <alignment horizontal="center"/>
    </xf>
    <xf numFmtId="164" fontId="24" fillId="0" borderId="0" xfId="2" applyFont="1" applyAlignment="1">
      <alignment horizontal="center"/>
    </xf>
    <xf numFmtId="168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right" vertical="center"/>
    </xf>
    <xf numFmtId="170" fontId="0" fillId="0" borderId="0" xfId="0" applyNumberFormat="1" applyAlignment="1">
      <alignment horizontal="center"/>
    </xf>
    <xf numFmtId="0" fontId="0" fillId="21" borderId="0" xfId="0" applyFill="1" applyAlignment="1">
      <alignment horizontal="center" vertical="center" wrapText="1"/>
    </xf>
    <xf numFmtId="14" fontId="0" fillId="0" borderId="0" xfId="0" applyNumberFormat="1"/>
    <xf numFmtId="0" fontId="26" fillId="0" borderId="0" xfId="0" applyFont="1" applyAlignment="1">
      <alignment horizontal="center" vertical="center"/>
    </xf>
    <xf numFmtId="164" fontId="8" fillId="0" borderId="0" xfId="0" applyNumberFormat="1" applyFont="1"/>
    <xf numFmtId="172" fontId="5" fillId="0" borderId="0" xfId="1" applyNumberFormat="1" applyFont="1" applyAlignment="1">
      <alignment horizontal="center" vertical="center"/>
    </xf>
    <xf numFmtId="172" fontId="1" fillId="0" borderId="0" xfId="1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 wrapText="1"/>
    </xf>
    <xf numFmtId="172" fontId="5" fillId="0" borderId="0" xfId="0" applyNumberFormat="1" applyFont="1"/>
    <xf numFmtId="170" fontId="2" fillId="22" borderId="6" xfId="0" applyNumberFormat="1" applyFont="1" applyFill="1" applyBorder="1" applyAlignment="1">
      <alignment horizontal="center" vertical="center"/>
    </xf>
    <xf numFmtId="49" fontId="2" fillId="22" borderId="7" xfId="0" applyNumberFormat="1" applyFont="1" applyFill="1" applyBorder="1" applyAlignment="1">
      <alignment horizontal="center" vertical="center"/>
    </xf>
    <xf numFmtId="0" fontId="2" fillId="22" borderId="7" xfId="0" applyFont="1" applyFill="1" applyBorder="1" applyAlignment="1">
      <alignment horizontal="center" vertical="center"/>
    </xf>
    <xf numFmtId="164" fontId="2" fillId="22" borderId="7" xfId="2" applyFont="1" applyFill="1" applyBorder="1" applyAlignment="1">
      <alignment horizontal="center" vertical="center"/>
    </xf>
    <xf numFmtId="164" fontId="2" fillId="22" borderId="7" xfId="0" applyNumberFormat="1" applyFont="1" applyFill="1" applyBorder="1" applyAlignment="1">
      <alignment horizontal="center" vertical="center"/>
    </xf>
    <xf numFmtId="0" fontId="5" fillId="22" borderId="7" xfId="0" applyFont="1" applyFill="1" applyBorder="1" applyAlignment="1">
      <alignment horizontal="center" vertical="center"/>
    </xf>
    <xf numFmtId="170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7" xfId="2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2" fillId="19" borderId="7" xfId="0" applyNumberFormat="1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/>
    <xf numFmtId="0" fontId="17" fillId="17" borderId="1" xfId="0" applyFont="1" applyFill="1" applyBorder="1" applyAlignment="1">
      <alignment horizontal="center" vertical="center"/>
    </xf>
    <xf numFmtId="166" fontId="13" fillId="18" borderId="1" xfId="0" applyNumberFormat="1" applyFont="1" applyFill="1" applyBorder="1" applyAlignment="1">
      <alignment horizontal="center" vertical="center"/>
    </xf>
    <xf numFmtId="170" fontId="16" fillId="1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</cellXfs>
  <cellStyles count="4">
    <cellStyle name="Hipervínculo" xfId="3" builtinId="8"/>
    <cellStyle name="Millares" xfId="1" builtinId="3"/>
    <cellStyle name="Moneda" xfId="2" builtinId="4"/>
    <cellStyle name="Normal" xfId="0" builtinId="0"/>
  </cellStyles>
  <dxfs count="3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99FF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0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70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70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70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73" formatCode="d/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_ &quot;$&quot;* #,##0.00_ ;_ &quot;$&quot;* \-#,##0.00_ ;_ &quot;$&quot;* &quot;-&quot;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7" formatCode="000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7" formatCode="000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70" formatCode="d/m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70" formatCode="d/m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alignment wrapText="1"/>
    </dxf>
    <dxf>
      <alignment wrapText="1"/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vertical="center"/>
    </dxf>
    <dxf>
      <alignment wrapText="1"/>
    </dxf>
    <dxf>
      <alignment horizontal="center"/>
    </dxf>
    <dxf>
      <alignment horizontal="center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vertical="center"/>
    </dxf>
    <dxf>
      <alignment horizontal="center"/>
    </dxf>
    <dxf>
      <alignment wrapText="1"/>
    </dxf>
    <dxf>
      <numFmt numFmtId="164" formatCode="_ &quot;$&quot;* #,##0.00_ ;_ &quot;$&quot;* \-#,##0.00_ ;_ &quot;$&quot;* &quot;-&quot;??_ ;_ @_ "/>
    </dxf>
    <dxf>
      <numFmt numFmtId="173" formatCode="d/m/yyyy"/>
    </dxf>
    <dxf>
      <numFmt numFmtId="173" formatCode="d/m/yyyy"/>
    </dxf>
    <dxf>
      <numFmt numFmtId="173" formatCode="d/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9999FF"/>
      <color rgb="FFFF00FF"/>
      <color rgb="FFFF99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microsoft.com/office/2007/relationships/slicerCache" Target="slicerCaches/slicerCache6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5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119698</xdr:colOff>
      <xdr:row>0</xdr:row>
      <xdr:rowOff>88410</xdr:rowOff>
    </xdr:from>
    <xdr:to>
      <xdr:col>2</xdr:col>
      <xdr:colOff>672818</xdr:colOff>
      <xdr:row>0</xdr:row>
      <xdr:rowOff>664434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DA7D5A0-1FFB-46D5-AB05-E08780D88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8" y="88410"/>
          <a:ext cx="2168046" cy="576024"/>
        </a:xfrm>
        <a:prstGeom prst="rect">
          <a:avLst/>
        </a:prstGeom>
      </xdr:spPr>
    </xdr:pic>
    <xdr:clientData/>
  </xdr:twoCellAnchor>
  <xdr:twoCellAnchor>
    <xdr:from>
      <xdr:col>6</xdr:col>
      <xdr:colOff>5080</xdr:colOff>
      <xdr:row>2</xdr:row>
      <xdr:rowOff>2241</xdr:rowOff>
    </xdr:from>
    <xdr:to>
      <xdr:col>14</xdr:col>
      <xdr:colOff>9646</xdr:colOff>
      <xdr:row>39</xdr:row>
      <xdr:rowOff>173620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42DB0F0C-FFEE-450B-8B12-35B282E4F5B1}"/>
            </a:ext>
          </a:extLst>
        </xdr:cNvPr>
        <xdr:cNvGrpSpPr/>
      </xdr:nvGrpSpPr>
      <xdr:grpSpPr>
        <a:xfrm>
          <a:off x="6154131" y="942684"/>
          <a:ext cx="7238743" cy="7566316"/>
          <a:chOff x="6023915" y="937861"/>
          <a:chExt cx="7084415" cy="7511658"/>
        </a:xfrm>
      </xdr:grpSpPr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0" name="TIPO DE CONTRATO">
                <a:extLst>
                  <a:ext uri="{FF2B5EF4-FFF2-40B4-BE49-F238E27FC236}">
                    <a16:creationId xmlns:a16="http://schemas.microsoft.com/office/drawing/2014/main" id="{1E528EC1-821D-4EAD-8667-6D3BB7DDF938}"/>
                  </a:ext>
                </a:extLst>
              </xdr:cNvPr>
              <xdr:cNvGraphicFramePr/>
            </xdr:nvGraphicFramePr>
            <xdr:xfrm>
              <a:off x="6063449" y="4277449"/>
              <a:ext cx="7035235" cy="895277"/>
            </xdr:xfrm>
            <a:graphic>
              <a:graphicData uri="http://schemas.microsoft.com/office/drawing/2010/slicer">
                <sle:slicer xmlns:sle="http://schemas.microsoft.com/office/drawing/2010/slicer" name="TIPO DE CONTRATO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89829" y="4277449"/>
                <a:ext cx="7035234" cy="895277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5" name="AGENTE">
                <a:extLst>
                  <a:ext uri="{FF2B5EF4-FFF2-40B4-BE49-F238E27FC236}">
                    <a16:creationId xmlns:a16="http://schemas.microsoft.com/office/drawing/2014/main" id="{3CE95CE5-4E83-41D7-BA05-07DEC9E40E5E}"/>
                  </a:ext>
                </a:extLst>
              </xdr:cNvPr>
              <xdr:cNvGraphicFramePr/>
            </xdr:nvGraphicFramePr>
            <xdr:xfrm>
              <a:off x="6032205" y="5217743"/>
              <a:ext cx="7056832" cy="3231776"/>
            </xdr:xfrm>
            <a:graphic>
              <a:graphicData uri="http://schemas.microsoft.com/office/drawing/2010/slicer">
                <sle:slicer xmlns:sle="http://schemas.microsoft.com/office/drawing/2010/slicer" name="AGENTE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8585" y="5217743"/>
                <a:ext cx="7056831" cy="3231776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2" name="SALA">
                <a:extLst>
                  <a:ext uri="{FF2B5EF4-FFF2-40B4-BE49-F238E27FC236}">
                    <a16:creationId xmlns:a16="http://schemas.microsoft.com/office/drawing/2014/main" id="{E6E86A7B-8BD5-41E1-B114-AC0B1BAA6898}"/>
                  </a:ext>
                </a:extLst>
              </xdr:cNvPr>
              <xdr:cNvGraphicFramePr/>
            </xdr:nvGraphicFramePr>
            <xdr:xfrm>
              <a:off x="8688536" y="937861"/>
              <a:ext cx="4412461" cy="944054"/>
            </xdr:xfrm>
            <a:graphic>
              <a:graphicData uri="http://schemas.microsoft.com/office/drawing/2010/slicer">
                <sle:slicer xmlns:sle="http://schemas.microsoft.com/office/drawing/2010/slicer" name="SALA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8514916" y="937861"/>
                <a:ext cx="4412460" cy="94405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3" name="Años">
                <a:extLst>
                  <a:ext uri="{FF2B5EF4-FFF2-40B4-BE49-F238E27FC236}">
                    <a16:creationId xmlns:a16="http://schemas.microsoft.com/office/drawing/2014/main" id="{8EC89179-FA34-426E-98FA-221A836AFB9B}"/>
                  </a:ext>
                </a:extLst>
              </xdr:cNvPr>
              <xdr:cNvGraphicFramePr/>
            </xdr:nvGraphicFramePr>
            <xdr:xfrm>
              <a:off x="6023915" y="938161"/>
              <a:ext cx="2659155" cy="923435"/>
            </xdr:xfrm>
            <a:graphic>
              <a:graphicData uri="http://schemas.microsoft.com/office/drawing/2010/slicer">
                <sle:slicer xmlns:sle="http://schemas.microsoft.com/office/drawing/2010/slicer" name="Año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0295" y="938161"/>
                <a:ext cx="2659155" cy="92343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4" name="Trimestres">
                <a:extLst>
                  <a:ext uri="{FF2B5EF4-FFF2-40B4-BE49-F238E27FC236}">
                    <a16:creationId xmlns:a16="http://schemas.microsoft.com/office/drawing/2014/main" id="{010D5578-5CEA-4FBD-8D92-4431D4F3F7E3}"/>
                  </a:ext>
                </a:extLst>
              </xdr:cNvPr>
              <xdr:cNvGraphicFramePr/>
            </xdr:nvGraphicFramePr>
            <xdr:xfrm>
              <a:off x="6027612" y="1875195"/>
              <a:ext cx="2171122" cy="979893"/>
            </xdr:xfrm>
            <a:graphic>
              <a:graphicData uri="http://schemas.microsoft.com/office/drawing/2010/slicer">
                <sle:slicer xmlns:sle="http://schemas.microsoft.com/office/drawing/2010/slicer" name="Trimestre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3992" y="1875195"/>
                <a:ext cx="2171122" cy="97989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6" name="MES">
                <a:extLst>
                  <a:ext uri="{FF2B5EF4-FFF2-40B4-BE49-F238E27FC236}">
                    <a16:creationId xmlns:a16="http://schemas.microsoft.com/office/drawing/2014/main" id="{023600FE-3E28-429C-ABB7-821BD1227285}"/>
                  </a:ext>
                </a:extLst>
              </xdr:cNvPr>
              <xdr:cNvGraphicFramePr/>
            </xdr:nvGraphicFramePr>
            <xdr:xfrm>
              <a:off x="8092633" y="1876023"/>
              <a:ext cx="5015697" cy="939195"/>
            </xdr:xfrm>
            <a:graphic>
              <a:graphicData uri="http://schemas.microsoft.com/office/drawing/2010/slicer">
                <sle:slicer xmlns:sle="http://schemas.microsoft.com/office/drawing/2010/slicer" name="ME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919013" y="1876023"/>
                <a:ext cx="5015696" cy="93919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7" name="ASEGURADORA">
                <a:extLst>
                  <a:ext uri="{FF2B5EF4-FFF2-40B4-BE49-F238E27FC236}">
                    <a16:creationId xmlns:a16="http://schemas.microsoft.com/office/drawing/2014/main" id="{305C2691-CCDC-4D95-90FF-87FE08172287}"/>
                  </a:ext>
                </a:extLst>
              </xdr:cNvPr>
              <xdr:cNvGraphicFramePr/>
            </xdr:nvGraphicFramePr>
            <xdr:xfrm>
              <a:off x="6029127" y="2821915"/>
              <a:ext cx="7069557" cy="1443109"/>
            </xdr:xfrm>
            <a:graphic>
              <a:graphicData uri="http://schemas.microsoft.com/office/drawing/2010/slicer">
                <sle:slicer xmlns:sle="http://schemas.microsoft.com/office/drawing/2010/slicer" name="ASEGURADORA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5507" y="2821915"/>
                <a:ext cx="7069556" cy="144310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4</xdr:col>
      <xdr:colOff>190500</xdr:colOff>
      <xdr:row>28</xdr:row>
      <xdr:rowOff>89480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A17DF017-5670-4BA8-88FB-E1E138E7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06240"/>
          <a:ext cx="2324100" cy="63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1150620</xdr:colOff>
      <xdr:row>0</xdr:row>
      <xdr:rowOff>114300</xdr:rowOff>
    </xdr:from>
    <xdr:to>
      <xdr:col>5</xdr:col>
      <xdr:colOff>468180</xdr:colOff>
      <xdr:row>5</xdr:row>
      <xdr:rowOff>100204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E09657-6899-4197-93B2-457D92B48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114300"/>
          <a:ext cx="3600000" cy="90030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0</xdr:rowOff>
        </xdr:from>
        <xdr:to>
          <xdr:col>13</xdr:col>
          <xdr:colOff>0</xdr:colOff>
          <xdr:row>22</xdr:row>
          <xdr:rowOff>0</xdr:rowOff>
        </xdr:to>
        <xdr:pic>
          <xdr:nvPicPr>
            <xdr:cNvPr id="5" name="Imagen 4">
              <a:extLst>
                <a:ext uri="{FF2B5EF4-FFF2-40B4-BE49-F238E27FC236}">
                  <a16:creationId xmlns:a16="http://schemas.microsoft.com/office/drawing/2014/main" id="{8EF48DAB-E8E9-4ABC-865A-DB020278A7A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8:$M$29" spid="_x0000_s1384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322820" y="4053840"/>
              <a:ext cx="4221480" cy="5486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1150620</xdr:colOff>
      <xdr:row>0</xdr:row>
      <xdr:rowOff>114300</xdr:rowOff>
    </xdr:from>
    <xdr:to>
      <xdr:col>5</xdr:col>
      <xdr:colOff>468180</xdr:colOff>
      <xdr:row>5</xdr:row>
      <xdr:rowOff>100204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57D95B-E16A-4232-BF8E-3DCD3B867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114300"/>
          <a:ext cx="3600000" cy="90030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ordinador Comercial" refreshedDate="45789.658742939813" createdVersion="6" refreshedVersion="6" minRefreshableVersion="3" recordCount="2119" xr:uid="{00000000-000A-0000-FFFF-FFFF47000000}">
  <cacheSource type="worksheet">
    <worksheetSource name="Tabla1"/>
  </cacheSource>
  <cacheFields count="32">
    <cacheField name="ENTREGA" numFmtId="170">
      <sharedItems containsNonDate="0" containsDate="1" containsString="0" containsBlank="1" minDate="2024-01-02T00:00:00" maxDate="2025-05-13T00:00:00" count="288">
        <d v="2024-01-02T00:00:00"/>
        <d v="2024-01-03T00:00:00"/>
        <d v="2024-01-05T00:00:00"/>
        <d v="2024-01-08T00:00:00"/>
        <d v="2024-01-10T00:00:00"/>
        <d v="2024-01-11T00:00:00"/>
        <d v="2024-01-12T00:00:00"/>
        <d v="2024-01-15T00:00:00"/>
        <d v="2024-01-16T00:00:00"/>
        <d v="2024-01-18T00:00:00"/>
        <d v="2024-01-19T00:00:00"/>
        <d v="2024-01-22T00:00:00"/>
        <d v="2024-01-23T00:00:00"/>
        <d v="2024-01-24T00:00:00"/>
        <d v="2024-01-26T00:00:00"/>
        <d v="2024-01-27T00:00:00"/>
        <d v="2024-01-30T00:00:00"/>
        <d v="2024-01-31T00:00:00"/>
        <d v="2024-02-02T00:00:00"/>
        <d v="2024-02-05T00:00:00"/>
        <d v="2024-02-06T00:00:00"/>
        <d v="2024-02-07T00:00:00"/>
        <d v="2024-02-08T00:00:00"/>
        <d v="2024-02-09T00:00:00"/>
        <d v="2024-02-14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6T00:00:00"/>
        <d v="2024-03-27T00:00:00"/>
        <d v="2024-03-28T00:00:00"/>
        <d v="2024-04-01T00:00:00"/>
        <d v="2024-04-02T00:00:00"/>
        <d v="2024-04-03T00:00:00"/>
        <d v="2024-04-04T00:00:00"/>
        <d v="2024-04-05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20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2T00:00:00"/>
        <d v="2024-05-05T00:00:00"/>
        <d v="2024-05-06T00:00:00"/>
        <d v="2024-05-08T00:00:00"/>
        <d v="2024-05-09T00:00:00"/>
        <d v="2024-05-10T00:00:00"/>
        <d v="2024-05-13T00:00:00"/>
        <d v="2024-05-14T00:00:00"/>
        <d v="2024-05-16T00:00:00"/>
        <d v="2024-05-17T00:00:00"/>
        <d v="2024-05-21T00:00:00"/>
        <d v="2024-05-22T00:00:00"/>
        <d v="2024-05-23T00:00:00"/>
        <d v="2024-05-25T00:00:00"/>
        <d v="2024-05-29T00:00:00"/>
        <d v="2024-05-30T00:00:00"/>
        <d v="2024-05-31T00:00:00"/>
        <d v="2024-06-02T00:00:00"/>
        <d v="2024-06-03T00:00:00"/>
        <d v="2024-06-04T00:00:00"/>
        <d v="2024-06-05T00:00:00"/>
        <d v="2024-06-06T00:00:00"/>
        <d v="2024-06-07T00:00:00"/>
        <d v="2024-06-12T00:00:00"/>
        <d v="2024-06-13T00:00:00"/>
        <d v="2024-06-17T00:00:00"/>
        <d v="2024-06-18T00:00:00"/>
        <d v="2024-06-19T00:00:00"/>
        <d v="2024-06-21T00:00:00"/>
        <d v="2024-06-24T00:00:00"/>
        <d v="2024-06-25T00:00:00"/>
        <d v="2024-06-26T00:00:00"/>
        <d v="2024-06-27T00:00:00"/>
        <d v="2024-06-28T00:00:00"/>
        <d v="2024-07-01T00:00:00"/>
        <d v="2024-07-02T00:00:00"/>
        <d v="2024-07-05T00:00:00"/>
        <d v="2024-07-06T00:00:00"/>
        <d v="2024-07-09T00:00:00"/>
        <d v="2024-07-10T00:00:00"/>
        <d v="2024-07-11T00:00:00"/>
        <d v="2024-07-12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9T00:00:00"/>
        <d v="2024-08-01T00:00:00"/>
        <d v="2024-08-02T00:00:00"/>
        <d v="2024-08-05T00:00:00"/>
        <d v="2024-08-06T00:00:00"/>
        <d v="2024-08-07T00:00:00"/>
        <d v="2024-08-08T00:00:00"/>
        <d v="2024-08-12T00:00:00"/>
        <d v="2024-08-14T00:00:00"/>
        <d v="2024-08-15T00:00:00"/>
        <d v="2024-08-16T00:00:00"/>
        <d v="2024-08-19T00:00:00"/>
        <d v="2024-08-20T00:00:00"/>
        <d v="2024-08-21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9-04T00:00:00"/>
        <d v="2024-09-05T00:00:00"/>
        <d v="2024-09-09T00:00:00"/>
        <d v="2024-09-10T00:00:00"/>
        <d v="2024-09-12T00:00:00"/>
        <d v="2024-09-13T00:00:00"/>
        <d v="2024-09-14T00:00:00"/>
        <d v="2024-09-16T00:00:00"/>
        <d v="2024-09-17T00:00:00"/>
        <d v="2024-09-18T00:00:00"/>
        <d v="2024-09-19T00:00:00"/>
        <d v="2024-09-23T00:00:00"/>
        <d v="2024-09-25T00:00:00"/>
        <d v="2024-09-27T00:00:00"/>
        <d v="2024-09-30T00:00:00"/>
        <d v="2024-10-02T00:00:00"/>
        <d v="2024-10-03T00:00:00"/>
        <d v="2024-10-07T00:00:00"/>
        <d v="2024-10-08T00:00:00"/>
        <d v="2024-10-09T00:00:00"/>
        <d v="2024-10-10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4T00:00:00"/>
        <d v="2024-11-15T00:00:00"/>
        <d v="2024-11-19T00:00:00"/>
        <d v="2024-11-20T00:00:00"/>
        <d v="2024-11-22T00:00:00"/>
        <d v="2024-11-25T00:00:00"/>
        <d v="2024-11-26T00:00:00"/>
        <d v="2024-11-27T00:00:00"/>
        <d v="2024-11-28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6T00:00:00"/>
        <d v="2025-01-06T00:00:00"/>
        <d v="2025-01-07T00:00:00"/>
        <d v="2025-01-08T00:00:00"/>
        <d v="2025-01-13T00:00:00"/>
        <d v="2025-01-15T00:00:00"/>
        <d v="2025-01-16T00:00:00"/>
        <d v="2025-01-17T00:00:00"/>
        <d v="2025-01-20T00:00:00"/>
        <d v="2025-01-22T00:00:00"/>
        <d v="2025-01-23T00:00:00"/>
        <d v="2025-01-24T00:00:00"/>
        <d v="2025-01-25T00:00:00"/>
        <d v="2025-01-28T00:00:00"/>
        <d v="2025-01-29T00:00:00"/>
        <d v="2025-01-30T00:00:00"/>
        <d v="2025-01-31T00:00:00"/>
        <d v="2025-02-03T00:00:00"/>
        <d v="2025-02-05T00:00:00"/>
        <d v="2025-02-07T00:00:00"/>
        <d v="2025-02-10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7T00:00:00"/>
        <d v="2025-02-28T00:00:00"/>
        <d v="2025-03-01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9T00:00:00"/>
        <d v="2025-04-10T00:00:00"/>
        <d v="2025-04-11T00:00:00"/>
        <d v="2025-04-15T00:00:00"/>
        <d v="2025-04-16T00:00:00"/>
        <d v="2025-04-17T00:00:00"/>
        <d v="2025-04-21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1T00:00:00"/>
        <d v="2025-05-06T00:00:00"/>
        <d v="2025-05-07T00:00:00"/>
        <d v="2025-05-08T00:00:00"/>
        <d v="2025-05-09T00:00:00"/>
        <d v="2025-05-12T00:00:00"/>
        <m/>
      </sharedItems>
      <fieldGroup par="31" base="0">
        <rangePr groupBy="months" startDate="2024-01-02T00:00:00" endDate="2025-05-13T00:00:00"/>
        <groupItems count="14">
          <s v="(en blanco)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13/5/2025"/>
        </groupItems>
      </fieldGroup>
    </cacheField>
    <cacheField name="INICIO DE VIGENCIA" numFmtId="170">
      <sharedItems containsNonDate="0" containsDate="1" containsString="0" containsBlank="1" minDate="2024-01-16T00:00:00" maxDate="2025-05-06T00:00:00"/>
    </cacheField>
    <cacheField name="MES" numFmtId="49">
      <sharedItems containsBlank="1" containsMixedTypes="1" containsNumber="1" containsInteger="1" minValue="3" maxValue="3" count="14">
        <s v="ENERO"/>
        <s v="FEBRERO"/>
        <s v="ABRIL"/>
        <s v="MARZO"/>
        <s v="MAYO"/>
        <s v="JUNIO"/>
        <s v="JULIO"/>
        <s v="AGOSTO"/>
        <s v="SEPTIEMBRE"/>
        <s v="OCTUBRE"/>
        <s v="NOVIEMBRE"/>
        <s v="DICIEMBRE"/>
        <m/>
        <n v="3" u="1"/>
      </sharedItems>
    </cacheField>
    <cacheField name="TIPO DE CONTRATO" numFmtId="49">
      <sharedItems containsBlank="1" containsMixedTypes="1" containsNumber="1" containsInteger="1" minValue="4" maxValue="4" count="9">
        <s v="NEG. NUEVO"/>
        <s v="INCLUSION"/>
        <s v="CANCELADO"/>
        <s v="NOMBRAMIENTO"/>
        <s v="ANULADO"/>
        <s v="CAMBIO BROKER"/>
        <s v="CAMBIO PLAN"/>
        <m/>
        <n v="4" u="1"/>
      </sharedItems>
    </cacheField>
    <cacheField name="SALA" numFmtId="49">
      <sharedItems containsBlank="1" containsMixedTypes="1" containsNumber="1" containsInteger="1" minValue="5" maxValue="5" count="11">
        <s v="KAPPA"/>
        <s v="OMEGA"/>
        <s v="EXTERNOS"/>
        <s v="COBRA"/>
        <s v="OPERATIVO"/>
        <s v="JARRIN &amp; ASO."/>
        <s v="IKIGAI"/>
        <s v="LEGACY"/>
        <m/>
        <s v="SYMPHONY"/>
        <n v="5" u="1"/>
      </sharedItems>
    </cacheField>
    <cacheField name="AGENTE" numFmtId="0">
      <sharedItems containsBlank="1" containsMixedTypes="1" containsNumber="1" containsInteger="1" minValue="6" maxValue="6" count="54">
        <s v="ALLAN ARROBA"/>
        <s v="EDUARDO MOREIRA"/>
        <s v="PIERO ASPIAZU"/>
        <s v="LUIS MOREIRA"/>
        <s v="LAURA CRUZ"/>
        <s v="OMAR DELGADO"/>
        <s v="JOHANNA MOREIRA"/>
        <s v="WENDY PACHECO"/>
        <s v="LORENA CEVALLOS"/>
        <s v="KARLA GARCIA"/>
        <s v="JULIO DE LUNA"/>
        <s v="MERLEN VALAREZO"/>
        <s v="CAROLINA VINCES"/>
        <s v="GONZALO GONZALEZ"/>
        <s v="JENNY VINCES"/>
        <s v="CHRYSTEL CASTRO"/>
        <s v="DIANA SALVADOR"/>
        <s v="GUSTAVO DEL PINO"/>
        <s v="GABRIELA AVILES"/>
        <s v="SANDRA VANEGAS"/>
        <s v="LOURDES BONILLA"/>
        <s v="SHIRLEY MUNZON"/>
        <s v="WALTER UNGRIA"/>
        <s v="MA. FERNANDA BANEGAS"/>
        <s v="CHRISTIAN DEL PINO"/>
        <s v="MARIA JOSE AMPUERO"/>
        <s v="ANDREINA FARIÑO"/>
        <s v="NORMA VIVANCO"/>
        <s v="ELIZABETH CRESPIN"/>
        <s v="ADRIANA JARRIN"/>
        <s v="NATHALIA CHEVEZ"/>
        <s v="LEONARDO BAQUERIZO"/>
        <s v="RAUL ALBAN"/>
        <s v="HEBERT MORA"/>
        <s v="Pilar Quiñonez"/>
        <s v="Ambar Ruiz"/>
        <s v="MANUEL VILLAVICENCIO"/>
        <s v="LISBETH ZAMBRANO"/>
        <s v="Deyanira Puicon"/>
        <s v="Jorge Guerra"/>
        <s v="MARLON CISNEROS"/>
        <m/>
        <s v="Julio Luna"/>
        <s v="MAFER QUINTERO"/>
        <s v="PATRICIA MEDINA"/>
        <s v="CARLOS SOTO"/>
        <s v="ORLY PERLAZA"/>
        <s v="RAÚL AVILES"/>
        <s v="CHRISTOPHER SALAZAR"/>
        <s v="Glenda Rosales"/>
        <s v="LAUDALI GONZALEZ"/>
        <s v="IVAN LIMONGI"/>
        <s v="FABRICIO ORELLANA"/>
        <n v="6" u="1"/>
      </sharedItems>
    </cacheField>
    <cacheField name="No. POLIZA" numFmtId="0">
      <sharedItems containsBlank="1" containsMixedTypes="1" containsNumber="1" containsInteger="1" minValue="10372" maxValue="112014659"/>
    </cacheField>
    <cacheField name="TITULAR" numFmtId="0">
      <sharedItems containsBlank="1"/>
    </cacheField>
    <cacheField name="DEPENDIENTES" numFmtId="0">
      <sharedItems containsBlank="1"/>
    </cacheField>
    <cacheField name="CEDULA" numFmtId="167">
      <sharedItems containsBlank="1" containsMixedTypes="1" containsNumber="1" containsInteger="1" minValue="104736152" maxValue="3050683022"/>
    </cacheField>
    <cacheField name="TELFONO DE CONTACTO" numFmtId="167">
      <sharedItems containsString="0" containsBlank="1" containsNumber="1" containsInteger="1" minValue="924019912" maxValue="1724027824"/>
    </cacheField>
    <cacheField name="FORMA DE PAGO" numFmtId="0">
      <sharedItems containsBlank="1"/>
    </cacheField>
    <cacheField name="MODALIDAD" numFmtId="0">
      <sharedItems containsBlank="1"/>
    </cacheField>
    <cacheField name="PAGADOR" numFmtId="0">
      <sharedItems containsBlank="1"/>
    </cacheField>
    <cacheField name="CERTIFICADO DE COBERTURA" numFmtId="0">
      <sharedItems containsBlank="1"/>
    </cacheField>
    <cacheField name="ASEGURADORA" numFmtId="0">
      <sharedItems containsBlank="1" containsMixedTypes="1" containsNumber="1" containsInteger="1" minValue="16" maxValue="16" count="22">
        <s v="HUMANA"/>
        <s v="SALUDSA"/>
        <s v="BMI"/>
        <s v="MEDIKEN"/>
        <s v="BMI (CAPSTONE)"/>
        <s v="ASISKEN"/>
        <s v="ASSISTCARD"/>
        <s v="CONFIAMED"/>
        <s v="MEDEC"/>
        <s v="BMI AHORRO"/>
        <s v="BMI (AXIS)"/>
        <s v="PLANVITAL"/>
        <s v="BMI (MARSEGUROS)"/>
        <s v="BUPA"/>
        <s v="OLE"/>
        <s v="Plan Vital/Christian"/>
        <m/>
        <s v="REDBRIDGE"/>
        <s v="BMI MARSEGUROS"/>
        <s v="PLAN VITAL"/>
        <s v="BMI G&amp;G"/>
        <n v="16" u="1"/>
      </sharedItems>
    </cacheField>
    <cacheField name="NOMBRE DEL PLAN" numFmtId="0">
      <sharedItems containsBlank="1" containsMixedTypes="1" containsNumber="1" containsInteger="1" minValue="4" maxValue="15"/>
    </cacheField>
    <cacheField name="DESCUENTO" numFmtId="0">
      <sharedItems containsBlank="1"/>
    </cacheField>
    <cacheField name="PAGO MENSUAL" numFmtId="164">
      <sharedItems containsString="0" containsBlank="1" containsNumber="1" minValue="0" maxValue="4913.79"/>
    </cacheField>
    <cacheField name="PAGO ANUAL" numFmtId="164">
      <sharedItems containsString="0" containsBlank="1" containsNumber="1" minValue="0" maxValue="4415.28"/>
    </cacheField>
    <cacheField name="PRIMA NETA ANUAL" numFmtId="164">
      <sharedItems containsString="0" containsBlank="1" containsNumber="1" minValue="0" maxValue="40269.72"/>
    </cacheField>
    <cacheField name="OBSERVACIONES" numFmtId="0">
      <sharedItems containsBlank="1" longText="1"/>
    </cacheField>
    <cacheField name="ESTADO" numFmtId="0">
      <sharedItems containsBlank="1"/>
    </cacheField>
    <cacheField name="PAGADO" numFmtId="0">
      <sharedItems containsBlank="1"/>
    </cacheField>
    <cacheField name="FIRMA" numFmtId="0">
      <sharedItems containsBlank="1"/>
    </cacheField>
    <cacheField name="FECHA 1RA RENOVAC" numFmtId="14">
      <sharedItems containsDate="1" containsBlank="1" containsMixedTypes="1" minDate="1900-12-31T00:00:00" maxDate="2025-04-25T00:00:00"/>
    </cacheField>
    <cacheField name="ESTADO 1RA RENOVACION" numFmtId="0">
      <sharedItems containsString="0" containsBlank="1" containsNumber="1" containsInteger="1" minValue="18" maxValue="45423"/>
    </cacheField>
    <cacheField name="VALOR DE LA RENOVACION" numFmtId="164">
      <sharedItems containsNonDate="0" containsString="0" containsBlank="1"/>
    </cacheField>
    <cacheField name="ESTADO DE RENOVACION" numFmtId="0">
      <sharedItems containsNonDate="0" containsString="0" containsBlank="1"/>
    </cacheField>
    <cacheField name="CORREO" numFmtId="0">
      <sharedItems containsBlank="1"/>
    </cacheField>
    <cacheField name="Trimestres" numFmtId="0" databaseField="0">
      <fieldGroup base="0">
        <rangePr groupBy="quarters" startDate="2024-01-02T00:00:00" endDate="2025-05-13T00:00:00"/>
        <groupItems count="6">
          <s v="&lt;2/1/2024"/>
          <s v="Trim.1"/>
          <s v="Trim.2"/>
          <s v="Trim.3"/>
          <s v="Trim.4"/>
          <s v="&gt;13/5/2025"/>
        </groupItems>
      </fieldGroup>
    </cacheField>
    <cacheField name="Años" numFmtId="0" databaseField="0">
      <fieldGroup base="0">
        <rangePr groupBy="years" startDate="2024-01-02T00:00:00" endDate="2025-05-13T00:00:00"/>
        <groupItems count="4">
          <s v="&lt;2/1/2024"/>
          <s v="2024"/>
          <s v="2025"/>
          <s v="&gt;13/5/2025"/>
        </groupItems>
      </fieldGroup>
    </cacheField>
  </cacheFields>
  <extLst>
    <ext xmlns:x14="http://schemas.microsoft.com/office/spreadsheetml/2009/9/main" uri="{725AE2AE-9491-48be-B2B4-4EB974FC3084}">
      <x14:pivotCacheDefinition pivotCacheId="9002918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9">
  <r>
    <x v="0"/>
    <m/>
    <x v="0"/>
    <x v="0"/>
    <x v="0"/>
    <x v="0"/>
    <m/>
    <s v="NARANJO RODRIGUEZ RENSO ALEX"/>
    <m/>
    <m/>
    <m/>
    <m/>
    <m/>
    <m/>
    <m/>
    <x v="0"/>
    <s v="PH50"/>
    <m/>
    <m/>
    <m/>
    <n v="5411.81"/>
    <m/>
    <m/>
    <m/>
    <m/>
    <d v="1900-12-31T00:00:00"/>
    <n v="45423"/>
    <m/>
    <m/>
    <m/>
  </r>
  <r>
    <x v="1"/>
    <m/>
    <x v="0"/>
    <x v="0"/>
    <x v="0"/>
    <x v="1"/>
    <m/>
    <s v="CHACHA RIVERA CHRISTIAN ANDRES"/>
    <m/>
    <m/>
    <m/>
    <m/>
    <m/>
    <m/>
    <m/>
    <x v="1"/>
    <s v="PRO 150K - 150"/>
    <m/>
    <m/>
    <m/>
    <n v="1390.15"/>
    <m/>
    <m/>
    <m/>
    <m/>
    <d v="1900-12-31T00:00:00"/>
    <n v="45423"/>
    <m/>
    <m/>
    <m/>
  </r>
  <r>
    <x v="2"/>
    <m/>
    <x v="0"/>
    <x v="0"/>
    <x v="0"/>
    <x v="1"/>
    <m/>
    <s v="ALCIVAR SALVADOR VANESSA ALEXANDRA"/>
    <m/>
    <m/>
    <m/>
    <m/>
    <m/>
    <m/>
    <m/>
    <x v="2"/>
    <s v=" "/>
    <m/>
    <m/>
    <m/>
    <n v="540.57000000000005"/>
    <m/>
    <m/>
    <m/>
    <m/>
    <d v="1900-12-31T00:00:00"/>
    <n v="45423"/>
    <m/>
    <m/>
    <m/>
  </r>
  <r>
    <x v="2"/>
    <m/>
    <x v="0"/>
    <x v="0"/>
    <x v="0"/>
    <x v="2"/>
    <m/>
    <s v="BERRONE APARICIO PAOLA GUILLERMINA"/>
    <m/>
    <m/>
    <m/>
    <m/>
    <m/>
    <m/>
    <m/>
    <x v="1"/>
    <s v="STAR 15K - 70"/>
    <m/>
    <m/>
    <m/>
    <n v="760.2"/>
    <m/>
    <m/>
    <m/>
    <m/>
    <d v="1900-12-31T00:00:00"/>
    <n v="45423"/>
    <m/>
    <m/>
    <m/>
  </r>
  <r>
    <x v="2"/>
    <m/>
    <x v="0"/>
    <x v="1"/>
    <x v="1"/>
    <x v="3"/>
    <n v="15037"/>
    <s v="JENNIFER CECILIA MACIAS CEDEÑO"/>
    <s v="TITULAR +1"/>
    <n v="922893987"/>
    <m/>
    <s v="CUENTA DE AHORROS"/>
    <s v="MENSUAL"/>
    <s v="JENNIFER CECILIA MACIAS CEDEÑO"/>
    <s v="NO"/>
    <x v="3"/>
    <s v="SUPREMO 100K"/>
    <s v="NO"/>
    <n v="104.72"/>
    <m/>
    <n v="1250.3880597014925"/>
    <m/>
    <s v="EMITIDO"/>
    <m/>
    <s v="SI"/>
    <d v="1900-12-31T00:00:00"/>
    <n v="45423"/>
    <m/>
    <m/>
    <m/>
  </r>
  <r>
    <x v="3"/>
    <m/>
    <x v="0"/>
    <x v="0"/>
    <x v="0"/>
    <x v="4"/>
    <m/>
    <s v="MANCHENO PERALTA CAROLA LEONOR"/>
    <m/>
    <m/>
    <m/>
    <m/>
    <m/>
    <m/>
    <m/>
    <x v="1"/>
    <s v="SKY 70 PLUS - 100"/>
    <m/>
    <m/>
    <m/>
    <n v="3141.87"/>
    <m/>
    <m/>
    <m/>
    <m/>
    <d v="1900-12-31T00:00:00"/>
    <n v="45423"/>
    <m/>
    <m/>
    <m/>
  </r>
  <r>
    <x v="3"/>
    <m/>
    <x v="0"/>
    <x v="0"/>
    <x v="0"/>
    <x v="5"/>
    <m/>
    <s v="COLOMA GUILLERMO ANDREA LISSETTE"/>
    <m/>
    <m/>
    <m/>
    <m/>
    <m/>
    <m/>
    <m/>
    <x v="4"/>
    <s v="Sigma"/>
    <m/>
    <m/>
    <m/>
    <n v="2204.08"/>
    <m/>
    <m/>
    <m/>
    <m/>
    <d v="1900-12-31T00:00:00"/>
    <n v="45423"/>
    <m/>
    <m/>
    <m/>
  </r>
  <r>
    <x v="3"/>
    <d v="2024-02-01T00:00:00"/>
    <x v="0"/>
    <x v="0"/>
    <x v="1"/>
    <x v="6"/>
    <s v="GM24G42814"/>
    <s v="EMMA JOHANNA REYES PALMA"/>
    <s v="TITULAR"/>
    <n v="926312836"/>
    <n v="992564671"/>
    <s v="CUENTA DE AHORROS"/>
    <s v="MENSUAL"/>
    <s v="EMMA JOHANNA REYES PALMA"/>
    <s v="NO"/>
    <x v="2"/>
    <s v="GMM 5K"/>
    <s v="NO"/>
    <n v="44.51"/>
    <m/>
    <n v="466.46268656716427"/>
    <m/>
    <s v="EMITIDO"/>
    <m/>
    <s v="SI"/>
    <d v="2025-02-01T00:00:00"/>
    <n v="100"/>
    <m/>
    <m/>
    <m/>
  </r>
  <r>
    <x v="3"/>
    <d v="2024-02-01T00:00:00"/>
    <x v="0"/>
    <x v="0"/>
    <x v="1"/>
    <x v="7"/>
    <s v="AI24G19178"/>
    <s v="MAURICIO DANILO BRAVO PEÑAFIEL"/>
    <s v="TITULAR +2"/>
    <n v="918216185"/>
    <n v="987600106"/>
    <s v="TARJETA DE CREDITO"/>
    <s v="MENSUAL"/>
    <s v="MAURICIO DANILO BRAVO PEÑAFIEL"/>
    <s v="NO"/>
    <x v="2"/>
    <s v="SUPPORT"/>
    <m/>
    <n v="126.69"/>
    <m/>
    <n v="1412.7164179104479"/>
    <m/>
    <s v="EMITIDO"/>
    <m/>
    <s v="SI"/>
    <d v="2025-02-01T00:00:00"/>
    <n v="100"/>
    <m/>
    <m/>
    <m/>
  </r>
  <r>
    <x v="4"/>
    <m/>
    <x v="0"/>
    <x v="0"/>
    <x v="0"/>
    <x v="8"/>
    <m/>
    <s v="FIALLOS GALLARDO JACCELIA MARIA"/>
    <m/>
    <m/>
    <m/>
    <m/>
    <m/>
    <m/>
    <m/>
    <x v="1"/>
    <s v="4D"/>
    <m/>
    <m/>
    <m/>
    <n v="647.36"/>
    <m/>
    <m/>
    <m/>
    <m/>
    <d v="1900-12-31T00:00:00"/>
    <n v="45423"/>
    <m/>
    <m/>
    <m/>
  </r>
  <r>
    <x v="4"/>
    <m/>
    <x v="0"/>
    <x v="0"/>
    <x v="0"/>
    <x v="2"/>
    <m/>
    <s v="MARIÑO ARREAGA AYRTON ARNALDO"/>
    <m/>
    <m/>
    <m/>
    <m/>
    <m/>
    <m/>
    <m/>
    <x v="1"/>
    <s v="Dental"/>
    <m/>
    <m/>
    <m/>
    <n v="271.97000000000003"/>
    <m/>
    <m/>
    <m/>
    <m/>
    <d v="1900-12-31T00:00:00"/>
    <n v="45423"/>
    <m/>
    <m/>
    <m/>
  </r>
  <r>
    <x v="5"/>
    <m/>
    <x v="0"/>
    <x v="0"/>
    <x v="0"/>
    <x v="9"/>
    <m/>
    <s v="ORDOÑEZ BELLO PRISCILA CAROLINA"/>
    <m/>
    <m/>
    <m/>
    <m/>
    <m/>
    <m/>
    <m/>
    <x v="1"/>
    <s v="STAR 30K - 90"/>
    <m/>
    <m/>
    <m/>
    <n v="1281.74"/>
    <m/>
    <m/>
    <m/>
    <m/>
    <d v="1900-12-31T00:00:00"/>
    <n v="45423"/>
    <m/>
    <m/>
    <m/>
  </r>
  <r>
    <x v="5"/>
    <m/>
    <x v="0"/>
    <x v="0"/>
    <x v="0"/>
    <x v="4"/>
    <m/>
    <s v="LUZURIAGA AVILES MARCO VINICIO"/>
    <m/>
    <m/>
    <m/>
    <m/>
    <m/>
    <m/>
    <m/>
    <x v="1"/>
    <s v="STAR 15K - 70"/>
    <m/>
    <m/>
    <m/>
    <n v="429.34"/>
    <m/>
    <m/>
    <m/>
    <m/>
    <d v="1900-12-31T00:00:00"/>
    <n v="45423"/>
    <m/>
    <m/>
    <m/>
  </r>
  <r>
    <x v="5"/>
    <m/>
    <x v="0"/>
    <x v="0"/>
    <x v="0"/>
    <x v="4"/>
    <m/>
    <s v="YLLESCAS MERELO OMAR ANDRES"/>
    <m/>
    <m/>
    <m/>
    <m/>
    <m/>
    <m/>
    <m/>
    <x v="1"/>
    <s v="STAR 15K - 70"/>
    <m/>
    <m/>
    <m/>
    <n v="429.34"/>
    <m/>
    <m/>
    <m/>
    <m/>
    <d v="1900-12-31T00:00:00"/>
    <n v="45423"/>
    <m/>
    <m/>
    <m/>
  </r>
  <r>
    <x v="5"/>
    <m/>
    <x v="0"/>
    <x v="0"/>
    <x v="0"/>
    <x v="4"/>
    <m/>
    <s v="VIZUETA ZAMBRANO KEVIN SAMUEL"/>
    <m/>
    <m/>
    <m/>
    <m/>
    <m/>
    <m/>
    <m/>
    <x v="1"/>
    <s v="STAR 15K - 70"/>
    <m/>
    <m/>
    <m/>
    <n v="429.34"/>
    <m/>
    <m/>
    <m/>
    <m/>
    <d v="1900-12-31T00:00:00"/>
    <n v="45423"/>
    <m/>
    <m/>
    <m/>
  </r>
  <r>
    <x v="5"/>
    <m/>
    <x v="0"/>
    <x v="0"/>
    <x v="0"/>
    <x v="2"/>
    <m/>
    <s v="JUCA FLORES MARIA FERNANDA"/>
    <m/>
    <m/>
    <m/>
    <m/>
    <m/>
    <m/>
    <m/>
    <x v="1"/>
    <s v="STAR 30K - 90"/>
    <m/>
    <m/>
    <m/>
    <n v="1085.68"/>
    <m/>
    <m/>
    <m/>
    <m/>
    <d v="1900-12-31T00:00:00"/>
    <n v="45423"/>
    <m/>
    <m/>
    <m/>
  </r>
  <r>
    <x v="6"/>
    <m/>
    <x v="0"/>
    <x v="0"/>
    <x v="0"/>
    <x v="2"/>
    <m/>
    <s v="PLUAS ALVARADO ERICKA LORENA"/>
    <m/>
    <m/>
    <m/>
    <m/>
    <m/>
    <m/>
    <m/>
    <x v="5"/>
    <s v="Pro 30"/>
    <m/>
    <m/>
    <m/>
    <n v="958.53"/>
    <m/>
    <m/>
    <m/>
    <m/>
    <d v="1900-12-31T00:00:00"/>
    <n v="45423"/>
    <m/>
    <m/>
    <m/>
  </r>
  <r>
    <x v="7"/>
    <m/>
    <x v="0"/>
    <x v="0"/>
    <x v="0"/>
    <x v="9"/>
    <m/>
    <s v="LLERENA CANDELA MARIA GABRIELA"/>
    <m/>
    <m/>
    <m/>
    <m/>
    <m/>
    <m/>
    <m/>
    <x v="1"/>
    <s v="PRO 150K - 150"/>
    <m/>
    <m/>
    <m/>
    <n v="2521.6799999999998"/>
    <m/>
    <m/>
    <m/>
    <m/>
    <d v="1900-12-31T00:00:00"/>
    <n v="45423"/>
    <m/>
    <m/>
    <m/>
  </r>
  <r>
    <x v="8"/>
    <m/>
    <x v="0"/>
    <x v="0"/>
    <x v="0"/>
    <x v="2"/>
    <m/>
    <s v="NIETO PAREDES MARIA FERNANDA"/>
    <m/>
    <m/>
    <m/>
    <m/>
    <m/>
    <m/>
    <m/>
    <x v="0"/>
    <n v="15"/>
    <m/>
    <m/>
    <m/>
    <n v="1458.23"/>
    <m/>
    <m/>
    <m/>
    <m/>
    <d v="1900-12-31T00:00:00"/>
    <n v="45423"/>
    <m/>
    <m/>
    <m/>
  </r>
  <r>
    <x v="8"/>
    <d v="2024-01-16T00:00:00"/>
    <x v="0"/>
    <x v="0"/>
    <x v="1"/>
    <x v="6"/>
    <s v="GM24G42871"/>
    <s v="MARIANA DEL ROCIO BENITEZ RICAURTE"/>
    <s v="TITULAR +2"/>
    <n v="1307866796"/>
    <n v="994632742"/>
    <s v="TARJETA DE CREDITO"/>
    <s v="ANUAL"/>
    <s v="WILSON RAMON SOLORZANO LOOR"/>
    <s v="SI"/>
    <x v="2"/>
    <s v="GMM 5K"/>
    <s v="NO"/>
    <n v="0"/>
    <n v="1167.5899999999999"/>
    <n v="1096.7810945273632"/>
    <m/>
    <s v="EMITIDO"/>
    <m/>
    <s v="SI"/>
    <d v="2025-01-16T00:00:00"/>
    <n v="116"/>
    <m/>
    <m/>
    <m/>
  </r>
  <r>
    <x v="9"/>
    <m/>
    <x v="0"/>
    <x v="0"/>
    <x v="0"/>
    <x v="1"/>
    <m/>
    <s v="MAFLA VALENCIA JONATHAN EDUARDO"/>
    <m/>
    <m/>
    <m/>
    <m/>
    <m/>
    <m/>
    <m/>
    <x v="1"/>
    <s v="STAR 15K - 70"/>
    <m/>
    <m/>
    <m/>
    <n v="372.63"/>
    <m/>
    <m/>
    <m/>
    <m/>
    <d v="1900-12-31T00:00:00"/>
    <n v="45423"/>
    <m/>
    <m/>
    <m/>
  </r>
  <r>
    <x v="10"/>
    <m/>
    <x v="0"/>
    <x v="0"/>
    <x v="0"/>
    <x v="1"/>
    <m/>
    <s v="QUINTANA RUIZ MARIA ANGELINE"/>
    <m/>
    <m/>
    <m/>
    <m/>
    <m/>
    <m/>
    <m/>
    <x v="1"/>
    <s v="SKY 70 PLUS - 100"/>
    <m/>
    <m/>
    <m/>
    <n v="1332.24"/>
    <m/>
    <m/>
    <m/>
    <m/>
    <d v="1900-12-31T00:00:00"/>
    <n v="45423"/>
    <m/>
    <m/>
    <m/>
  </r>
  <r>
    <x v="10"/>
    <m/>
    <x v="0"/>
    <x v="0"/>
    <x v="0"/>
    <x v="9"/>
    <m/>
    <s v="LLERENA CANDELA MARIA GABRIELA"/>
    <m/>
    <m/>
    <m/>
    <m/>
    <m/>
    <m/>
    <m/>
    <x v="1"/>
    <s v="PRO 150K - 150"/>
    <m/>
    <m/>
    <m/>
    <n v="2411.98"/>
    <m/>
    <m/>
    <m/>
    <m/>
    <d v="1900-12-31T00:00:00"/>
    <n v="45423"/>
    <m/>
    <m/>
    <m/>
  </r>
  <r>
    <x v="10"/>
    <m/>
    <x v="0"/>
    <x v="0"/>
    <x v="0"/>
    <x v="5"/>
    <m/>
    <s v="FARFAN CIRINO WALTER EDUARDO"/>
    <m/>
    <m/>
    <m/>
    <m/>
    <m/>
    <m/>
    <m/>
    <x v="1"/>
    <s v="STAR 15K - 70"/>
    <m/>
    <m/>
    <m/>
    <n v="2547.5"/>
    <m/>
    <m/>
    <m/>
    <m/>
    <d v="1900-12-31T00:00:00"/>
    <n v="45423"/>
    <m/>
    <m/>
    <m/>
  </r>
  <r>
    <x v="11"/>
    <m/>
    <x v="0"/>
    <x v="0"/>
    <x v="0"/>
    <x v="10"/>
    <m/>
    <s v="ROMERO DELGADO MARIA ISABEL"/>
    <m/>
    <m/>
    <m/>
    <m/>
    <m/>
    <m/>
    <m/>
    <x v="1"/>
    <s v="3D"/>
    <m/>
    <m/>
    <m/>
    <n v="1515.4"/>
    <m/>
    <m/>
    <m/>
    <m/>
    <d v="1900-12-31T00:00:00"/>
    <n v="45423"/>
    <m/>
    <m/>
    <m/>
  </r>
  <r>
    <x v="11"/>
    <m/>
    <x v="0"/>
    <x v="0"/>
    <x v="0"/>
    <x v="2"/>
    <m/>
    <s v="PAREDES RECALDE CECILIA JUDITH"/>
    <m/>
    <m/>
    <m/>
    <m/>
    <m/>
    <m/>
    <m/>
    <x v="1"/>
    <s v="RT Plus"/>
    <m/>
    <m/>
    <m/>
    <n v="1275.6500000000001"/>
    <m/>
    <m/>
    <m/>
    <m/>
    <d v="1900-12-31T00:00:00"/>
    <n v="45423"/>
    <m/>
    <m/>
    <m/>
  </r>
  <r>
    <x v="12"/>
    <m/>
    <x v="0"/>
    <x v="0"/>
    <x v="0"/>
    <x v="11"/>
    <m/>
    <s v="ANASTACIO LOPEZ MARLENE ISABEL"/>
    <m/>
    <m/>
    <m/>
    <m/>
    <m/>
    <m/>
    <m/>
    <x v="1"/>
    <s v="RT Plus"/>
    <m/>
    <m/>
    <m/>
    <n v="750.05"/>
    <m/>
    <m/>
    <m/>
    <m/>
    <d v="1900-12-31T00:00:00"/>
    <n v="45423"/>
    <m/>
    <m/>
    <m/>
  </r>
  <r>
    <x v="12"/>
    <d v="2024-01-23T00:00:00"/>
    <x v="0"/>
    <x v="0"/>
    <x v="1"/>
    <x v="12"/>
    <n v="4184145"/>
    <s v="INDIRA MARIUXI MENDIETA MORA"/>
    <s v="2 DEPENDIENTES"/>
    <n v="922150867"/>
    <n v="986168238"/>
    <s v="CUENTA DE AHORROS"/>
    <s v="MENSUAL"/>
    <s v="INDIRA MARIUXI MENDIETA MORA"/>
    <s v="NO"/>
    <x v="1"/>
    <s v="ELITE 5D"/>
    <s v="NO"/>
    <n v="130.83000000000001"/>
    <n v="0"/>
    <n v="1569.96"/>
    <m/>
    <s v="EMITIDO"/>
    <m/>
    <s v="SI"/>
    <d v="2025-01-23T00:00:00"/>
    <n v="109"/>
    <m/>
    <m/>
    <m/>
  </r>
  <r>
    <x v="13"/>
    <m/>
    <x v="0"/>
    <x v="0"/>
    <x v="0"/>
    <x v="11"/>
    <m/>
    <s v="BUITRON VELEZ CHRISTEL MILENA"/>
    <m/>
    <m/>
    <m/>
    <m/>
    <m/>
    <m/>
    <m/>
    <x v="1"/>
    <s v="3D"/>
    <m/>
    <m/>
    <m/>
    <n v="759.84"/>
    <m/>
    <m/>
    <m/>
    <m/>
    <d v="1900-12-31T00:00:00"/>
    <n v="45423"/>
    <m/>
    <m/>
    <m/>
  </r>
  <r>
    <x v="14"/>
    <m/>
    <x v="0"/>
    <x v="0"/>
    <x v="0"/>
    <x v="5"/>
    <m/>
    <s v="ANDRADE TERAN ELBA DOLORES DE LAS MERCEDES"/>
    <m/>
    <m/>
    <m/>
    <m/>
    <m/>
    <m/>
    <m/>
    <x v="1"/>
    <s v="SKY 50K PLUS 100"/>
    <m/>
    <m/>
    <m/>
    <n v="1713.61"/>
    <m/>
    <m/>
    <m/>
    <m/>
    <d v="1900-12-31T00:00:00"/>
    <n v="45423"/>
    <m/>
    <m/>
    <m/>
  </r>
  <r>
    <x v="14"/>
    <m/>
    <x v="0"/>
    <x v="0"/>
    <x v="0"/>
    <x v="2"/>
    <m/>
    <s v="POZO MORALES JIMMY DAVID"/>
    <m/>
    <m/>
    <m/>
    <m/>
    <m/>
    <m/>
    <m/>
    <x v="1"/>
    <s v="STAR 15K - 70"/>
    <m/>
    <m/>
    <m/>
    <n v="865.63"/>
    <m/>
    <m/>
    <m/>
    <m/>
    <d v="1900-12-31T00:00:00"/>
    <n v="45423"/>
    <m/>
    <m/>
    <m/>
  </r>
  <r>
    <x v="15"/>
    <m/>
    <x v="0"/>
    <x v="0"/>
    <x v="0"/>
    <x v="2"/>
    <m/>
    <s v="CAMPOZANO RUEDA LEANDRO ISRAEL"/>
    <m/>
    <m/>
    <m/>
    <m/>
    <m/>
    <m/>
    <m/>
    <x v="1"/>
    <s v="STAR 15K - 70"/>
    <m/>
    <m/>
    <m/>
    <n v="1259.77"/>
    <m/>
    <m/>
    <m/>
    <m/>
    <d v="1900-12-31T00:00:00"/>
    <n v="45423"/>
    <m/>
    <m/>
    <m/>
  </r>
  <r>
    <x v="16"/>
    <m/>
    <x v="0"/>
    <x v="0"/>
    <x v="0"/>
    <x v="13"/>
    <m/>
    <s v="VALERIE NAYETH ORTIZ RIOFRIO"/>
    <s v="TITULAR"/>
    <n v="704798958"/>
    <n v="999137041"/>
    <s v="TARJETA DE CREDITO"/>
    <s v="DIAS"/>
    <s v="VALERIE NAYETH ORTIZ RIOFRIO"/>
    <s v="NO"/>
    <x v="6"/>
    <m/>
    <m/>
    <m/>
    <m/>
    <n v="155"/>
    <m/>
    <s v="EMITIDO"/>
    <m/>
    <s v="SI"/>
    <d v="1900-12-31T00:00:00"/>
    <n v="45423"/>
    <m/>
    <m/>
    <m/>
  </r>
  <r>
    <x v="16"/>
    <d v="2024-01-30T00:00:00"/>
    <x v="0"/>
    <x v="0"/>
    <x v="1"/>
    <x v="14"/>
    <n v="4184767"/>
    <s v="MICHELLE KARLA SALTOS CASTILLO"/>
    <s v="2 DEPENDIENTES"/>
    <n v="912482718"/>
    <n v="968004471"/>
    <s v="CUENTA DE AHORROS"/>
    <s v="MENSUAL"/>
    <s v="MICHELLE KARLA SALTOS CASTILLO"/>
    <s v="NO"/>
    <x v="1"/>
    <s v="ELITE 5D"/>
    <s v="NO"/>
    <n v="130.83000000000001"/>
    <n v="0"/>
    <n v="1569.96"/>
    <m/>
    <s v="EMITIDO"/>
    <m/>
    <s v="SI"/>
    <d v="2025-01-30T00:00:00"/>
    <n v="102"/>
    <m/>
    <m/>
    <m/>
  </r>
  <r>
    <x v="17"/>
    <d v="2024-02-01T00:00:00"/>
    <x v="0"/>
    <x v="0"/>
    <x v="1"/>
    <x v="15"/>
    <n v="131562"/>
    <s v="JOHANA CONSUELO VELEZ CEDEÑO"/>
    <s v="TITULAR +6"/>
    <n v="1310420078"/>
    <n v="994452383"/>
    <s v="TARJETA DE CREDITO"/>
    <s v="MENSUAL"/>
    <s v="JOHANA CONSUELO VELEZ CEDEÑO"/>
    <s v="NO"/>
    <x v="0"/>
    <s v="PH30"/>
    <s v="SI"/>
    <n v="505.39"/>
    <m/>
    <n v="6034.507462686568"/>
    <m/>
    <s v="EN PROCESO"/>
    <m/>
    <s v="SI"/>
    <d v="2025-02-01T00:00:00"/>
    <n v="100"/>
    <m/>
    <m/>
    <m/>
  </r>
  <r>
    <x v="18"/>
    <m/>
    <x v="1"/>
    <x v="0"/>
    <x v="0"/>
    <x v="2"/>
    <s v="AI24G19224"/>
    <s v="BURGOS BURGOS OMAR OSWALDO"/>
    <m/>
    <m/>
    <m/>
    <m/>
    <m/>
    <m/>
    <m/>
    <x v="2"/>
    <s v="Ideal"/>
    <m/>
    <m/>
    <m/>
    <n v="7418.35"/>
    <m/>
    <m/>
    <m/>
    <m/>
    <d v="1900-12-31T00:00:00"/>
    <n v="45423"/>
    <m/>
    <m/>
    <m/>
  </r>
  <r>
    <x v="18"/>
    <m/>
    <x v="1"/>
    <x v="0"/>
    <x v="1"/>
    <x v="12"/>
    <m/>
    <s v="SANDY MABEL LECARO CASTRO"/>
    <s v="TITULAR +2"/>
    <n v="917690273"/>
    <n v="987486629"/>
    <s v="CUENTA DE AHORROS"/>
    <s v="MENSUAL"/>
    <s v="PEDRO ALEXANDER ESPINOZA ANZULES"/>
    <s v="SI"/>
    <x v="5"/>
    <s v="ASISPRO 50"/>
    <s v="NO"/>
    <n v="287.52"/>
    <m/>
    <n v="3208.4809596875434"/>
    <m/>
    <s v="EN PROCESO"/>
    <m/>
    <s v="SI"/>
    <d v="1900-12-31T00:00:00"/>
    <n v="45423"/>
    <m/>
    <m/>
    <m/>
  </r>
  <r>
    <x v="18"/>
    <d v="2024-02-01T00:00:00"/>
    <x v="1"/>
    <x v="0"/>
    <x v="1"/>
    <x v="12"/>
    <s v="GM24G43246"/>
    <s v="SANDY MABEL LECARO CASTRO"/>
    <s v="TITULAR +2"/>
    <n v="917690273"/>
    <n v="987486629"/>
    <s v="CUENTA DE AHORROS"/>
    <s v="MENSUAL"/>
    <s v="PEDRO ALEXANDER ESPINOZA ANZULES"/>
    <s v="SI"/>
    <x v="2"/>
    <s v="GMM 5K"/>
    <s v="NO"/>
    <n v="112.29"/>
    <m/>
    <n v="1275.7761194029852"/>
    <m/>
    <s v="EN PROCESO"/>
    <m/>
    <s v="SI"/>
    <d v="2025-02-01T00:00:00"/>
    <n v="100"/>
    <m/>
    <m/>
    <m/>
  </r>
  <r>
    <x v="18"/>
    <m/>
    <x v="1"/>
    <x v="0"/>
    <x v="1"/>
    <x v="15"/>
    <m/>
    <m/>
    <m/>
    <m/>
    <m/>
    <m/>
    <m/>
    <m/>
    <m/>
    <x v="2"/>
    <m/>
    <m/>
    <m/>
    <n v="600"/>
    <n v="600"/>
    <m/>
    <s v="EN PROCESO"/>
    <m/>
    <s v="NO"/>
    <d v="1900-12-31T00:00:00"/>
    <n v="45423"/>
    <m/>
    <m/>
    <m/>
  </r>
  <r>
    <x v="18"/>
    <d v="2024-02-15T00:00:00"/>
    <x v="1"/>
    <x v="0"/>
    <x v="1"/>
    <x v="16"/>
    <m/>
    <s v="SANDRA ELIZABETH MOLINA SEGOVIA"/>
    <s v="TITULAR +4"/>
    <n v="917117954"/>
    <n v="986368344"/>
    <s v="CUENTA DE AHORROS"/>
    <s v="MENSUAL"/>
    <s v="SANDRA ELIZABETH MOLINA SEGOVIA"/>
    <s v="NO"/>
    <x v="7"/>
    <s v="CONFIAPLUS "/>
    <s v="NO"/>
    <n v="348.61000000000007"/>
    <m/>
    <n v="4162.507462686568"/>
    <m/>
    <s v="EN PROCESO"/>
    <m/>
    <s v="NO"/>
    <d v="2025-02-15T00:00:00"/>
    <n v="86"/>
    <m/>
    <m/>
    <m/>
  </r>
  <r>
    <x v="18"/>
    <d v="2024-02-16T00:00:00"/>
    <x v="1"/>
    <x v="0"/>
    <x v="1"/>
    <x v="17"/>
    <s v="GM24G43266"/>
    <s v="ELISA ANDREA NIETO AGUILAR"/>
    <s v="TITULAR"/>
    <n v="919969188"/>
    <n v="998545642"/>
    <s v="TARJETA DE CREDITO"/>
    <s v="MENSUAL"/>
    <s v="ELISA ANDREA NIETO AGUILAR"/>
    <s v="NO"/>
    <x v="2"/>
    <s v="GMM"/>
    <s v="NO"/>
    <n v="23.83"/>
    <m/>
    <n v="219.53731343283584"/>
    <m/>
    <s v="EN PROCESO"/>
    <m/>
    <s v="SI"/>
    <d v="2025-02-16T00:00:00"/>
    <n v="85"/>
    <m/>
    <m/>
    <m/>
  </r>
  <r>
    <x v="18"/>
    <d v="2024-02-15T00:00:00"/>
    <x v="1"/>
    <x v="2"/>
    <x v="1"/>
    <x v="17"/>
    <n v="15872"/>
    <s v="ELISA ANDREA NIETO AGUILAR"/>
    <s v="TITULAR"/>
    <n v="919969188"/>
    <n v="998545642"/>
    <s v="TARJETA DE CREDITO"/>
    <s v="MENSUAL"/>
    <s v="ELISA ANDREA NIETO AGUILAR"/>
    <s v="NO"/>
    <x v="3"/>
    <s v="SUPREMO 100K"/>
    <s v="NO"/>
    <n v="153.66999999999999"/>
    <m/>
    <n v="764.5273631840796"/>
    <m/>
    <s v="EMITIDO"/>
    <m/>
    <s v="SI"/>
    <d v="2025-02-15T00:00:00"/>
    <n v="86"/>
    <m/>
    <m/>
    <m/>
  </r>
  <r>
    <x v="19"/>
    <m/>
    <x v="1"/>
    <x v="0"/>
    <x v="0"/>
    <x v="18"/>
    <n v="4185108"/>
    <s v="SALINAS SQUADRITO CARLO PIO/PARLANSUCRE"/>
    <m/>
    <m/>
    <m/>
    <m/>
    <m/>
    <m/>
    <m/>
    <x v="1"/>
    <s v="EXPERIENCE WORLD 3.0 1M - 500 - 2500"/>
    <m/>
    <m/>
    <m/>
    <n v="4050.24"/>
    <m/>
    <m/>
    <m/>
    <m/>
    <d v="1900-12-31T00:00:00"/>
    <n v="45423"/>
    <m/>
    <m/>
    <m/>
  </r>
  <r>
    <x v="19"/>
    <m/>
    <x v="1"/>
    <x v="0"/>
    <x v="0"/>
    <x v="9"/>
    <n v="4185110"/>
    <s v="GUACHICHULLCA GUACHICHULCA EDGAR"/>
    <m/>
    <m/>
    <m/>
    <m/>
    <m/>
    <m/>
    <m/>
    <x v="1"/>
    <s v="SKY 70K PLUS 100"/>
    <m/>
    <m/>
    <m/>
    <n v="1500.6"/>
    <m/>
    <m/>
    <m/>
    <m/>
    <d v="1900-12-31T00:00:00"/>
    <n v="45423"/>
    <m/>
    <m/>
    <m/>
  </r>
  <r>
    <x v="20"/>
    <d v="2024-02-16T00:00:00"/>
    <x v="1"/>
    <x v="0"/>
    <x v="1"/>
    <x v="19"/>
    <s v="GM24G43193"/>
    <s v="LISSETTE JAZMIN QUINDE RAMIREZ"/>
    <s v="TITULAR"/>
    <n v="931594295"/>
    <n v="999252887"/>
    <s v="CUENTA DE AHORROS"/>
    <s v="MENSUAL"/>
    <s v="LISSETTE JAZMIN QUINDE RAMIREZ"/>
    <s v="NO"/>
    <x v="2"/>
    <s v="GMM 10MIL"/>
    <s v="NO"/>
    <n v="53.07"/>
    <m/>
    <n v="568.67164179104486"/>
    <m/>
    <s v="EMITIDO"/>
    <m/>
    <s v="SI"/>
    <d v="2025-02-16T00:00:00"/>
    <n v="85"/>
    <m/>
    <m/>
    <m/>
  </r>
  <r>
    <x v="21"/>
    <m/>
    <x v="1"/>
    <x v="0"/>
    <x v="0"/>
    <x v="11"/>
    <n v="4185273"/>
    <s v="CARDENAS SUMBA CRISTINA STEFANY"/>
    <m/>
    <m/>
    <m/>
    <m/>
    <m/>
    <m/>
    <m/>
    <x v="1"/>
    <s v="STAR 15K - 70"/>
    <m/>
    <m/>
    <m/>
    <n v="690.47"/>
    <m/>
    <m/>
    <m/>
    <m/>
    <d v="1900-12-31T00:00:00"/>
    <n v="45423"/>
    <m/>
    <m/>
    <m/>
  </r>
  <r>
    <x v="21"/>
    <m/>
    <x v="1"/>
    <x v="0"/>
    <x v="0"/>
    <x v="5"/>
    <n v="4185244"/>
    <s v="CABRERA GARCES INGRIDLIZ DANIELA"/>
    <m/>
    <m/>
    <m/>
    <m/>
    <m/>
    <m/>
    <m/>
    <x v="1"/>
    <s v="3D"/>
    <m/>
    <m/>
    <m/>
    <n v="3292.43"/>
    <m/>
    <m/>
    <m/>
    <m/>
    <d v="1900-12-31T00:00:00"/>
    <n v="45423"/>
    <m/>
    <m/>
    <m/>
  </r>
  <r>
    <x v="21"/>
    <m/>
    <x v="1"/>
    <x v="0"/>
    <x v="0"/>
    <x v="5"/>
    <n v="4185127"/>
    <s v="VERA VITE AURELIO AGAPITO"/>
    <m/>
    <m/>
    <m/>
    <m/>
    <m/>
    <m/>
    <m/>
    <x v="1"/>
    <s v="STAR 15K - 70"/>
    <m/>
    <m/>
    <m/>
    <n v="2036.94"/>
    <m/>
    <m/>
    <m/>
    <m/>
    <d v="1900-12-31T00:00:00"/>
    <n v="45423"/>
    <m/>
    <m/>
    <m/>
  </r>
  <r>
    <x v="22"/>
    <m/>
    <x v="1"/>
    <x v="0"/>
    <x v="0"/>
    <x v="2"/>
    <n v="4185337"/>
    <s v="AGUAYO CEDEÑO GENESIS YOLANDA"/>
    <m/>
    <m/>
    <m/>
    <m/>
    <m/>
    <m/>
    <m/>
    <x v="1"/>
    <s v="3D"/>
    <m/>
    <m/>
    <m/>
    <n v="3319.18"/>
    <m/>
    <m/>
    <m/>
    <m/>
    <d v="1900-12-31T00:00:00"/>
    <n v="45423"/>
    <m/>
    <m/>
    <m/>
  </r>
  <r>
    <x v="22"/>
    <m/>
    <x v="1"/>
    <x v="0"/>
    <x v="1"/>
    <x v="20"/>
    <n v="15891"/>
    <s v="TANNYA IVETTE DIAZ ALBUJA"/>
    <s v="TITULAR"/>
    <n v="701913287"/>
    <n v="989809313"/>
    <s v="CUENTA CORRIENTE"/>
    <s v="MENSUAL"/>
    <s v="TANNYA IVETTE DIAZ ALBUJA"/>
    <s v="NO"/>
    <x v="3"/>
    <s v="SENIOR 45000"/>
    <s v="NO"/>
    <n v="151.09"/>
    <m/>
    <n v="1804.0597014925374"/>
    <m/>
    <s v="EN PROCESO"/>
    <m/>
    <s v="SI"/>
    <d v="1900-12-31T00:00:00"/>
    <n v="45423"/>
    <m/>
    <m/>
    <m/>
  </r>
  <r>
    <x v="23"/>
    <m/>
    <x v="1"/>
    <x v="0"/>
    <x v="0"/>
    <x v="5"/>
    <n v="4185388"/>
    <s v="RENDON DE LA TORRE ANDRES JOSUE"/>
    <m/>
    <m/>
    <m/>
    <m/>
    <m/>
    <m/>
    <m/>
    <x v="1"/>
    <s v="5D"/>
    <m/>
    <m/>
    <m/>
    <n v="961.03"/>
    <m/>
    <m/>
    <m/>
    <m/>
    <d v="1900-12-31T00:00:00"/>
    <n v="45423"/>
    <m/>
    <m/>
    <m/>
  </r>
  <r>
    <x v="23"/>
    <m/>
    <x v="1"/>
    <x v="0"/>
    <x v="1"/>
    <x v="6"/>
    <n v="4185429"/>
    <s v="HAMDI JARJIR"/>
    <s v="DJIBRIL NAEL JARJIR MOLINA"/>
    <n v="963778758"/>
    <n v="982737077"/>
    <s v="CUENTA DE AHORROS"/>
    <s v="MENSUAL"/>
    <s v="HAMDI JARJIR"/>
    <s v="SI"/>
    <x v="1"/>
    <s v="7D"/>
    <s v="NO"/>
    <n v="135.88"/>
    <m/>
    <n v="1630.56"/>
    <m/>
    <s v="EN PROCESO"/>
    <m/>
    <s v="NO"/>
    <d v="1900-12-31T00:00:00"/>
    <n v="45423"/>
    <m/>
    <m/>
    <m/>
  </r>
  <r>
    <x v="24"/>
    <m/>
    <x v="1"/>
    <x v="0"/>
    <x v="1"/>
    <x v="21"/>
    <m/>
    <s v="WILLIAN BYRON SACON ARANA"/>
    <s v="TITULAR +1"/>
    <n v="926520493"/>
    <n v="981097439"/>
    <s v="CUENTA DE AHORROS"/>
    <s v="MENSUAL"/>
    <s v="WILLIAN BYRON SACON ARANA"/>
    <s v="NO"/>
    <x v="3"/>
    <s v="JR 20K"/>
    <s v="NO"/>
    <n v="161.88"/>
    <m/>
    <n v="1932.8955223880598"/>
    <m/>
    <s v="EN PROCESO"/>
    <m/>
    <s v="NO"/>
    <d v="1900-12-31T00:00:00"/>
    <n v="45423"/>
    <m/>
    <m/>
    <m/>
  </r>
  <r>
    <x v="25"/>
    <m/>
    <x v="1"/>
    <x v="0"/>
    <x v="0"/>
    <x v="5"/>
    <n v="4184616"/>
    <s v="SARES VALDIVIEZO NANCY KARINA"/>
    <m/>
    <m/>
    <m/>
    <m/>
    <m/>
    <m/>
    <m/>
    <x v="1"/>
    <s v="SKY 50K PLUS 100"/>
    <m/>
    <m/>
    <m/>
    <n v="3423.89"/>
    <m/>
    <m/>
    <m/>
    <m/>
    <d v="1900-12-31T00:00:00"/>
    <n v="45423"/>
    <m/>
    <m/>
    <m/>
  </r>
  <r>
    <x v="25"/>
    <m/>
    <x v="1"/>
    <x v="0"/>
    <x v="0"/>
    <x v="2"/>
    <n v="4185536"/>
    <s v="CORREA ZULOAGA MARCELA/FREDY RODRIGUEZ"/>
    <m/>
    <m/>
    <m/>
    <m/>
    <m/>
    <m/>
    <m/>
    <x v="1"/>
    <s v="EXPERIENCE WORLD 3.0 1M - 5000 D-5000"/>
    <m/>
    <m/>
    <m/>
    <n v="1774.86"/>
    <m/>
    <m/>
    <m/>
    <m/>
    <d v="1900-12-31T00:00:00"/>
    <n v="45423"/>
    <m/>
    <m/>
    <m/>
  </r>
  <r>
    <x v="25"/>
    <d v="2024-02-16T00:00:00"/>
    <x v="1"/>
    <x v="0"/>
    <x v="1"/>
    <x v="14"/>
    <s v="GM24G43402"/>
    <s v="ANA ELIZABETH MINA MEDINA"/>
    <s v="TITULAR"/>
    <n v="802944702"/>
    <n v="991230636"/>
    <s v="TARJETA DE CREDITO"/>
    <s v="MENSUAL"/>
    <s v="ANA ELIZABETH MINA MEDINA"/>
    <s v="NO"/>
    <x v="2"/>
    <s v="GMM 15MIL"/>
    <s v="NO"/>
    <n v="28.42"/>
    <m/>
    <n v="274.34328358208961"/>
    <m/>
    <s v="EN PROCESO"/>
    <m/>
    <s v="SI"/>
    <d v="2025-02-16T00:00:00"/>
    <n v="85"/>
    <m/>
    <m/>
    <m/>
  </r>
  <r>
    <x v="25"/>
    <m/>
    <x v="1"/>
    <x v="0"/>
    <x v="1"/>
    <x v="14"/>
    <m/>
    <s v="ANA ELIZABETH MINA MEDINA"/>
    <s v="TITULAR"/>
    <n v="802944702"/>
    <n v="991230636"/>
    <s v="TARJETA DE CREDITO"/>
    <s v="MENSUAL"/>
    <s v="ANA ELIZABETH MINA MEDINA"/>
    <s v="NO"/>
    <x v="3"/>
    <s v="SUPREMO "/>
    <s v="NO"/>
    <n v="104.64"/>
    <m/>
    <n v="1249.4328358208957"/>
    <m/>
    <s v="EN PROCESO"/>
    <m/>
    <s v="NO"/>
    <d v="1900-12-31T00:00:00"/>
    <n v="45423"/>
    <m/>
    <m/>
    <m/>
  </r>
  <r>
    <x v="26"/>
    <d v="2024-04-24T00:00:00"/>
    <x v="2"/>
    <x v="3"/>
    <x v="1"/>
    <x v="15"/>
    <m/>
    <s v="HELLEN LISETTE CAMACHO CEDEÑO"/>
    <m/>
    <m/>
    <m/>
    <m/>
    <s v="MENSUAL"/>
    <s v="HELLEN LISETTE CAMACHO CEDEÑO"/>
    <s v="NO"/>
    <x v="8"/>
    <s v="PLAN GOLD"/>
    <s v="NO"/>
    <n v="159.65"/>
    <m/>
    <n v="1906.2686567164183"/>
    <m/>
    <s v="EN PROCESO"/>
    <m/>
    <s v="NO"/>
    <d v="2025-04-24T00:00:00"/>
    <n v="18"/>
    <m/>
    <m/>
    <m/>
  </r>
  <r>
    <x v="27"/>
    <m/>
    <x v="1"/>
    <x v="0"/>
    <x v="0"/>
    <x v="18"/>
    <n v="4185775"/>
    <s v="BEDOYA SEPULVEDA SEBASTIAN"/>
    <m/>
    <m/>
    <m/>
    <m/>
    <m/>
    <m/>
    <m/>
    <x v="1"/>
    <s v="SKY 70 PLUS - 100"/>
    <m/>
    <m/>
    <m/>
    <n v="1004.49"/>
    <m/>
    <m/>
    <m/>
    <m/>
    <d v="1900-12-31T00:00:00"/>
    <n v="45423"/>
    <m/>
    <m/>
    <m/>
  </r>
  <r>
    <x v="27"/>
    <m/>
    <x v="1"/>
    <x v="0"/>
    <x v="0"/>
    <x v="18"/>
    <n v="4185801"/>
    <s v="GIRALDO GOMEZ ANDRES FELIPE"/>
    <m/>
    <m/>
    <m/>
    <m/>
    <m/>
    <m/>
    <m/>
    <x v="1"/>
    <s v="SKY 70 PLUS - 101"/>
    <m/>
    <m/>
    <m/>
    <n v="1004.49"/>
    <m/>
    <m/>
    <m/>
    <m/>
    <d v="1900-12-31T00:00:00"/>
    <n v="45423"/>
    <m/>
    <m/>
    <m/>
  </r>
  <r>
    <x v="27"/>
    <m/>
    <x v="1"/>
    <x v="0"/>
    <x v="0"/>
    <x v="18"/>
    <n v="4185803"/>
    <s v="SALAZAR ESPINOZA GIOVANNY ESTIVEN"/>
    <m/>
    <m/>
    <m/>
    <m/>
    <m/>
    <m/>
    <m/>
    <x v="1"/>
    <s v="SKY 70 PLUS - 102"/>
    <m/>
    <m/>
    <m/>
    <n v="1004.49"/>
    <m/>
    <m/>
    <m/>
    <m/>
    <d v="1900-12-31T00:00:00"/>
    <n v="45423"/>
    <m/>
    <m/>
    <m/>
  </r>
  <r>
    <x v="27"/>
    <m/>
    <x v="1"/>
    <x v="0"/>
    <x v="0"/>
    <x v="8"/>
    <n v="4185772"/>
    <s v="NUÑEZ NUÑEZ ELENA NATALY"/>
    <m/>
    <m/>
    <m/>
    <m/>
    <m/>
    <m/>
    <m/>
    <x v="1"/>
    <s v="3D"/>
    <m/>
    <m/>
    <m/>
    <n v="983.83"/>
    <m/>
    <m/>
    <m/>
    <m/>
    <d v="1900-12-31T00:00:00"/>
    <n v="45423"/>
    <m/>
    <m/>
    <m/>
  </r>
  <r>
    <x v="27"/>
    <m/>
    <x v="1"/>
    <x v="0"/>
    <x v="1"/>
    <x v="15"/>
    <s v="GM24G43460"/>
    <s v="FIENCO BOZA CRISTINA ESTEPHANIA"/>
    <s v="TITULAR +1"/>
    <n v="925070039"/>
    <n v="988084288"/>
    <s v="TARJETA DE CREDITO"/>
    <s v="MENSUAL"/>
    <s v="FIENCO BOZA CRISTINA ESTEPHANIA"/>
    <s v="NO"/>
    <x v="2"/>
    <s v="GMM 10MIL"/>
    <s v="NO"/>
    <n v="54"/>
    <m/>
    <n v="579.77611940298516"/>
    <m/>
    <s v="EMITIDO"/>
    <m/>
    <s v="SI"/>
    <d v="1900-12-31T00:00:00"/>
    <n v="45423"/>
    <m/>
    <m/>
    <m/>
  </r>
  <r>
    <x v="27"/>
    <m/>
    <x v="1"/>
    <x v="0"/>
    <x v="1"/>
    <x v="15"/>
    <m/>
    <m/>
    <s v="SEGURO DE VIDA"/>
    <m/>
    <m/>
    <m/>
    <m/>
    <m/>
    <m/>
    <x v="9"/>
    <m/>
    <m/>
    <m/>
    <n v="1200"/>
    <n v="1200"/>
    <m/>
    <s v="EN PROCESO"/>
    <m/>
    <s v="NO"/>
    <d v="1900-12-31T00:00:00"/>
    <n v="45423"/>
    <m/>
    <m/>
    <m/>
  </r>
  <r>
    <x v="27"/>
    <m/>
    <x v="1"/>
    <x v="0"/>
    <x v="1"/>
    <x v="22"/>
    <m/>
    <s v="KEVIN JAVIER VERA HENRIQUEZ "/>
    <s v="TITULAR +1"/>
    <n v="940962780"/>
    <n v="994961700"/>
    <s v="CUENTA DE AHORROS"/>
    <s v="MENSUAL"/>
    <s v="JOSELINE GABRIELA AGUAYO BRIONES"/>
    <s v="NO"/>
    <x v="5"/>
    <s v="ASISPRO 30"/>
    <s v="NO"/>
    <n v="73.84"/>
    <m/>
    <n v="823.99218858976155"/>
    <m/>
    <s v="EN PROCESO"/>
    <m/>
    <s v="NO"/>
    <d v="1900-12-31T00:00:00"/>
    <n v="45423"/>
    <m/>
    <m/>
    <m/>
  </r>
  <r>
    <x v="28"/>
    <m/>
    <x v="1"/>
    <x v="0"/>
    <x v="0"/>
    <x v="4"/>
    <n v="4185868"/>
    <s v="CASSIS VELASQUEZ NICOLAS IVAN"/>
    <m/>
    <m/>
    <m/>
    <m/>
    <m/>
    <m/>
    <m/>
    <x v="1"/>
    <s v="SKY 50 PLUS - 100"/>
    <m/>
    <m/>
    <m/>
    <n v="1713.73"/>
    <m/>
    <m/>
    <m/>
    <m/>
    <d v="1900-12-31T00:00:00"/>
    <n v="45423"/>
    <m/>
    <m/>
    <m/>
  </r>
  <r>
    <x v="29"/>
    <d v="2024-02-22T00:00:00"/>
    <x v="1"/>
    <x v="0"/>
    <x v="1"/>
    <x v="23"/>
    <n v="4185936"/>
    <s v="MARIELLA IVONNE ORELLANA PONCE"/>
    <s v="LINDSAY YARETH NIEVES ORELLANA"/>
    <n v="927296061"/>
    <n v="982516340"/>
    <s v="CUENTA DE AHORROS"/>
    <s v="MENSUAL"/>
    <m/>
    <s v="NO"/>
    <x v="1"/>
    <s v="ELITE 5D"/>
    <s v="NO"/>
    <n v="75.34"/>
    <m/>
    <n v="904.08"/>
    <m/>
    <s v="EN PROCESO"/>
    <m/>
    <s v="NO"/>
    <d v="2025-02-22T00:00:00"/>
    <n v="79"/>
    <m/>
    <m/>
    <m/>
  </r>
  <r>
    <x v="29"/>
    <d v="2024-02-22T00:00:00"/>
    <x v="1"/>
    <x v="0"/>
    <x v="1"/>
    <x v="23"/>
    <s v="GM24G43524"/>
    <s v="LUISANA MONSERRAT SANTANA CADENA"/>
    <s v="TITULAR +3"/>
    <n v="1311716607"/>
    <m/>
    <s v="TRANSFERENCIA"/>
    <s v="ANUAL"/>
    <s v="LUISANA MONSERRAT SANTANA CADENA"/>
    <s v="NO"/>
    <x v="2"/>
    <s v="GMM"/>
    <s v="NO"/>
    <n v="0"/>
    <n v="895.4"/>
    <n v="825.94527363184091"/>
    <m/>
    <s v="EMITIDO"/>
    <m/>
    <s v="SI"/>
    <d v="2025-02-22T00:00:00"/>
    <n v="79"/>
    <m/>
    <m/>
    <m/>
  </r>
  <r>
    <x v="30"/>
    <m/>
    <x v="1"/>
    <x v="0"/>
    <x v="0"/>
    <x v="13"/>
    <n v="4186005"/>
    <s v="MARTIN ESCALA ANDRES PATRICIO"/>
    <m/>
    <m/>
    <m/>
    <m/>
    <m/>
    <m/>
    <m/>
    <x v="1"/>
    <s v="STAR 30K - 90"/>
    <m/>
    <m/>
    <m/>
    <n v="998.64"/>
    <m/>
    <m/>
    <m/>
    <m/>
    <d v="1900-12-31T00:00:00"/>
    <n v="45423"/>
    <m/>
    <m/>
    <m/>
  </r>
  <r>
    <x v="30"/>
    <m/>
    <x v="1"/>
    <x v="0"/>
    <x v="0"/>
    <x v="13"/>
    <n v="4186041"/>
    <s v="AGUILAR CEDEÑO ALBERTO XAVIER"/>
    <m/>
    <m/>
    <m/>
    <m/>
    <m/>
    <m/>
    <m/>
    <x v="1"/>
    <s v="SKY 50K PLUS - 500"/>
    <m/>
    <m/>
    <m/>
    <n v="1321.86"/>
    <m/>
    <m/>
    <m/>
    <m/>
    <d v="1900-12-31T00:00:00"/>
    <n v="45423"/>
    <m/>
    <m/>
    <m/>
  </r>
  <r>
    <x v="30"/>
    <m/>
    <x v="1"/>
    <x v="0"/>
    <x v="0"/>
    <x v="5"/>
    <m/>
    <s v="CUADRADO EGAS CARLOS ALBERTO"/>
    <m/>
    <m/>
    <m/>
    <m/>
    <m/>
    <m/>
    <m/>
    <x v="0"/>
    <s v="MH 150"/>
    <m/>
    <m/>
    <m/>
    <n v="6024.8"/>
    <m/>
    <m/>
    <m/>
    <m/>
    <d v="1900-12-31T00:00:00"/>
    <n v="45423"/>
    <m/>
    <m/>
    <m/>
  </r>
  <r>
    <x v="30"/>
    <m/>
    <x v="1"/>
    <x v="0"/>
    <x v="0"/>
    <x v="2"/>
    <n v="4185858"/>
    <s v="ALAVA HERMIDA MARIA MILAGRO"/>
    <m/>
    <m/>
    <m/>
    <m/>
    <m/>
    <m/>
    <m/>
    <x v="1"/>
    <s v="5D"/>
    <m/>
    <m/>
    <m/>
    <n v="2456.5100000000002"/>
    <m/>
    <m/>
    <m/>
    <m/>
    <d v="1900-12-31T00:00:00"/>
    <n v="45423"/>
    <m/>
    <m/>
    <m/>
  </r>
  <r>
    <x v="30"/>
    <d v="2024-03-01T00:00:00"/>
    <x v="1"/>
    <x v="0"/>
    <x v="1"/>
    <x v="23"/>
    <s v="GM24G43562"/>
    <s v="ANDREA KATHERINE PEREZ VARGAS"/>
    <s v="TITULAR"/>
    <n v="922346556"/>
    <n v="993011988"/>
    <s v="CUENTA DE AHORROS"/>
    <s v="MENSUAL"/>
    <s v="ANDREA KATHERINE PEREZ VARGAS"/>
    <s v="NO"/>
    <x v="2"/>
    <s v="GMM 10MIL"/>
    <s v="NO"/>
    <n v="30.65"/>
    <m/>
    <n v="300.97014925373134"/>
    <m/>
    <s v="EMITIDO"/>
    <m/>
    <s v="SI"/>
    <d v="2025-03-01T00:00:00"/>
    <n v="72"/>
    <m/>
    <m/>
    <m/>
  </r>
  <r>
    <x v="31"/>
    <m/>
    <x v="1"/>
    <x v="0"/>
    <x v="1"/>
    <x v="24"/>
    <m/>
    <s v="KEVIN ROBERTO ACOSTA MICHUY"/>
    <s v="TITULAR"/>
    <n v="942498882"/>
    <n v="968692621"/>
    <s v="CUENTA DE AHORROS"/>
    <s v="MENSUAL"/>
    <s v="KEVIN ROBERTO ACOSTA MICHUY"/>
    <s v="NO"/>
    <x v="5"/>
    <s v="CURAE SUMA"/>
    <s v="NO"/>
    <n v="228.95"/>
    <m/>
    <n v="2554.8891058725067"/>
    <m/>
    <s v="EN PROCESO"/>
    <m/>
    <s v="NO"/>
    <d v="1900-12-31T00:00:00"/>
    <n v="45423"/>
    <m/>
    <m/>
    <m/>
  </r>
  <r>
    <x v="31"/>
    <m/>
    <x v="1"/>
    <x v="0"/>
    <x v="1"/>
    <x v="21"/>
    <m/>
    <s v="SACON ARANA WILLIAM BYRON_x0009_"/>
    <s v="TITULAR +1"/>
    <n v="926520495"/>
    <n v="926520495"/>
    <s v="CUENTA DE AHORROS"/>
    <s v="MENSUAL"/>
    <s v="SACON ARANA WILLIAM BYRON_x0009_"/>
    <s v="NO"/>
    <x v="2"/>
    <s v="GMM 5MIL"/>
    <s v="NO"/>
    <n v="108.86"/>
    <m/>
    <n v="1234.8208955223881"/>
    <m/>
    <s v="EN PROCESO"/>
    <m/>
    <s v="NO"/>
    <d v="1900-12-31T00:00:00"/>
    <n v="45423"/>
    <m/>
    <m/>
    <m/>
  </r>
  <r>
    <x v="32"/>
    <m/>
    <x v="1"/>
    <x v="0"/>
    <x v="0"/>
    <x v="13"/>
    <n v="4186009"/>
    <s v="ANDRADE ESPAÑA CARLOS JAVIER"/>
    <m/>
    <m/>
    <m/>
    <m/>
    <m/>
    <m/>
    <m/>
    <x v="1"/>
    <s v="SKY 50K PLUS - 100 - 1500"/>
    <m/>
    <m/>
    <m/>
    <n v="2039.33"/>
    <m/>
    <m/>
    <m/>
    <m/>
    <d v="1900-12-31T00:00:00"/>
    <n v="45423"/>
    <m/>
    <m/>
    <m/>
  </r>
  <r>
    <x v="32"/>
    <m/>
    <x v="1"/>
    <x v="0"/>
    <x v="0"/>
    <x v="13"/>
    <m/>
    <s v="CRUZ WONG ISRAEL VLADIMIR"/>
    <m/>
    <m/>
    <m/>
    <m/>
    <m/>
    <m/>
    <m/>
    <x v="4"/>
    <s v="Term"/>
    <m/>
    <m/>
    <m/>
    <n v="787.5"/>
    <m/>
    <m/>
    <m/>
    <m/>
    <d v="1900-12-31T00:00:00"/>
    <n v="45423"/>
    <m/>
    <m/>
    <m/>
  </r>
  <r>
    <x v="32"/>
    <m/>
    <x v="1"/>
    <x v="0"/>
    <x v="0"/>
    <x v="8"/>
    <n v="4186159"/>
    <s v="PARRAGA VERA GEMA ANDREINA"/>
    <m/>
    <m/>
    <m/>
    <m/>
    <m/>
    <m/>
    <m/>
    <x v="1"/>
    <s v="3D"/>
    <m/>
    <m/>
    <m/>
    <n v="1831.1"/>
    <m/>
    <m/>
    <m/>
    <m/>
    <d v="1900-12-31T00:00:00"/>
    <n v="45423"/>
    <m/>
    <m/>
    <m/>
  </r>
  <r>
    <x v="32"/>
    <m/>
    <x v="1"/>
    <x v="0"/>
    <x v="0"/>
    <x v="2"/>
    <n v="4186107"/>
    <s v="MIRABA ROMERO CHRISTIAN JAMPIER"/>
    <m/>
    <m/>
    <m/>
    <m/>
    <m/>
    <m/>
    <m/>
    <x v="1"/>
    <s v="RESPALDO TOTAL PLUS"/>
    <m/>
    <m/>
    <m/>
    <n v="2112.88"/>
    <m/>
    <m/>
    <m/>
    <m/>
    <d v="1900-12-31T00:00:00"/>
    <n v="45423"/>
    <m/>
    <m/>
    <m/>
  </r>
  <r>
    <x v="32"/>
    <m/>
    <x v="1"/>
    <x v="0"/>
    <x v="1"/>
    <x v="15"/>
    <m/>
    <s v="CHRYSTEL MAITE CASTRO PILPE"/>
    <s v="TITULAR"/>
    <n v="926229451"/>
    <n v="981219069"/>
    <s v="CUENTA DE AHORROS"/>
    <s v="MENSUAL"/>
    <s v="CHRYSTEL MAITE CASTRO PILPE"/>
    <s v="SI"/>
    <x v="3"/>
    <s v="MASTER 75000"/>
    <s v="NO"/>
    <n v="84.83"/>
    <m/>
    <n v="1012.8955223880598"/>
    <m/>
    <s v="EN PROCESO"/>
    <m/>
    <s v="NO"/>
    <d v="1900-12-31T00:00:00"/>
    <n v="45423"/>
    <m/>
    <m/>
    <m/>
  </r>
  <r>
    <x v="32"/>
    <m/>
    <x v="1"/>
    <x v="0"/>
    <x v="1"/>
    <x v="6"/>
    <m/>
    <s v="MARIA GABRIELA RODRIGUEZ DAVILA"/>
    <s v="2 DEPENDIENTES"/>
    <n v="924297484"/>
    <n v="978980554"/>
    <s v="CUENTA DE AHORROS"/>
    <s v="MENSUAL"/>
    <s v="MARIA GABRIELA RODRIGUEZ DAVILA"/>
    <s v="NO"/>
    <x v="1"/>
    <s v="5D"/>
    <s v="NO"/>
    <n v="153.81"/>
    <m/>
    <n v="1845.72"/>
    <m/>
    <s v="EN PROCESO"/>
    <m/>
    <s v="NO"/>
    <d v="1900-12-31T00:00:00"/>
    <n v="45423"/>
    <m/>
    <m/>
    <m/>
  </r>
  <r>
    <x v="32"/>
    <m/>
    <x v="1"/>
    <x v="0"/>
    <x v="1"/>
    <x v="22"/>
    <m/>
    <s v="ROMMEL CESAR TUCKER MANZO"/>
    <s v="TITULAR"/>
    <n v="923729032"/>
    <n v="990964549"/>
    <s v="CUENTA DE AHORROS"/>
    <s v="MENSUAL"/>
    <s v="ROMMEL CESAR TUCKER MANZO"/>
    <s v="NO"/>
    <x v="5"/>
    <s v="ASISPRO 30"/>
    <s v="NO"/>
    <n v="78.31"/>
    <m/>
    <n v="873.87362254149821"/>
    <m/>
    <s v="EN PROCESO"/>
    <m/>
    <s v="NO"/>
    <d v="1900-12-31T00:00:00"/>
    <n v="45423"/>
    <m/>
    <m/>
    <m/>
  </r>
  <r>
    <x v="33"/>
    <m/>
    <x v="1"/>
    <x v="0"/>
    <x v="1"/>
    <x v="23"/>
    <s v="GM24G43676"/>
    <s v="MARCO ANDRES DARQUEA PAZMIÑO"/>
    <s v="TITUALAR"/>
    <n v="1724027824"/>
    <n v="1724027824"/>
    <s v="TARJETA DE CREDITO"/>
    <s v="MENSUAL"/>
    <s v="DARQUEA PAZMIÑO MARCO ANDRES_x0009_"/>
    <s v="NO"/>
    <x v="2"/>
    <s v="GMM 10MIL"/>
    <s v="NO"/>
    <n v="30.64833333333333"/>
    <m/>
    <n v="300.95024875621891"/>
    <m/>
    <s v="EN PROCESO"/>
    <m/>
    <s v="NO"/>
    <d v="1900-12-31T00:00:00"/>
    <n v="45423"/>
    <m/>
    <m/>
    <m/>
  </r>
  <r>
    <x v="34"/>
    <m/>
    <x v="1"/>
    <x v="0"/>
    <x v="1"/>
    <x v="14"/>
    <m/>
    <s v="ANDREA GABRIELA VERA LEON"/>
    <s v="TITULAR"/>
    <n v="950479345"/>
    <n v="992712814"/>
    <s v="CUENTA DE AHORROS"/>
    <s v="MENSUAL"/>
    <s v="DANIEL VERA BRIONES"/>
    <s v="NO"/>
    <x v="3"/>
    <s v="JR 20K"/>
    <s v="NO"/>
    <n v="56.49"/>
    <m/>
    <n v="674.50746268656724"/>
    <m/>
    <s v="EN PROCESO"/>
    <m/>
    <s v="NO"/>
    <d v="1900-12-31T00:00:00"/>
    <n v="45423"/>
    <m/>
    <m/>
    <m/>
  </r>
  <r>
    <x v="34"/>
    <m/>
    <x v="1"/>
    <x v="0"/>
    <x v="1"/>
    <x v="25"/>
    <m/>
    <s v="FABIOLA ALEXANDRA ANDRADE RODRIGUEZ"/>
    <s v="SEGURO DE VIDA"/>
    <m/>
    <m/>
    <m/>
    <m/>
    <m/>
    <m/>
    <x v="4"/>
    <m/>
    <m/>
    <m/>
    <n v="1905"/>
    <n v="1905"/>
    <m/>
    <s v="EN PROCESO"/>
    <m/>
    <s v="NO"/>
    <d v="1900-12-31T00:00:00"/>
    <n v="45423"/>
    <m/>
    <m/>
    <m/>
  </r>
  <r>
    <x v="35"/>
    <m/>
    <x v="3"/>
    <x v="0"/>
    <x v="0"/>
    <x v="18"/>
    <s v="GM24G43601"/>
    <s v="ANDRADE PIEDRAHITA DINORA GUILLERMINA"/>
    <m/>
    <m/>
    <m/>
    <m/>
    <m/>
    <m/>
    <m/>
    <x v="2"/>
    <s v="GMM"/>
    <m/>
    <m/>
    <m/>
    <n v="1767.29"/>
    <m/>
    <m/>
    <m/>
    <m/>
    <d v="1900-12-31T00:00:00"/>
    <n v="45423"/>
    <m/>
    <m/>
    <m/>
  </r>
  <r>
    <x v="35"/>
    <m/>
    <x v="3"/>
    <x v="0"/>
    <x v="0"/>
    <x v="9"/>
    <n v="4186645"/>
    <s v="OYAGUE PAREDES JOSE GUILLERMO"/>
    <m/>
    <m/>
    <m/>
    <m/>
    <m/>
    <m/>
    <m/>
    <x v="1"/>
    <s v="SKY 50K PLUS 100"/>
    <m/>
    <m/>
    <m/>
    <n v="1249.8599999999999"/>
    <m/>
    <m/>
    <m/>
    <m/>
    <d v="1900-12-31T00:00:00"/>
    <n v="45423"/>
    <m/>
    <m/>
    <m/>
  </r>
  <r>
    <x v="35"/>
    <m/>
    <x v="3"/>
    <x v="0"/>
    <x v="0"/>
    <x v="11"/>
    <n v="4186656"/>
    <s v="VELEZ RODRIGUEZ DIANA ELOIZA"/>
    <m/>
    <m/>
    <m/>
    <m/>
    <m/>
    <m/>
    <m/>
    <x v="1"/>
    <s v="STAR 15K - 70"/>
    <m/>
    <m/>
    <m/>
    <n v="828.61"/>
    <m/>
    <m/>
    <m/>
    <m/>
    <d v="1900-12-31T00:00:00"/>
    <n v="45423"/>
    <m/>
    <m/>
    <m/>
  </r>
  <r>
    <x v="35"/>
    <m/>
    <x v="3"/>
    <x v="0"/>
    <x v="0"/>
    <x v="5"/>
    <n v="4186688"/>
    <s v="SERRANO MOSQUERA HENRY GIOVANNI"/>
    <m/>
    <m/>
    <m/>
    <m/>
    <m/>
    <m/>
    <m/>
    <x v="1"/>
    <s v="ONCOCARE"/>
    <m/>
    <m/>
    <m/>
    <n v="1122.22"/>
    <m/>
    <m/>
    <m/>
    <m/>
    <d v="1900-12-31T00:00:00"/>
    <n v="45423"/>
    <m/>
    <m/>
    <m/>
  </r>
  <r>
    <x v="35"/>
    <m/>
    <x v="3"/>
    <x v="0"/>
    <x v="0"/>
    <x v="5"/>
    <n v="4186711"/>
    <s v="FIGUEROA VALENCIA JILARY DAMARIS"/>
    <m/>
    <m/>
    <m/>
    <m/>
    <m/>
    <m/>
    <m/>
    <x v="1"/>
    <s v="STAR 15K - 70"/>
    <m/>
    <m/>
    <m/>
    <n v="828.61"/>
    <m/>
    <m/>
    <m/>
    <m/>
    <d v="1900-12-31T00:00:00"/>
    <n v="45423"/>
    <m/>
    <m/>
    <m/>
  </r>
  <r>
    <x v="35"/>
    <m/>
    <x v="3"/>
    <x v="0"/>
    <x v="0"/>
    <x v="2"/>
    <m/>
    <s v="QUINTANA HERRERA WALTER DAVID"/>
    <m/>
    <m/>
    <m/>
    <m/>
    <m/>
    <m/>
    <m/>
    <x v="0"/>
    <s v="PH 15"/>
    <m/>
    <m/>
    <m/>
    <n v="901.35"/>
    <m/>
    <m/>
    <m/>
    <m/>
    <d v="1900-12-31T00:00:00"/>
    <n v="45423"/>
    <m/>
    <m/>
    <m/>
  </r>
  <r>
    <x v="35"/>
    <m/>
    <x v="3"/>
    <x v="0"/>
    <x v="0"/>
    <x v="2"/>
    <s v="SI24G43950"/>
    <s v="BURGOS PLATON JOSE OSWALDO"/>
    <m/>
    <m/>
    <m/>
    <m/>
    <m/>
    <m/>
    <m/>
    <x v="4"/>
    <s v="Sigma"/>
    <m/>
    <m/>
    <m/>
    <n v="4484.91"/>
    <m/>
    <m/>
    <m/>
    <m/>
    <d v="1900-12-31T00:00:00"/>
    <n v="45423"/>
    <m/>
    <m/>
    <m/>
  </r>
  <r>
    <x v="35"/>
    <m/>
    <x v="3"/>
    <x v="0"/>
    <x v="0"/>
    <x v="2"/>
    <n v="4186080"/>
    <s v="DUQUE AREVALO XAVIER FERNANDO"/>
    <m/>
    <m/>
    <m/>
    <m/>
    <m/>
    <m/>
    <m/>
    <x v="1"/>
    <s v="5D"/>
    <m/>
    <m/>
    <m/>
    <n v="2115.27"/>
    <m/>
    <m/>
    <m/>
    <m/>
    <d v="1900-12-31T00:00:00"/>
    <n v="45423"/>
    <m/>
    <m/>
    <m/>
  </r>
  <r>
    <x v="36"/>
    <m/>
    <x v="3"/>
    <x v="3"/>
    <x v="0"/>
    <x v="26"/>
    <n v="292205"/>
    <s v="MACIAS MERCHAN RAMONA DEL JESUS"/>
    <m/>
    <m/>
    <m/>
    <m/>
    <m/>
    <m/>
    <m/>
    <x v="0"/>
    <m/>
    <m/>
    <n v="355.88"/>
    <m/>
    <n v="4249.313432835821"/>
    <m/>
    <m/>
    <m/>
    <m/>
    <d v="1900-12-31T00:00:00"/>
    <n v="45423"/>
    <m/>
    <m/>
    <m/>
  </r>
  <r>
    <x v="36"/>
    <m/>
    <x v="3"/>
    <x v="0"/>
    <x v="0"/>
    <x v="1"/>
    <n v="4186643"/>
    <s v="MERCHAN LOPEZ XAVIER FERNANDO"/>
    <m/>
    <m/>
    <m/>
    <m/>
    <m/>
    <m/>
    <m/>
    <x v="1"/>
    <s v="STAR 15K - 70"/>
    <m/>
    <m/>
    <m/>
    <n v="1369.88"/>
    <m/>
    <m/>
    <m/>
    <m/>
    <d v="1900-12-31T00:00:00"/>
    <n v="45423"/>
    <m/>
    <m/>
    <m/>
  </r>
  <r>
    <x v="36"/>
    <m/>
    <x v="3"/>
    <x v="0"/>
    <x v="0"/>
    <x v="13"/>
    <s v="MT00754587"/>
    <s v="PEREZ ONOFRE AMADA VICENTA"/>
    <m/>
    <m/>
    <m/>
    <m/>
    <m/>
    <m/>
    <m/>
    <x v="4"/>
    <s v="Term 100"/>
    <m/>
    <m/>
    <m/>
    <n v="537.5"/>
    <m/>
    <m/>
    <m/>
    <m/>
    <d v="1900-12-31T00:00:00"/>
    <n v="45423"/>
    <m/>
    <m/>
    <m/>
  </r>
  <r>
    <x v="36"/>
    <m/>
    <x v="3"/>
    <x v="0"/>
    <x v="0"/>
    <x v="2"/>
    <n v="4186739"/>
    <s v="RODRIGUEZ BASANTES VERONICA VIOLETA"/>
    <m/>
    <m/>
    <m/>
    <m/>
    <m/>
    <m/>
    <m/>
    <x v="1"/>
    <s v="STAR 15K - 70"/>
    <m/>
    <m/>
    <m/>
    <n v="1366.51"/>
    <m/>
    <m/>
    <m/>
    <m/>
    <d v="1900-12-31T00:00:00"/>
    <n v="45423"/>
    <m/>
    <m/>
    <m/>
  </r>
  <r>
    <x v="36"/>
    <m/>
    <x v="3"/>
    <x v="0"/>
    <x v="1"/>
    <x v="27"/>
    <m/>
    <s v="KEILA EUNICE VIVANCO MORAN"/>
    <s v="TITULAR +1"/>
    <n v="959155318"/>
    <n v="997715388"/>
    <s v="TARJETA DE CREDITO"/>
    <s v="MENSUAL"/>
    <s v="KEILA EUNICE VIVANCO MORAN"/>
    <s v="SI"/>
    <x v="3"/>
    <s v="JR 20K"/>
    <s v="NO"/>
    <n v="122.73"/>
    <n v="0"/>
    <n v="1465.4328358208957"/>
    <m/>
    <s v="EN PROCESO"/>
    <m/>
    <s v="NO"/>
    <d v="1900-12-31T00:00:00"/>
    <n v="45423"/>
    <m/>
    <m/>
    <m/>
  </r>
  <r>
    <x v="37"/>
    <m/>
    <x v="3"/>
    <x v="0"/>
    <x v="0"/>
    <x v="1"/>
    <n v="4186798"/>
    <s v="MEJIA ESPINOZA MICHELLE JERANEA"/>
    <m/>
    <m/>
    <m/>
    <m/>
    <m/>
    <m/>
    <m/>
    <x v="1"/>
    <s v="SKY 50K PLUS - 100"/>
    <m/>
    <m/>
    <m/>
    <n v="1234.3399999999999"/>
    <m/>
    <m/>
    <m/>
    <m/>
    <d v="1900-12-31T00:00:00"/>
    <n v="45423"/>
    <m/>
    <m/>
    <m/>
  </r>
  <r>
    <x v="37"/>
    <m/>
    <x v="3"/>
    <x v="0"/>
    <x v="0"/>
    <x v="18"/>
    <m/>
    <s v="BAIDAL BARZOLA CARMEN VERONICA"/>
    <m/>
    <m/>
    <m/>
    <m/>
    <m/>
    <m/>
    <m/>
    <x v="4"/>
    <s v="BEST INDEXED 100 NASDAQ"/>
    <m/>
    <m/>
    <m/>
    <n v="1972"/>
    <m/>
    <m/>
    <m/>
    <m/>
    <d v="1900-12-31T00:00:00"/>
    <n v="45423"/>
    <m/>
    <m/>
    <m/>
  </r>
  <r>
    <x v="37"/>
    <m/>
    <x v="3"/>
    <x v="0"/>
    <x v="0"/>
    <x v="18"/>
    <m/>
    <s v="BAIDAL BARZOLA IVONNE FRANCISCA"/>
    <m/>
    <m/>
    <m/>
    <m/>
    <m/>
    <m/>
    <m/>
    <x v="4"/>
    <s v="BEST INDEXED 100 NASDAQ"/>
    <m/>
    <m/>
    <m/>
    <n v="1569"/>
    <m/>
    <m/>
    <m/>
    <m/>
    <d v="1900-12-31T00:00:00"/>
    <n v="45423"/>
    <m/>
    <m/>
    <m/>
  </r>
  <r>
    <x v="37"/>
    <m/>
    <x v="3"/>
    <x v="3"/>
    <x v="0"/>
    <x v="4"/>
    <n v="28478"/>
    <s v="MELO ENRIQUEZ MARIBEL MARIUXI"/>
    <m/>
    <m/>
    <m/>
    <m/>
    <m/>
    <m/>
    <m/>
    <x v="5"/>
    <m/>
    <m/>
    <m/>
    <m/>
    <m/>
    <m/>
    <m/>
    <m/>
    <m/>
    <d v="1900-12-31T00:00:00"/>
    <n v="45423"/>
    <m/>
    <m/>
    <m/>
  </r>
  <r>
    <x v="37"/>
    <m/>
    <x v="3"/>
    <x v="0"/>
    <x v="0"/>
    <x v="8"/>
    <n v="4186833"/>
    <s v="SALINAS MOREIRA MARIA PILAR"/>
    <m/>
    <m/>
    <m/>
    <m/>
    <m/>
    <m/>
    <m/>
    <x v="1"/>
    <s v="3D"/>
    <m/>
    <m/>
    <m/>
    <n v="1127.3499999999999"/>
    <m/>
    <m/>
    <m/>
    <m/>
    <d v="1900-12-31T00:00:00"/>
    <n v="45423"/>
    <m/>
    <m/>
    <m/>
  </r>
  <r>
    <x v="37"/>
    <d v="2024-03-16T00:00:00"/>
    <x v="3"/>
    <x v="0"/>
    <x v="1"/>
    <x v="25"/>
    <s v="SI24G44010 "/>
    <s v="DVINA MARIA CONTRERAS SOTOMAYOR"/>
    <s v="TITULAR"/>
    <n v="912171642"/>
    <n v="994880644"/>
    <s v="CUENTA DE AHORROS"/>
    <s v="MENSUAL"/>
    <s v="MARIA EUGENIA SOTOMAYOR ECHEVERRIA"/>
    <s v="NO"/>
    <x v="2"/>
    <s v="SIGMA"/>
    <s v="NO"/>
    <n v="221.41"/>
    <m/>
    <n v="2578.7014925373137"/>
    <m/>
    <s v="EN PROCESO"/>
    <m/>
    <s v="NO"/>
    <d v="2025-03-16T00:00:00"/>
    <n v="57"/>
    <m/>
    <m/>
    <m/>
  </r>
  <r>
    <x v="38"/>
    <m/>
    <x v="3"/>
    <x v="0"/>
    <x v="1"/>
    <x v="28"/>
    <m/>
    <s v="KASSANDRA KARELY ANCHUNDIA NEVAREZ"/>
    <s v="TITULAR"/>
    <n v="1313953539"/>
    <n v="997360087"/>
    <s v="CUENTA DE AHORROS"/>
    <s v="MENSUAL"/>
    <s v="KASSANDRA KARELY ANCHUNDIA NEVAREZ"/>
    <s v="NO"/>
    <x v="1"/>
    <s v="SKY 50"/>
    <s v="NO"/>
    <n v="105.75"/>
    <m/>
    <n v="1269"/>
    <m/>
    <s v="EMITIDO"/>
    <m/>
    <s v="NO"/>
    <d v="1900-12-31T00:00:00"/>
    <n v="45423"/>
    <m/>
    <m/>
    <m/>
  </r>
  <r>
    <x v="39"/>
    <m/>
    <x v="3"/>
    <x v="0"/>
    <x v="0"/>
    <x v="2"/>
    <n v="43528"/>
    <s v="ALARCON FALCONI VILMA PATRICIA"/>
    <m/>
    <m/>
    <m/>
    <m/>
    <m/>
    <m/>
    <m/>
    <x v="7"/>
    <s v="CONFIPLUS $30000 RED-2"/>
    <m/>
    <m/>
    <m/>
    <n v="1411.31"/>
    <m/>
    <m/>
    <m/>
    <m/>
    <d v="1900-12-31T00:00:00"/>
    <n v="45423"/>
    <m/>
    <m/>
    <m/>
  </r>
  <r>
    <x v="39"/>
    <m/>
    <x v="3"/>
    <x v="0"/>
    <x v="1"/>
    <x v="29"/>
    <m/>
    <s v="DIGNA ARACELY MERA CHIRIBOGA"/>
    <s v="TUTULAR "/>
    <n v="914908926"/>
    <n v="980047504"/>
    <s v="CUENTA DE AHORROS"/>
    <s v="MENSUAL"/>
    <s v="DIGNA ARACELY MERA CHIRIBOGA"/>
    <s v="NO"/>
    <x v="5"/>
    <s v="ASISPRO 30"/>
    <s v="NO"/>
    <n v="103.14"/>
    <m/>
    <n v="1150.9555028595341"/>
    <m/>
    <s v="EN PROCESO"/>
    <m/>
    <s v="NO"/>
    <d v="1900-12-31T00:00:00"/>
    <n v="45423"/>
    <m/>
    <m/>
    <m/>
  </r>
  <r>
    <x v="39"/>
    <m/>
    <x v="3"/>
    <x v="0"/>
    <x v="1"/>
    <x v="21"/>
    <s v="GM24G43983"/>
    <s v="ANGELA ROCIO AGUILAR GAVILANEZ"/>
    <s v="TITULAR"/>
    <n v="1204988966"/>
    <n v="991212642"/>
    <s v="CUENTA DE AHORROS"/>
    <s v="MENSUAL"/>
    <s v="ANGELA ROCIO AGUILAR GAVILANEZ"/>
    <s v="NO"/>
    <x v="2"/>
    <s v="GMM"/>
    <s v="NO"/>
    <n v="52.52"/>
    <m/>
    <n v="562.10447761194041"/>
    <m/>
    <s v="EN PROCESO"/>
    <m/>
    <s v="NO"/>
    <d v="1900-12-31T00:00:00"/>
    <n v="45423"/>
    <m/>
    <m/>
    <m/>
  </r>
  <r>
    <x v="40"/>
    <m/>
    <x v="3"/>
    <x v="3"/>
    <x v="0"/>
    <x v="4"/>
    <n v="19232"/>
    <s v="MELO ENRIQUEZ MARIBEL MARIUXI"/>
    <m/>
    <m/>
    <m/>
    <m/>
    <m/>
    <m/>
    <m/>
    <x v="5"/>
    <m/>
    <m/>
    <m/>
    <m/>
    <m/>
    <m/>
    <m/>
    <m/>
    <m/>
    <d v="1900-12-31T00:00:00"/>
    <n v="45423"/>
    <m/>
    <m/>
    <m/>
  </r>
  <r>
    <x v="40"/>
    <m/>
    <x v="3"/>
    <x v="0"/>
    <x v="0"/>
    <x v="11"/>
    <n v="4187018"/>
    <s v="TORRES SEGOVIA KLEBER PATRICIO"/>
    <m/>
    <m/>
    <m/>
    <m/>
    <m/>
    <m/>
    <m/>
    <x v="1"/>
    <s v="SKY 70 PLUS - 100"/>
    <m/>
    <m/>
    <m/>
    <n v="1004.49"/>
    <m/>
    <m/>
    <m/>
    <m/>
    <d v="1900-12-31T00:00:00"/>
    <n v="45423"/>
    <m/>
    <m/>
    <m/>
  </r>
  <r>
    <x v="40"/>
    <m/>
    <x v="3"/>
    <x v="0"/>
    <x v="1"/>
    <x v="19"/>
    <n v="4187063"/>
    <s v="EDISON JOSE QUINDE RAMIREZ"/>
    <s v="TITULAR"/>
    <n v="931594295"/>
    <n v="999252887"/>
    <s v="CUENTA DE AHORROS"/>
    <s v="MENSUAL"/>
    <s v="LISSETTE JAZMIN QUINDE RAMIREZ"/>
    <s v="NO"/>
    <x v="1"/>
    <s v="DENTAL PRIVILEGIO"/>
    <m/>
    <n v="16.27"/>
    <m/>
    <n v="195.24"/>
    <m/>
    <s v="EN PROCESO"/>
    <m/>
    <s v="NO"/>
    <d v="1900-12-31T00:00:00"/>
    <n v="45423"/>
    <m/>
    <m/>
    <m/>
  </r>
  <r>
    <x v="40"/>
    <m/>
    <x v="3"/>
    <x v="0"/>
    <x v="1"/>
    <x v="19"/>
    <n v="4187056"/>
    <s v="LISSETTE JAZMIN QUINDE RAMIREZ"/>
    <s v="TITULAR"/>
    <n v="926601329"/>
    <n v="999252887"/>
    <s v="CUENTA DE AHORROS"/>
    <s v="MENSUAL"/>
    <s v="LISSETTE JAZMIN QUINDE RAMIREZ"/>
    <s v="NO"/>
    <x v="1"/>
    <s v="DENTAL PRIVILEGIO"/>
    <m/>
    <n v="27.2"/>
    <m/>
    <n v="326.39999999999998"/>
    <m/>
    <s v="EN PROCESO"/>
    <m/>
    <s v="NO"/>
    <d v="1900-12-31T00:00:00"/>
    <n v="45423"/>
    <m/>
    <m/>
    <m/>
  </r>
  <r>
    <x v="41"/>
    <m/>
    <x v="3"/>
    <x v="0"/>
    <x v="1"/>
    <x v="23"/>
    <m/>
    <s v="MERCY ELENA TEJADA GONZALEZ"/>
    <s v="TITULAR"/>
    <n v="905280749"/>
    <n v="992235565"/>
    <s v="CUENTA DE AHORROS"/>
    <s v="MENSUAL"/>
    <s v="MERCY ELENA TEJADA GONZALEZ"/>
    <s v="NO"/>
    <x v="3"/>
    <s v="MASTER 75000"/>
    <s v="NO"/>
    <n v="379.41"/>
    <m/>
    <n v="4530.2686567164183"/>
    <m/>
    <s v="EN PROCESO"/>
    <m/>
    <s v="NO"/>
    <d v="1900-12-31T00:00:00"/>
    <n v="45423"/>
    <m/>
    <m/>
    <m/>
  </r>
  <r>
    <x v="42"/>
    <m/>
    <x v="3"/>
    <x v="0"/>
    <x v="0"/>
    <x v="18"/>
    <n v="4187143"/>
    <s v="ZAMBRANO LOOR DOLORES VIVIANA"/>
    <m/>
    <m/>
    <m/>
    <m/>
    <m/>
    <m/>
    <m/>
    <x v="1"/>
    <s v="STAR 70 PLUS - 100"/>
    <m/>
    <m/>
    <m/>
    <n v="835.06"/>
    <m/>
    <m/>
    <m/>
    <m/>
    <d v="1900-12-31T00:00:00"/>
    <n v="45423"/>
    <m/>
    <m/>
    <m/>
  </r>
  <r>
    <x v="42"/>
    <m/>
    <x v="3"/>
    <x v="3"/>
    <x v="0"/>
    <x v="18"/>
    <n v="467098"/>
    <s v="NUQUES LOPEZ GLADYS TERESA"/>
    <m/>
    <m/>
    <m/>
    <m/>
    <m/>
    <m/>
    <m/>
    <x v="1"/>
    <m/>
    <m/>
    <m/>
    <m/>
    <m/>
    <m/>
    <m/>
    <m/>
    <m/>
    <d v="1900-12-31T00:00:00"/>
    <n v="45423"/>
    <m/>
    <m/>
    <m/>
  </r>
  <r>
    <x v="42"/>
    <m/>
    <x v="3"/>
    <x v="0"/>
    <x v="0"/>
    <x v="18"/>
    <n v="4187149"/>
    <s v="MARIDUEÑA LOPEZ SONNIA JOHANNA"/>
    <m/>
    <m/>
    <m/>
    <m/>
    <m/>
    <m/>
    <m/>
    <x v="1"/>
    <s v="RESPALDO TOTAL PLUS"/>
    <m/>
    <m/>
    <m/>
    <n v="1003.77"/>
    <m/>
    <m/>
    <m/>
    <m/>
    <d v="1900-12-31T00:00:00"/>
    <n v="45423"/>
    <m/>
    <m/>
    <m/>
  </r>
  <r>
    <x v="42"/>
    <m/>
    <x v="3"/>
    <x v="0"/>
    <x v="1"/>
    <x v="24"/>
    <m/>
    <s v="CARMEN LILIANA SOTO ENCISO"/>
    <s v="TITULAR "/>
    <n v="915236996"/>
    <n v="998159181"/>
    <s v="TARJETA DE CREDITO"/>
    <s v="MENSUAL"/>
    <s v="CARMEN LILIANA SOTO ENCISO"/>
    <s v="NO"/>
    <x v="3"/>
    <s v="SUPREMO"/>
    <s v="NO"/>
    <n v="205.02"/>
    <m/>
    <n v="2448.0000000000005"/>
    <m/>
    <s v="EN PROCESO"/>
    <m/>
    <s v="NO"/>
    <d v="1900-12-31T00:00:00"/>
    <n v="45423"/>
    <m/>
    <m/>
    <m/>
  </r>
  <r>
    <x v="42"/>
    <m/>
    <x v="3"/>
    <x v="0"/>
    <x v="1"/>
    <x v="23"/>
    <n v="4187199"/>
    <s v="FRANCESCA PIERINA DELGADO GORDILLO"/>
    <s v="TITULAR +2"/>
    <n v="950662650"/>
    <n v="990547156"/>
    <s v="CUENTA DE AHORROS"/>
    <s v="MENSUAL"/>
    <s v="FRANCESCA PIERINA DELGADO GORDILLO"/>
    <s v="NO"/>
    <x v="1"/>
    <s v="ELITE 5D"/>
    <s v="NO"/>
    <n v="272.39"/>
    <m/>
    <n v="3268.68"/>
    <m/>
    <s v="EN PROCESO"/>
    <m/>
    <s v="SI"/>
    <d v="1900-12-31T00:00:00"/>
    <n v="45423"/>
    <m/>
    <m/>
    <m/>
  </r>
  <r>
    <x v="43"/>
    <m/>
    <x v="3"/>
    <x v="0"/>
    <x v="0"/>
    <x v="18"/>
    <m/>
    <s v="CARRION LEDESMA ROBERTO RICARDO"/>
    <m/>
    <m/>
    <m/>
    <m/>
    <m/>
    <m/>
    <m/>
    <x v="0"/>
    <s v="PH 15"/>
    <m/>
    <m/>
    <m/>
    <n v="2196.7199999999998"/>
    <m/>
    <m/>
    <m/>
    <m/>
    <d v="1900-12-31T00:00:00"/>
    <n v="45423"/>
    <m/>
    <m/>
    <m/>
  </r>
  <r>
    <x v="43"/>
    <m/>
    <x v="3"/>
    <x v="0"/>
    <x v="0"/>
    <x v="18"/>
    <n v="4187221"/>
    <s v="ESPINOZA PERALTA JONATHAN STEPHANO"/>
    <m/>
    <m/>
    <m/>
    <m/>
    <m/>
    <m/>
    <m/>
    <x v="1"/>
    <s v="5D"/>
    <m/>
    <m/>
    <m/>
    <n v="2115.27"/>
    <m/>
    <m/>
    <m/>
    <m/>
    <d v="1900-12-31T00:00:00"/>
    <n v="45423"/>
    <m/>
    <m/>
    <m/>
  </r>
  <r>
    <x v="44"/>
    <m/>
    <x v="3"/>
    <x v="0"/>
    <x v="0"/>
    <x v="18"/>
    <n v="4187260"/>
    <s v="GARCIA ALDAZ MARTHA LORENA"/>
    <m/>
    <m/>
    <m/>
    <m/>
    <m/>
    <m/>
    <m/>
    <x v="1"/>
    <s v="3D"/>
    <m/>
    <m/>
    <m/>
    <n v="1003.42"/>
    <m/>
    <m/>
    <m/>
    <m/>
    <d v="1900-12-31T00:00:00"/>
    <n v="45423"/>
    <m/>
    <m/>
    <m/>
  </r>
  <r>
    <x v="44"/>
    <m/>
    <x v="3"/>
    <x v="0"/>
    <x v="0"/>
    <x v="9"/>
    <n v="4187225"/>
    <s v="BRITO CEVALLOS MARIA CAMILA"/>
    <m/>
    <m/>
    <m/>
    <m/>
    <m/>
    <m/>
    <m/>
    <x v="1"/>
    <s v="PRO 150K - 150"/>
    <m/>
    <m/>
    <m/>
    <n v="2190.73"/>
    <m/>
    <m/>
    <m/>
    <m/>
    <d v="1900-12-31T00:00:00"/>
    <n v="45423"/>
    <m/>
    <m/>
    <m/>
  </r>
  <r>
    <x v="44"/>
    <m/>
    <x v="3"/>
    <x v="0"/>
    <x v="0"/>
    <x v="9"/>
    <n v="4187262"/>
    <s v="VASQUEZ VALDANO CESAR LEOPOLDO"/>
    <m/>
    <m/>
    <m/>
    <m/>
    <m/>
    <m/>
    <m/>
    <x v="1"/>
    <s v="RESPALDO TOTAL PLUS"/>
    <m/>
    <m/>
    <m/>
    <n v="304.08999999999997"/>
    <m/>
    <m/>
    <m/>
    <m/>
    <d v="1900-12-31T00:00:00"/>
    <n v="45423"/>
    <m/>
    <m/>
    <m/>
  </r>
  <r>
    <x v="45"/>
    <m/>
    <x v="3"/>
    <x v="0"/>
    <x v="0"/>
    <x v="13"/>
    <n v="4187365"/>
    <s v="YANQUI MOREIRA PAOLA ELIZABETH"/>
    <m/>
    <m/>
    <m/>
    <m/>
    <m/>
    <m/>
    <m/>
    <x v="1"/>
    <s v="SKY 50K - PLUS 100"/>
    <m/>
    <m/>
    <m/>
    <n v="1481.25"/>
    <m/>
    <m/>
    <m/>
    <m/>
    <d v="1900-12-31T00:00:00"/>
    <n v="45423"/>
    <m/>
    <m/>
    <m/>
  </r>
  <r>
    <x v="45"/>
    <m/>
    <x v="3"/>
    <x v="0"/>
    <x v="0"/>
    <x v="4"/>
    <n v="4187367"/>
    <s v="RAMIREZ VERA MARIA PAULA"/>
    <m/>
    <m/>
    <m/>
    <m/>
    <m/>
    <m/>
    <m/>
    <x v="1"/>
    <s v="SKY 70K - PLUS 100"/>
    <m/>
    <m/>
    <m/>
    <n v="1453.67"/>
    <m/>
    <m/>
    <m/>
    <m/>
    <d v="1900-12-31T00:00:00"/>
    <n v="45423"/>
    <m/>
    <m/>
    <m/>
  </r>
  <r>
    <x v="45"/>
    <m/>
    <x v="3"/>
    <x v="0"/>
    <x v="0"/>
    <x v="4"/>
    <m/>
    <s v="FLORES DIAZ OMAR GEOVANNY"/>
    <m/>
    <m/>
    <m/>
    <m/>
    <m/>
    <m/>
    <m/>
    <x v="3"/>
    <s v="PLAN MASTER 75.000"/>
    <m/>
    <m/>
    <m/>
    <n v="714.01"/>
    <m/>
    <m/>
    <m/>
    <m/>
    <d v="1900-12-31T00:00:00"/>
    <n v="45423"/>
    <m/>
    <m/>
    <m/>
  </r>
  <r>
    <x v="45"/>
    <m/>
    <x v="3"/>
    <x v="0"/>
    <x v="0"/>
    <x v="11"/>
    <n v="4187355"/>
    <s v="VELEZ VERA FREDDY ROBERTO"/>
    <m/>
    <m/>
    <m/>
    <m/>
    <m/>
    <m/>
    <m/>
    <x v="1"/>
    <s v="5D"/>
    <m/>
    <m/>
    <m/>
    <n v="904.07"/>
    <m/>
    <m/>
    <m/>
    <m/>
    <d v="1900-12-31T00:00:00"/>
    <n v="45423"/>
    <m/>
    <m/>
    <m/>
  </r>
  <r>
    <x v="46"/>
    <m/>
    <x v="3"/>
    <x v="0"/>
    <x v="0"/>
    <x v="18"/>
    <n v="4187373"/>
    <s v="ORTIZ CASTRO DIANA ALEXANDRA"/>
    <m/>
    <m/>
    <m/>
    <m/>
    <m/>
    <m/>
    <m/>
    <x v="1"/>
    <s v="SKY 50K - PLUS 100"/>
    <m/>
    <m/>
    <m/>
    <n v="3156.44"/>
    <m/>
    <m/>
    <m/>
    <m/>
    <d v="1900-12-31T00:00:00"/>
    <n v="45423"/>
    <m/>
    <m/>
    <m/>
  </r>
  <r>
    <x v="46"/>
    <m/>
    <x v="3"/>
    <x v="0"/>
    <x v="0"/>
    <x v="13"/>
    <n v="4187453"/>
    <s v="QUIROLA BERRUZ ANDREA DE LOURDES"/>
    <m/>
    <m/>
    <m/>
    <m/>
    <m/>
    <m/>
    <m/>
    <x v="1"/>
    <s v="SKY 50K - PLUS 100"/>
    <m/>
    <m/>
    <m/>
    <n v="1748.59"/>
    <m/>
    <m/>
    <m/>
    <m/>
    <d v="1900-12-31T00:00:00"/>
    <n v="45423"/>
    <m/>
    <m/>
    <m/>
  </r>
  <r>
    <x v="46"/>
    <m/>
    <x v="3"/>
    <x v="0"/>
    <x v="0"/>
    <x v="9"/>
    <n v="4187419"/>
    <s v="SURIAGA AUTHEMAN CAROLINA MICHELLE"/>
    <m/>
    <m/>
    <m/>
    <m/>
    <m/>
    <m/>
    <m/>
    <x v="1"/>
    <s v="SKY 70K - PLUS 100"/>
    <m/>
    <m/>
    <m/>
    <n v="1413.08"/>
    <m/>
    <m/>
    <m/>
    <m/>
    <d v="1900-12-31T00:00:00"/>
    <n v="45423"/>
    <m/>
    <m/>
    <m/>
  </r>
  <r>
    <x v="46"/>
    <m/>
    <x v="3"/>
    <x v="0"/>
    <x v="0"/>
    <x v="11"/>
    <n v="4187444"/>
    <s v="RAMIREZ DELGADO ROXANA LORENA"/>
    <m/>
    <m/>
    <m/>
    <m/>
    <m/>
    <m/>
    <m/>
    <x v="1"/>
    <s v="SKY 50K - PLUS 100"/>
    <m/>
    <m/>
    <m/>
    <n v="1481.25"/>
    <m/>
    <m/>
    <m/>
    <m/>
    <d v="1900-12-31T00:00:00"/>
    <n v="45423"/>
    <m/>
    <m/>
    <m/>
  </r>
  <r>
    <x v="46"/>
    <d v="2024-03-18T00:00:00"/>
    <x v="3"/>
    <x v="0"/>
    <x v="1"/>
    <x v="6"/>
    <n v="4187507"/>
    <s v="WILLIAM HERNAN CEVALLOS LEON"/>
    <s v="TITULAR +3"/>
    <n v="601896434"/>
    <n v="999983542"/>
    <s v="CUENTA CORRIENTE"/>
    <s v="MENSUAL"/>
    <s v="WILLIAM HERNAN CEVALLOS LEON"/>
    <s v="SI"/>
    <x v="1"/>
    <s v="SKY 50"/>
    <s v="NO"/>
    <n v="501.85"/>
    <m/>
    <n v="6022.2000000000007"/>
    <m/>
    <s v="EMITIDO"/>
    <m/>
    <s v="SI"/>
    <d v="2025-03-18T00:00:00"/>
    <n v="55"/>
    <m/>
    <m/>
    <m/>
  </r>
  <r>
    <x v="46"/>
    <m/>
    <x v="3"/>
    <x v="0"/>
    <x v="1"/>
    <x v="6"/>
    <n v="4187593"/>
    <s v="AURORA DEL CISNE ALVAREZ CASTILLO"/>
    <s v="TITULAR"/>
    <m/>
    <m/>
    <m/>
    <m/>
    <m/>
    <m/>
    <x v="1"/>
    <m/>
    <s v="NO"/>
    <n v="241.67"/>
    <m/>
    <n v="2900.04"/>
    <m/>
    <s v="EMITIDO"/>
    <m/>
    <s v="SI"/>
    <d v="1900-12-31T00:00:00"/>
    <n v="45423"/>
    <m/>
    <m/>
    <m/>
  </r>
  <r>
    <x v="46"/>
    <d v="2024-03-18T00:00:00"/>
    <x v="3"/>
    <x v="0"/>
    <x v="1"/>
    <x v="23"/>
    <n v="4187440"/>
    <s v="DIEGO GONZALO NARANJO VARGAS"/>
    <s v="TITULAR"/>
    <n v="1717513780"/>
    <n v="992824860"/>
    <s v="CUENTA DE AHORROS"/>
    <s v="MENSUAL"/>
    <s v="DIEGO GONZALO NARANJO VARGAS"/>
    <s v="NO"/>
    <x v="1"/>
    <s v="ESENCIAL 3D"/>
    <s v="NO"/>
    <n v="47.26"/>
    <m/>
    <n v="567.12"/>
    <m/>
    <s v="EMITIDO"/>
    <m/>
    <s v="SI"/>
    <d v="2025-03-18T00:00:00"/>
    <n v="55"/>
    <m/>
    <m/>
    <m/>
  </r>
  <r>
    <x v="46"/>
    <m/>
    <x v="3"/>
    <x v="0"/>
    <x v="1"/>
    <x v="30"/>
    <m/>
    <s v="GERARDO UREÑA GAVIOLA"/>
    <s v="TITULAR "/>
    <n v="963994264"/>
    <n v="990161853"/>
    <s v="TARJETA DE CREDITO"/>
    <s v="MENSUAL"/>
    <s v="GERARDO UREÑA GAVIOLA"/>
    <s v="NO"/>
    <x v="3"/>
    <s v="PREMIUN 30MIL"/>
    <s v="NO"/>
    <n v="77.53"/>
    <m/>
    <n v="925.73134328358219"/>
    <m/>
    <s v="EN PROCESO"/>
    <m/>
    <s v="NO"/>
    <d v="1900-12-31T00:00:00"/>
    <n v="45423"/>
    <m/>
    <m/>
    <m/>
  </r>
  <r>
    <x v="47"/>
    <m/>
    <x v="3"/>
    <x v="0"/>
    <x v="0"/>
    <x v="1"/>
    <n v="4187541"/>
    <s v="VIDAL VELASQUEZ TERESA JOSEFA"/>
    <m/>
    <m/>
    <m/>
    <m/>
    <m/>
    <m/>
    <m/>
    <x v="1"/>
    <s v="Oncocare"/>
    <m/>
    <m/>
    <m/>
    <n v="1094.8800000000001"/>
    <m/>
    <m/>
    <m/>
    <m/>
    <d v="1900-12-31T00:00:00"/>
    <n v="45423"/>
    <m/>
    <m/>
    <m/>
  </r>
  <r>
    <x v="48"/>
    <m/>
    <x v="3"/>
    <x v="0"/>
    <x v="0"/>
    <x v="9"/>
    <n v="4187582"/>
    <s v="SILVA LOPEZ JENNIFER CAROLINA"/>
    <m/>
    <m/>
    <m/>
    <m/>
    <m/>
    <m/>
    <m/>
    <x v="1"/>
    <s v="SKY 15K - 70"/>
    <m/>
    <m/>
    <m/>
    <n v="828.61"/>
    <m/>
    <m/>
    <m/>
    <m/>
    <d v="1900-12-31T00:00:00"/>
    <n v="45423"/>
    <m/>
    <m/>
    <m/>
  </r>
  <r>
    <x v="48"/>
    <m/>
    <x v="3"/>
    <x v="0"/>
    <x v="0"/>
    <x v="4"/>
    <n v="4180443"/>
    <s v="MANCHENO PERALTA CAROLA LEONOR"/>
    <m/>
    <m/>
    <m/>
    <m/>
    <m/>
    <m/>
    <m/>
    <x v="1"/>
    <s v="PRO 70K - 100"/>
    <m/>
    <m/>
    <m/>
    <n v="1452.24"/>
    <m/>
    <m/>
    <m/>
    <m/>
    <d v="1900-12-31T00:00:00"/>
    <n v="45423"/>
    <m/>
    <m/>
    <m/>
  </r>
  <r>
    <x v="48"/>
    <d v="2024-04-01T00:00:00"/>
    <x v="3"/>
    <x v="0"/>
    <x v="1"/>
    <x v="29"/>
    <s v="GM24G44386"/>
    <s v="JEFFERSON FERNANDO PALACIOS RUIZ"/>
    <s v="TITULAR +3"/>
    <n v="923276240"/>
    <n v="993918884"/>
    <s v="CUENTA CORRIENTE"/>
    <s v="MENSUAL"/>
    <s v="JEFFERSON FERNANDO PALACIOS RUIZ"/>
    <s v="NO"/>
    <x v="2"/>
    <s v="GMM"/>
    <s v="NO"/>
    <n v="58.38"/>
    <m/>
    <n v="632.0746268656718"/>
    <m/>
    <s v="EN PROCESO"/>
    <m/>
    <s v="NO"/>
    <d v="2025-04-01T00:00:00"/>
    <n v="41"/>
    <m/>
    <m/>
    <m/>
  </r>
  <r>
    <x v="48"/>
    <m/>
    <x v="3"/>
    <x v="0"/>
    <x v="1"/>
    <x v="29"/>
    <m/>
    <s v="JEFFERSON FERNANDO PALACIOS RUIZ"/>
    <s v="2 DEPENDIENTES"/>
    <n v="923276240"/>
    <n v="993918884"/>
    <s v="CUENTA CORRIENTE"/>
    <s v="MENSUAL"/>
    <s v="JEFFERSON FERNANDO PALACIOS RUIZ"/>
    <s v="NO"/>
    <x v="3"/>
    <s v="MASTER 75000"/>
    <s v="NO"/>
    <n v="122.61"/>
    <m/>
    <n v="1464"/>
    <m/>
    <s v="EN PROCESO"/>
    <m/>
    <s v="NO"/>
    <d v="1900-12-31T00:00:00"/>
    <n v="45423"/>
    <m/>
    <m/>
    <m/>
  </r>
  <r>
    <x v="48"/>
    <m/>
    <x v="3"/>
    <x v="0"/>
    <x v="1"/>
    <x v="29"/>
    <m/>
    <s v="JEFFERSON FERNANDO PALACIOS RUIZ"/>
    <s v="TITULAR +1"/>
    <n v="923276240"/>
    <n v="993918884"/>
    <s v="CUENTA CORRIENTE"/>
    <s v="MENSUAL"/>
    <s v="JEFFERSON FERNANDO PALACIOS RUIZ"/>
    <s v="NO"/>
    <x v="5"/>
    <s v="ASISPRO 30"/>
    <s v="NO"/>
    <n v="143.16"/>
    <m/>
    <n v="1597.5449853536059"/>
    <m/>
    <s v="EN PROCESO"/>
    <m/>
    <s v="NO"/>
    <d v="1900-12-31T00:00:00"/>
    <n v="45423"/>
    <m/>
    <m/>
    <m/>
  </r>
  <r>
    <x v="49"/>
    <m/>
    <x v="3"/>
    <x v="0"/>
    <x v="0"/>
    <x v="10"/>
    <m/>
    <s v="FLORES MUÑOZ KATHERINE ESTEFANIA"/>
    <m/>
    <m/>
    <m/>
    <m/>
    <m/>
    <m/>
    <m/>
    <x v="3"/>
    <s v="PLAN JUNIOR 20.000"/>
    <m/>
    <m/>
    <m/>
    <n v="762.25"/>
    <m/>
    <m/>
    <m/>
    <m/>
    <d v="1900-12-31T00:00:00"/>
    <n v="45423"/>
    <m/>
    <m/>
    <m/>
  </r>
  <r>
    <x v="49"/>
    <d v="2024-04-01T00:00:00"/>
    <x v="3"/>
    <x v="0"/>
    <x v="1"/>
    <x v="29"/>
    <s v="SI24C44067"/>
    <s v="ADRIANO JOSEPH URSO BAIARDO"/>
    <s v="TITULAR +1"/>
    <n v="1755875414"/>
    <n v="978966524"/>
    <s v="CUENTA DE AHORROS"/>
    <s v="MENSUAL"/>
    <s v="ADRIANO JOSEPH URSO BAIARDO"/>
    <s v="NO"/>
    <x v="2"/>
    <s v="SIGMA"/>
    <s v="NO"/>
    <n v="289.88"/>
    <m/>
    <n v="3396.253731343284"/>
    <m/>
    <s v="EN PROCESO"/>
    <m/>
    <s v="NO"/>
    <d v="2025-04-01T00:00:00"/>
    <n v="41"/>
    <m/>
    <m/>
    <m/>
  </r>
  <r>
    <x v="49"/>
    <m/>
    <x v="3"/>
    <x v="0"/>
    <x v="1"/>
    <x v="24"/>
    <m/>
    <s v="KARLA VIVIANA GUZMAN VERA"/>
    <s v="TITULAR"/>
    <n v="921846901"/>
    <n v="983341038"/>
    <s v="TARJETA DE CREDITO"/>
    <s v="MENSUAL"/>
    <s v="KARLA VIVIANA GUZMAN VERA"/>
    <s v="NO"/>
    <x v="3"/>
    <s v="SENIOR 45000"/>
    <s v="NO"/>
    <n v="78.98"/>
    <m/>
    <n v="943.04477611940308"/>
    <m/>
    <s v="EN PROCESO"/>
    <m/>
    <s v="NO"/>
    <d v="1900-12-31T00:00:00"/>
    <n v="45423"/>
    <m/>
    <m/>
    <m/>
  </r>
  <r>
    <x v="49"/>
    <m/>
    <x v="3"/>
    <x v="0"/>
    <x v="1"/>
    <x v="24"/>
    <m/>
    <s v="DALINDA JANETH MERA BAREN"/>
    <s v="TITULAR +2"/>
    <n v="917757973"/>
    <n v="979463131"/>
    <s v="TARJETA DE CREDITO"/>
    <s v="MENSUAL"/>
    <s v="DALINDA JANETH MERA BAREN"/>
    <s v="NO"/>
    <x v="3"/>
    <s v="MASTER 75000"/>
    <s v="NO"/>
    <n v="168.51"/>
    <m/>
    <n v="2012.0597014925374"/>
    <m/>
    <s v="EN PROCESO"/>
    <m/>
    <s v="NO"/>
    <d v="1900-12-31T00:00:00"/>
    <n v="45423"/>
    <m/>
    <m/>
    <m/>
  </r>
  <r>
    <x v="49"/>
    <m/>
    <x v="3"/>
    <x v="0"/>
    <x v="1"/>
    <x v="31"/>
    <m/>
    <s v="FABIOLA MERCEDES MORAN HERRERA"/>
    <s v="2 DEPENDIENTES"/>
    <n v="917418899"/>
    <n v="980902706"/>
    <s v="CUENTA DE AHORROS"/>
    <s v="MENSUAL"/>
    <s v="FABIOLA MERCEDES MORAN HERRERA"/>
    <s v="NO"/>
    <x v="3"/>
    <s v="JR 20K"/>
    <s v="NO"/>
    <n v="102.71"/>
    <m/>
    <n v="1226.3880597014927"/>
    <m/>
    <s v="EN PROCESO"/>
    <m/>
    <s v="NO"/>
    <d v="1900-12-31T00:00:00"/>
    <n v="45423"/>
    <m/>
    <m/>
    <m/>
  </r>
  <r>
    <x v="50"/>
    <m/>
    <x v="3"/>
    <x v="0"/>
    <x v="0"/>
    <x v="11"/>
    <n v="4187797"/>
    <s v="ANASTACIO LOPEZ MARLENE ANASTACIO"/>
    <m/>
    <m/>
    <m/>
    <m/>
    <m/>
    <m/>
    <m/>
    <x v="1"/>
    <s v="PLAN DENTAL PRIVILEGIO"/>
    <m/>
    <m/>
    <m/>
    <n v="777.99"/>
    <m/>
    <m/>
    <m/>
    <m/>
    <d v="1900-12-31T00:00:00"/>
    <n v="45423"/>
    <m/>
    <m/>
    <m/>
  </r>
  <r>
    <x v="50"/>
    <m/>
    <x v="3"/>
    <x v="0"/>
    <x v="0"/>
    <x v="2"/>
    <n v="4187800"/>
    <s v="DUEÑAS SANCHEZ PAULETTE ADRIANA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03"/>
    <s v="GANCHOZO LOPEZ DIANA ROCIO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0"/>
    <x v="2"/>
    <n v="4187810"/>
    <s v="BALDEON MORAN DOMENICA GABRIELA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12"/>
    <s v="PONTON CALDERON SARA NOEMI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0"/>
    <x v="2"/>
    <n v="4187814"/>
    <s v="DELGADO CEVALLOS ENA ANDREA"/>
    <m/>
    <m/>
    <m/>
    <m/>
    <m/>
    <m/>
    <m/>
    <x v="1"/>
    <s v="STAR 15K - 70"/>
    <m/>
    <m/>
    <m/>
    <n v="812.02"/>
    <m/>
    <m/>
    <m/>
    <m/>
    <d v="1900-12-31T00:00:00"/>
    <n v="45423"/>
    <m/>
    <m/>
    <m/>
  </r>
  <r>
    <x v="50"/>
    <m/>
    <x v="3"/>
    <x v="0"/>
    <x v="0"/>
    <x v="2"/>
    <n v="4187817"/>
    <s v="TINAZARAY VALAREZO SANTIAGO DANIEL"/>
    <m/>
    <m/>
    <m/>
    <m/>
    <m/>
    <m/>
    <m/>
    <x v="1"/>
    <s v="3D"/>
    <m/>
    <m/>
    <m/>
    <n v="555.66999999999996"/>
    <m/>
    <m/>
    <m/>
    <m/>
    <d v="1900-12-31T00:00:00"/>
    <n v="45423"/>
    <m/>
    <m/>
    <m/>
  </r>
  <r>
    <x v="50"/>
    <m/>
    <x v="3"/>
    <x v="0"/>
    <x v="0"/>
    <x v="2"/>
    <n v="4187821"/>
    <s v="RIVAS CALDERON GEANNELLA PAULETTE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25"/>
    <s v="VALDIVIESO TAPIA MARIA LUISA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28"/>
    <s v="TOLEDO ILLESCAS MANUEL AGUSTIN"/>
    <m/>
    <m/>
    <m/>
    <m/>
    <m/>
    <m/>
    <m/>
    <x v="1"/>
    <s v="3D"/>
    <m/>
    <m/>
    <m/>
    <n v="555.66999999999996"/>
    <m/>
    <m/>
    <m/>
    <m/>
    <d v="1900-12-31T00:00:00"/>
    <n v="45423"/>
    <m/>
    <m/>
    <m/>
  </r>
  <r>
    <x v="50"/>
    <m/>
    <x v="3"/>
    <x v="0"/>
    <x v="0"/>
    <x v="2"/>
    <n v="4187816"/>
    <s v="MENDOZA ALONSO ELIANA DOMENIKA"/>
    <m/>
    <m/>
    <m/>
    <m/>
    <m/>
    <m/>
    <m/>
    <x v="1"/>
    <s v="STAR 15K - 70"/>
    <m/>
    <m/>
    <m/>
    <n v="812.02"/>
    <m/>
    <m/>
    <m/>
    <m/>
    <d v="1900-12-31T00:00:00"/>
    <n v="45423"/>
    <m/>
    <m/>
    <m/>
  </r>
  <r>
    <x v="50"/>
    <m/>
    <x v="3"/>
    <x v="0"/>
    <x v="0"/>
    <x v="2"/>
    <n v="4187815"/>
    <s v="DIAZ OCHOA YULISA XIMENA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0"/>
    <x v="2"/>
    <n v="4187827"/>
    <s v="LUCAS LOZANO IVANA DEL CISNE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1"/>
    <x v="23"/>
    <n v="4187764"/>
    <s v="ANAIZA LLOVERA BARREDA"/>
    <s v="TITUALR +1"/>
    <n v="954290441"/>
    <n v="982257807"/>
    <s v="CUENTA DE AHORROS"/>
    <s v="MENSUAL"/>
    <s v="ANAIZA LLOVERA BARREDA"/>
    <s v="NO"/>
    <x v="1"/>
    <s v="PRACTICO 3D"/>
    <s v="NO"/>
    <n v="155.41"/>
    <m/>
    <n v="1864.92"/>
    <m/>
    <s v="EMITIDO"/>
    <m/>
    <s v="SI"/>
    <d v="1900-12-31T00:00:00"/>
    <n v="45423"/>
    <m/>
    <m/>
    <m/>
  </r>
  <r>
    <x v="50"/>
    <m/>
    <x v="3"/>
    <x v="0"/>
    <x v="1"/>
    <x v="23"/>
    <m/>
    <s v="FANNY AMADA BRAVO MOREIRA"/>
    <s v="TITULAR"/>
    <n v="917828451"/>
    <n v="995271928"/>
    <s v="CUENTA DE AHORROS"/>
    <s v="MENSUAL"/>
    <s v="MAURICIO BELTRAN BELTRAN"/>
    <s v="NO"/>
    <x v="5"/>
    <s v="ASISKARE 500"/>
    <s v="SI"/>
    <n v="31.69"/>
    <m/>
    <n v="353.63370065560053"/>
    <m/>
    <s v="EN PROCESO"/>
    <m/>
    <s v="NO"/>
    <d v="1900-12-31T00:00:00"/>
    <n v="45423"/>
    <m/>
    <m/>
    <m/>
  </r>
  <r>
    <x v="50"/>
    <m/>
    <x v="3"/>
    <x v="0"/>
    <x v="1"/>
    <x v="21"/>
    <m/>
    <s v="NATALIE GISELLE FONG CHONG"/>
    <s v="TITULAR"/>
    <n v="3050683022"/>
    <n v="997040800"/>
    <s v="CUENTA DE AHORROS"/>
    <s v="MENSUAL"/>
    <s v="MARIA CRISTINA CHONG WAN"/>
    <s v="NO "/>
    <x v="3"/>
    <s v="PREMIUN 30MIL"/>
    <s v="NO"/>
    <n v="101.28"/>
    <m/>
    <n v="1209.3134328358212"/>
    <m/>
    <s v="EN PROCESO"/>
    <m/>
    <s v="NO"/>
    <d v="1900-12-31T00:00:00"/>
    <n v="45423"/>
    <m/>
    <m/>
    <m/>
  </r>
  <r>
    <x v="50"/>
    <m/>
    <x v="3"/>
    <x v="0"/>
    <x v="1"/>
    <x v="7"/>
    <m/>
    <s v="JUAN FRANCISCO QUIROGA VERA"/>
    <s v="TITULAR"/>
    <n v="916536758"/>
    <n v="979012860"/>
    <s v="TARJETA DE CREDITO"/>
    <s v="MENSUAL"/>
    <s v="JUAN FRANCISCO QUIROGA VERA"/>
    <s v="NO"/>
    <x v="1"/>
    <s v="SKY 70"/>
    <s v="NO"/>
    <n v="125.05"/>
    <m/>
    <n v="1500.6"/>
    <m/>
    <s v="EMITIDO"/>
    <m/>
    <s v="SI"/>
    <d v="1900-12-31T00:00:00"/>
    <n v="45423"/>
    <m/>
    <m/>
    <m/>
  </r>
  <r>
    <x v="51"/>
    <m/>
    <x v="3"/>
    <x v="0"/>
    <x v="1"/>
    <x v="29"/>
    <m/>
    <s v="ADRIANA CRISTINA JARRIN ASPIAZU"/>
    <s v="TITUALAR +1"/>
    <n v="920158276"/>
    <n v="992321392"/>
    <s v="CUENTA DE AHORROS"/>
    <s v="MENSUAL"/>
    <s v="ADRIANA CRISTINA JARRIN ASPIAZU"/>
    <s v="NO"/>
    <x v="2"/>
    <s v="GMM"/>
    <s v="NO"/>
    <n v="33.67"/>
    <m/>
    <n v="337.02985074626872"/>
    <m/>
    <s v="EN PROCESO"/>
    <m/>
    <s v="NO"/>
    <d v="1900-12-31T00:00:00"/>
    <n v="45423"/>
    <m/>
    <m/>
    <m/>
  </r>
  <r>
    <x v="52"/>
    <m/>
    <x v="3"/>
    <x v="0"/>
    <x v="0"/>
    <x v="18"/>
    <n v="4188089"/>
    <s v="DOMENICA MALENA ZUÑIGA BRIONES"/>
    <m/>
    <m/>
    <m/>
    <m/>
    <m/>
    <m/>
    <m/>
    <x v="1"/>
    <s v="DENTAL PRIVILEGIO"/>
    <m/>
    <n v="24.704166666666666"/>
    <m/>
    <n v="296.45"/>
    <m/>
    <s v="EN PROCESO"/>
    <m/>
    <s v="NO"/>
    <d v="1900-12-31T00:00:00"/>
    <n v="45423"/>
    <m/>
    <m/>
    <m/>
  </r>
  <r>
    <x v="53"/>
    <m/>
    <x v="3"/>
    <x v="0"/>
    <x v="0"/>
    <x v="1"/>
    <n v="4188433"/>
    <s v="SALAZAR CORREA EDUARDO JULIO"/>
    <m/>
    <m/>
    <m/>
    <m/>
    <m/>
    <m/>
    <m/>
    <x v="1"/>
    <s v="3D"/>
    <m/>
    <m/>
    <m/>
    <n v="785.75"/>
    <m/>
    <s v="EN PROCESO"/>
    <m/>
    <s v="NO"/>
    <d v="1900-12-31T00:00:00"/>
    <n v="45423"/>
    <m/>
    <m/>
    <m/>
  </r>
  <r>
    <x v="53"/>
    <m/>
    <x v="3"/>
    <x v="0"/>
    <x v="0"/>
    <x v="1"/>
    <n v="4188436"/>
    <s v="SALAZAR CORREA EDUARDO JULIO"/>
    <m/>
    <m/>
    <m/>
    <m/>
    <m/>
    <m/>
    <m/>
    <x v="1"/>
    <s v="3D"/>
    <m/>
    <m/>
    <m/>
    <n v="983.83"/>
    <m/>
    <s v="EN PROCESO"/>
    <m/>
    <s v="NO"/>
    <d v="1900-12-31T00:00:00"/>
    <n v="45423"/>
    <m/>
    <m/>
    <m/>
  </r>
  <r>
    <x v="53"/>
    <m/>
    <x v="3"/>
    <x v="0"/>
    <x v="1"/>
    <x v="24"/>
    <m/>
    <s v="JOSE XAVIER MACARLUPO PARRA"/>
    <s v="TITULAR +1"/>
    <n v="906265087"/>
    <n v="939566499"/>
    <s v="CUENTA DE AHORROS"/>
    <s v="MENSUAL"/>
    <s v="JOSE XAVIER MACARLUPO PARRA"/>
    <s v="NO"/>
    <x v="5"/>
    <s v="ASISPRO 30"/>
    <s v="NO"/>
    <n v="78.61"/>
    <m/>
    <n v="877.22136978658102"/>
    <m/>
    <s v="EN PROCESO"/>
    <m/>
    <s v="NO"/>
    <d v="1900-12-31T00:00:00"/>
    <n v="45423"/>
    <m/>
    <m/>
    <m/>
  </r>
  <r>
    <x v="54"/>
    <m/>
    <x v="2"/>
    <x v="3"/>
    <x v="0"/>
    <x v="18"/>
    <n v="4123165"/>
    <s v="PUERTAS CARRION GERMAN PATRICIO"/>
    <m/>
    <m/>
    <m/>
    <m/>
    <m/>
    <m/>
    <m/>
    <x v="1"/>
    <m/>
    <m/>
    <m/>
    <m/>
    <m/>
    <m/>
    <s v="EN PROCESO"/>
    <m/>
    <s v="NO"/>
    <d v="1900-12-31T00:00:00"/>
    <n v="45423"/>
    <m/>
    <m/>
    <m/>
  </r>
  <r>
    <x v="54"/>
    <m/>
    <x v="2"/>
    <x v="0"/>
    <x v="0"/>
    <x v="18"/>
    <s v="AI24G19601"/>
    <s v="FANTONI ZURITA GIOVANNI FRANCISCO"/>
    <m/>
    <m/>
    <m/>
    <m/>
    <m/>
    <m/>
    <m/>
    <x v="2"/>
    <s v="IDEAL"/>
    <m/>
    <m/>
    <m/>
    <n v="1564.98"/>
    <m/>
    <s v="EN PROCESO"/>
    <m/>
    <s v="NO"/>
    <d v="1900-12-31T00:00:00"/>
    <n v="45423"/>
    <m/>
    <m/>
    <m/>
  </r>
  <r>
    <x v="54"/>
    <m/>
    <x v="2"/>
    <x v="0"/>
    <x v="0"/>
    <x v="2"/>
    <n v="4188146"/>
    <s v="SOLIS PIÑA NELLY JUDITH"/>
    <m/>
    <m/>
    <m/>
    <m/>
    <m/>
    <m/>
    <m/>
    <x v="1"/>
    <s v="5D"/>
    <m/>
    <m/>
    <m/>
    <n v="904.07"/>
    <m/>
    <s v="EN PROCESO"/>
    <m/>
    <s v="NO"/>
    <d v="1900-12-31T00:00:00"/>
    <n v="45423"/>
    <m/>
    <m/>
    <m/>
  </r>
  <r>
    <x v="54"/>
    <m/>
    <x v="2"/>
    <x v="0"/>
    <x v="0"/>
    <x v="2"/>
    <n v="4188494"/>
    <s v="LUNA BASTIDAS JESSICA DEL CARMEN"/>
    <m/>
    <m/>
    <m/>
    <m/>
    <m/>
    <m/>
    <m/>
    <x v="1"/>
    <s v="STAR 15K - 70"/>
    <m/>
    <m/>
    <m/>
    <n v="3083.96"/>
    <m/>
    <s v="EN PROCESO"/>
    <m/>
    <s v="NO"/>
    <d v="1900-12-31T00:00:00"/>
    <n v="45423"/>
    <m/>
    <m/>
    <m/>
  </r>
  <r>
    <x v="54"/>
    <m/>
    <x v="2"/>
    <x v="0"/>
    <x v="1"/>
    <x v="21"/>
    <m/>
    <s v="DARWIN RAMON COVEÑA ROMERO"/>
    <s v="TITULAR "/>
    <n v="1308111242"/>
    <n v="992727960"/>
    <s v="TARJETA DE CREDITO"/>
    <s v="MENSUAL"/>
    <s v="DARWIN RAMON DUELAS ROMERO"/>
    <s v="NO"/>
    <x v="3"/>
    <s v="JR 20K"/>
    <s v="NO"/>
    <n v="71.62"/>
    <m/>
    <n v="855.16417910447774"/>
    <m/>
    <s v="EN PROCESO"/>
    <m/>
    <s v="NO"/>
    <d v="1900-12-31T00:00:00"/>
    <n v="45423"/>
    <m/>
    <m/>
    <m/>
  </r>
  <r>
    <x v="55"/>
    <m/>
    <x v="2"/>
    <x v="0"/>
    <x v="0"/>
    <x v="5"/>
    <n v="4188520"/>
    <s v="MURILLO CONDO KEVIN RICARDO"/>
    <m/>
    <m/>
    <m/>
    <m/>
    <m/>
    <m/>
    <m/>
    <x v="1"/>
    <s v="3D"/>
    <m/>
    <m/>
    <m/>
    <n v="3177.4"/>
    <m/>
    <s v="EN PROCESO"/>
    <m/>
    <s v="NO"/>
    <d v="1900-12-31T00:00:00"/>
    <n v="45423"/>
    <m/>
    <m/>
    <m/>
  </r>
  <r>
    <x v="55"/>
    <m/>
    <x v="2"/>
    <x v="0"/>
    <x v="1"/>
    <x v="29"/>
    <m/>
    <s v="OLGA PATRICIA SALAS CHERE"/>
    <s v="TITULAR "/>
    <n v="802263442"/>
    <n v="987685933"/>
    <s v="CUENTA DE AHORROS"/>
    <s v="MENSUAL"/>
    <s v="OLGA PATRICIA SALAS CHERE"/>
    <s v="NO"/>
    <x v="3"/>
    <s v="MASTER 75000"/>
    <s v="NO"/>
    <n v="111.73"/>
    <m/>
    <n v="1334.0895522388062"/>
    <m/>
    <s v="EN PROCESO"/>
    <m/>
    <s v="NO"/>
    <d v="1900-12-31T00:00:00"/>
    <n v="45423"/>
    <m/>
    <m/>
    <m/>
  </r>
  <r>
    <x v="56"/>
    <m/>
    <x v="2"/>
    <x v="0"/>
    <x v="0"/>
    <x v="5"/>
    <n v="4188471"/>
    <s v="TOMALA ESTRADA MARIA JOSE"/>
    <m/>
    <m/>
    <m/>
    <m/>
    <m/>
    <m/>
    <m/>
    <x v="1"/>
    <s v="3D"/>
    <m/>
    <m/>
    <m/>
    <n v="1136.07"/>
    <m/>
    <s v="EN PROCESO"/>
    <m/>
    <s v="NO"/>
    <d v="1900-12-31T00:00:00"/>
    <n v="45423"/>
    <m/>
    <m/>
    <m/>
  </r>
  <r>
    <x v="56"/>
    <m/>
    <x v="2"/>
    <x v="0"/>
    <x v="1"/>
    <x v="25"/>
    <m/>
    <s v="JAVIER ALFREDO CARABAJO MALAVE"/>
    <s v="TITULAR"/>
    <n v="922117130"/>
    <n v="982246416"/>
    <s v="TARJETA DE CREDITO"/>
    <s v="MENSUAL"/>
    <s v="JAVIER ALFREDO CARABAJO MALEVE"/>
    <s v="NO"/>
    <x v="3"/>
    <s v="MASTER 75000"/>
    <s v="NO"/>
    <n v="126.21"/>
    <m/>
    <n v="1506.9850746268658"/>
    <m/>
    <s v="EN PROCESO"/>
    <m/>
    <s v="NO"/>
    <d v="1900-12-31T00:00:00"/>
    <n v="45423"/>
    <m/>
    <m/>
    <m/>
  </r>
  <r>
    <x v="57"/>
    <m/>
    <x v="2"/>
    <x v="0"/>
    <x v="0"/>
    <x v="32"/>
    <n v="4188608"/>
    <s v="MALLA ENCARNACION MISHEL YOSELIN"/>
    <m/>
    <m/>
    <m/>
    <m/>
    <m/>
    <m/>
    <m/>
    <x v="1"/>
    <s v="STAR 15K - 70"/>
    <m/>
    <m/>
    <m/>
    <n v="690.47"/>
    <m/>
    <s v="EN PROCESO"/>
    <m/>
    <s v="NO"/>
    <d v="1900-12-31T00:00:00"/>
    <n v="45423"/>
    <m/>
    <m/>
    <m/>
  </r>
  <r>
    <x v="58"/>
    <m/>
    <x v="2"/>
    <x v="0"/>
    <x v="0"/>
    <x v="1"/>
    <n v="4188730"/>
    <s v="DELGADO SANCHEZ MARCO ANTONIO"/>
    <m/>
    <m/>
    <m/>
    <m/>
    <m/>
    <m/>
    <m/>
    <x v="1"/>
    <s v="STAR 30K - 90"/>
    <m/>
    <m/>
    <m/>
    <n v="998.64"/>
    <m/>
    <s v="EN PROCESO"/>
    <m/>
    <s v="NO"/>
    <d v="1900-12-31T00:00:00"/>
    <n v="45423"/>
    <m/>
    <m/>
    <m/>
  </r>
  <r>
    <x v="58"/>
    <m/>
    <x v="2"/>
    <x v="0"/>
    <x v="0"/>
    <x v="18"/>
    <n v="4188707"/>
    <s v="RUIZ MORAN JUAN EMILIO"/>
    <m/>
    <m/>
    <m/>
    <m/>
    <m/>
    <m/>
    <m/>
    <x v="1"/>
    <s v="3D"/>
    <m/>
    <m/>
    <m/>
    <n v="1363.41"/>
    <m/>
    <s v="EN PROCESO"/>
    <m/>
    <s v="NO"/>
    <d v="1900-12-31T00:00:00"/>
    <n v="45423"/>
    <m/>
    <m/>
    <m/>
  </r>
  <r>
    <x v="58"/>
    <m/>
    <x v="2"/>
    <x v="0"/>
    <x v="0"/>
    <x v="18"/>
    <n v="4188708"/>
    <s v="TUMBACO TAMA ARACELY ALEXANDRA"/>
    <m/>
    <m/>
    <m/>
    <m/>
    <m/>
    <m/>
    <m/>
    <x v="1"/>
    <s v="3D"/>
    <m/>
    <m/>
    <m/>
    <n v="1375.11"/>
    <m/>
    <s v="EN PROCESO"/>
    <m/>
    <s v="NO"/>
    <d v="1900-12-31T00:00:00"/>
    <n v="45423"/>
    <m/>
    <m/>
    <m/>
  </r>
  <r>
    <x v="58"/>
    <m/>
    <x v="2"/>
    <x v="0"/>
    <x v="0"/>
    <x v="18"/>
    <n v="4188722"/>
    <s v="BAJAÑA LOPEZ MARIANA CERAIDA"/>
    <m/>
    <m/>
    <m/>
    <m/>
    <m/>
    <m/>
    <m/>
    <x v="1"/>
    <s v="3D"/>
    <m/>
    <m/>
    <m/>
    <n v="1363.17"/>
    <m/>
    <s v="EN PROCESO"/>
    <m/>
    <s v="NO"/>
    <d v="1900-12-31T00:00:00"/>
    <n v="45423"/>
    <m/>
    <m/>
    <m/>
  </r>
  <r>
    <x v="58"/>
    <m/>
    <x v="2"/>
    <x v="0"/>
    <x v="0"/>
    <x v="18"/>
    <n v="4188749"/>
    <s v="BAJAÑA LOPEZ MARIANA CERAIDA"/>
    <m/>
    <m/>
    <m/>
    <m/>
    <m/>
    <m/>
    <m/>
    <x v="1"/>
    <s v="Oncocare"/>
    <m/>
    <m/>
    <m/>
    <n v="525.34"/>
    <m/>
    <s v="EN PROCESO"/>
    <m/>
    <s v="NO"/>
    <d v="1900-12-31T00:00:00"/>
    <n v="45423"/>
    <m/>
    <m/>
    <m/>
  </r>
  <r>
    <x v="58"/>
    <m/>
    <x v="2"/>
    <x v="0"/>
    <x v="0"/>
    <x v="9"/>
    <n v="4188733"/>
    <s v="BASTIDAS VERA RODRIGO JAVIER"/>
    <m/>
    <m/>
    <m/>
    <m/>
    <m/>
    <m/>
    <m/>
    <x v="1"/>
    <s v="SKY 70 PLUS - 100"/>
    <m/>
    <m/>
    <m/>
    <n v="835.06"/>
    <m/>
    <s v="EN PROCESO"/>
    <m/>
    <s v="NO"/>
    <d v="1900-12-31T00:00:00"/>
    <n v="45423"/>
    <m/>
    <m/>
    <m/>
  </r>
  <r>
    <x v="58"/>
    <m/>
    <x v="2"/>
    <x v="0"/>
    <x v="0"/>
    <x v="4"/>
    <m/>
    <s v="PILOZO PLAZA CRISTINA DEL CARMEN"/>
    <m/>
    <m/>
    <m/>
    <m/>
    <m/>
    <m/>
    <m/>
    <x v="5"/>
    <s v="ASISPRO 50"/>
    <m/>
    <m/>
    <m/>
    <n v="1065.72"/>
    <m/>
    <s v="EN PROCESO"/>
    <m/>
    <s v="NO"/>
    <d v="1900-12-31T00:00:00"/>
    <n v="45423"/>
    <m/>
    <m/>
    <m/>
  </r>
  <r>
    <x v="58"/>
    <m/>
    <x v="2"/>
    <x v="0"/>
    <x v="0"/>
    <x v="11"/>
    <m/>
    <s v="SANCHEZ GUALPA PAMELA NAOMI"/>
    <m/>
    <m/>
    <m/>
    <m/>
    <m/>
    <m/>
    <m/>
    <x v="3"/>
    <s v="PLAN SUPREMO 100.000"/>
    <m/>
    <m/>
    <m/>
    <n v="1313.04"/>
    <m/>
    <s v="EN PROCESO"/>
    <m/>
    <s v="NO"/>
    <d v="1900-12-31T00:00:00"/>
    <n v="45423"/>
    <m/>
    <m/>
    <m/>
  </r>
  <r>
    <x v="58"/>
    <m/>
    <x v="2"/>
    <x v="0"/>
    <x v="0"/>
    <x v="5"/>
    <n v="4188777"/>
    <s v="DELGADO ALOMOTO HUGO FRANCISCO"/>
    <m/>
    <m/>
    <m/>
    <m/>
    <m/>
    <m/>
    <m/>
    <x v="1"/>
    <s v="SALUD DENTAL MASTER"/>
    <m/>
    <m/>
    <m/>
    <n v="422.3"/>
    <m/>
    <s v="EN PROCESO"/>
    <m/>
    <s v="NO"/>
    <d v="1900-12-31T00:00:00"/>
    <n v="45423"/>
    <m/>
    <m/>
    <m/>
  </r>
  <r>
    <x v="58"/>
    <m/>
    <x v="2"/>
    <x v="0"/>
    <x v="0"/>
    <x v="2"/>
    <n v="4188695"/>
    <s v="PANCHANA ANDRADE SONNIA PIEDAD"/>
    <m/>
    <m/>
    <m/>
    <m/>
    <m/>
    <m/>
    <m/>
    <x v="1"/>
    <s v="STAR 15K - 70"/>
    <m/>
    <m/>
    <m/>
    <n v="1143.23"/>
    <m/>
    <s v="EN PROCESO"/>
    <m/>
    <s v="NO"/>
    <d v="1900-12-31T00:00:00"/>
    <n v="45423"/>
    <m/>
    <m/>
    <m/>
  </r>
  <r>
    <x v="59"/>
    <m/>
    <x v="2"/>
    <x v="0"/>
    <x v="0"/>
    <x v="1"/>
    <m/>
    <s v="LLIVISACA ORTEGA MARIUXI KARLA"/>
    <m/>
    <m/>
    <m/>
    <m/>
    <m/>
    <m/>
    <m/>
    <x v="3"/>
    <s v="PLAN PREMIUM 30.000"/>
    <m/>
    <m/>
    <m/>
    <n v="819.32"/>
    <m/>
    <s v="EN PROCESO"/>
    <m/>
    <s v="NO"/>
    <d v="1900-12-31T00:00:00"/>
    <n v="45423"/>
    <m/>
    <m/>
    <m/>
  </r>
  <r>
    <x v="59"/>
    <m/>
    <x v="2"/>
    <x v="0"/>
    <x v="1"/>
    <x v="15"/>
    <m/>
    <s v="NATHALYE BETHZABE BALDEON CASTRO"/>
    <s v="TITULAR"/>
    <m/>
    <m/>
    <s v="CUENTA DE AHORROS"/>
    <s v="MENSUAL"/>
    <s v="NATHALYE BETHZABE BALDEON CASTRO"/>
    <s v="NO"/>
    <x v="3"/>
    <s v="MASTER 75000"/>
    <s v="NO"/>
    <n v="83.32"/>
    <m/>
    <n v="994.8656716417911"/>
    <m/>
    <s v="EN PROCESO"/>
    <m/>
    <s v="NO"/>
    <d v="1900-12-31T00:00:00"/>
    <n v="45423"/>
    <m/>
    <m/>
    <m/>
  </r>
  <r>
    <x v="60"/>
    <m/>
    <x v="2"/>
    <x v="0"/>
    <x v="0"/>
    <x v="0"/>
    <n v="4188773"/>
    <s v="GONZALEZ GOMEZ HIPOLITO RODIMIRO"/>
    <m/>
    <m/>
    <m/>
    <m/>
    <m/>
    <m/>
    <m/>
    <x v="1"/>
    <s v="STAR 30K - 90"/>
    <m/>
    <m/>
    <m/>
    <n v="1056.9100000000001"/>
    <m/>
    <m/>
    <m/>
    <m/>
    <m/>
    <m/>
    <m/>
    <m/>
    <m/>
  </r>
  <r>
    <x v="60"/>
    <m/>
    <x v="2"/>
    <x v="0"/>
    <x v="0"/>
    <x v="2"/>
    <n v="15997"/>
    <s v="ASPIAZU MUZZIO PIERO SALVATORE"/>
    <m/>
    <m/>
    <m/>
    <m/>
    <m/>
    <m/>
    <m/>
    <x v="3"/>
    <s v="PLAN JUNIOR 20.000"/>
    <m/>
    <m/>
    <m/>
    <n v="795.08"/>
    <m/>
    <m/>
    <m/>
    <m/>
    <m/>
    <m/>
    <m/>
    <m/>
    <m/>
  </r>
  <r>
    <x v="60"/>
    <m/>
    <x v="2"/>
    <x v="0"/>
    <x v="1"/>
    <x v="29"/>
    <m/>
    <s v="JOYCI SUYEN MOREY SALAS"/>
    <m/>
    <n v="930886296"/>
    <n v="993517739"/>
    <s v="TARJETA DE CREDITO"/>
    <s v="ANUAL"/>
    <m/>
    <m/>
    <x v="10"/>
    <m/>
    <m/>
    <m/>
    <n v="1090.5"/>
    <n v="1090.5"/>
    <m/>
    <s v="EN PROCESO"/>
    <m/>
    <s v="NO"/>
    <d v="1900-12-31T00:00:00"/>
    <n v="45423"/>
    <m/>
    <m/>
    <m/>
  </r>
  <r>
    <x v="60"/>
    <m/>
    <x v="2"/>
    <x v="0"/>
    <x v="1"/>
    <x v="29"/>
    <m/>
    <s v="OLGA PATRICIA SALAS CHERE"/>
    <m/>
    <n v="802263442"/>
    <n v="987685933"/>
    <s v="TARJETA DE CREDITO"/>
    <s v="ANUAL"/>
    <m/>
    <m/>
    <x v="10"/>
    <m/>
    <m/>
    <m/>
    <n v="1911"/>
    <n v="1911"/>
    <m/>
    <s v="EN PROCESO"/>
    <m/>
    <s v="NO"/>
    <d v="1900-12-31T00:00:00"/>
    <n v="45423"/>
    <m/>
    <m/>
    <m/>
  </r>
  <r>
    <x v="61"/>
    <m/>
    <x v="2"/>
    <x v="0"/>
    <x v="0"/>
    <x v="18"/>
    <n v="4189058"/>
    <s v="SOLANO MOSQUERA DELIA CATALINA"/>
    <m/>
    <m/>
    <m/>
    <m/>
    <m/>
    <m/>
    <m/>
    <x v="4"/>
    <s v="Plan Ideal"/>
    <m/>
    <m/>
    <m/>
    <n v="4817.75"/>
    <m/>
    <m/>
    <m/>
    <m/>
    <m/>
    <m/>
    <m/>
    <m/>
    <m/>
  </r>
  <r>
    <x v="61"/>
    <m/>
    <x v="2"/>
    <x v="0"/>
    <x v="0"/>
    <x v="18"/>
    <n v="4189013"/>
    <s v="MUENTES BONE ANA ISABEL"/>
    <m/>
    <m/>
    <m/>
    <m/>
    <m/>
    <m/>
    <m/>
    <x v="1"/>
    <s v="3D"/>
    <m/>
    <m/>
    <m/>
    <n v="501.7"/>
    <m/>
    <m/>
    <m/>
    <m/>
    <m/>
    <m/>
    <m/>
    <m/>
    <m/>
  </r>
  <r>
    <x v="61"/>
    <m/>
    <x v="2"/>
    <x v="0"/>
    <x v="0"/>
    <x v="9"/>
    <m/>
    <s v="CARRION BASTIDAS LUIS ANGEL"/>
    <m/>
    <m/>
    <m/>
    <m/>
    <m/>
    <m/>
    <m/>
    <x v="0"/>
    <s v="MH 50"/>
    <m/>
    <m/>
    <m/>
    <n v="2450.09"/>
    <m/>
    <m/>
    <m/>
    <m/>
    <m/>
    <m/>
    <m/>
    <m/>
    <m/>
  </r>
  <r>
    <x v="61"/>
    <m/>
    <x v="2"/>
    <x v="0"/>
    <x v="0"/>
    <x v="32"/>
    <n v="4189023"/>
    <s v="PINARGOTE QUIMIS CARMELO JAVIER"/>
    <m/>
    <m/>
    <m/>
    <m/>
    <m/>
    <m/>
    <m/>
    <x v="1"/>
    <s v="STAR 30K - 90"/>
    <m/>
    <m/>
    <m/>
    <n v="1378.93"/>
    <m/>
    <m/>
    <m/>
    <m/>
    <m/>
    <m/>
    <m/>
    <m/>
    <m/>
  </r>
  <r>
    <x v="62"/>
    <m/>
    <x v="2"/>
    <x v="0"/>
    <x v="0"/>
    <x v="1"/>
    <s v="GM24G44687"/>
    <s v="LLIVISACA AVECILLAS CARLOS GONZALO"/>
    <m/>
    <m/>
    <m/>
    <m/>
    <m/>
    <m/>
    <m/>
    <x v="2"/>
    <s v="GMM"/>
    <m/>
    <m/>
    <m/>
    <n v="718.28"/>
    <m/>
    <m/>
    <m/>
    <m/>
    <m/>
    <m/>
    <m/>
    <m/>
    <m/>
  </r>
  <r>
    <x v="62"/>
    <m/>
    <x v="2"/>
    <x v="0"/>
    <x v="0"/>
    <x v="8"/>
    <n v="4189058"/>
    <s v="REINOSO VELIZ CARLA NATHALY"/>
    <m/>
    <m/>
    <m/>
    <m/>
    <m/>
    <m/>
    <m/>
    <x v="1"/>
    <s v="3D"/>
    <m/>
    <m/>
    <m/>
    <n v="501.7"/>
    <m/>
    <s v="EN PROCESO"/>
    <m/>
    <s v="NO"/>
    <d v="1900-12-31T00:00:00"/>
    <n v="45423"/>
    <m/>
    <m/>
    <m/>
  </r>
  <r>
    <x v="62"/>
    <m/>
    <x v="2"/>
    <x v="0"/>
    <x v="0"/>
    <x v="2"/>
    <n v="4188773"/>
    <s v="SANCHEZ VALLADOLID JOSELYN ANGELA"/>
    <m/>
    <m/>
    <m/>
    <m/>
    <m/>
    <m/>
    <m/>
    <x v="1"/>
    <s v="STAR 15K - 70"/>
    <m/>
    <m/>
    <m/>
    <n v="690.47"/>
    <m/>
    <s v="EN PROCESO"/>
    <m/>
    <s v="NO"/>
    <d v="1900-12-31T00:00:00"/>
    <n v="45423"/>
    <m/>
    <m/>
    <m/>
  </r>
  <r>
    <x v="62"/>
    <m/>
    <x v="2"/>
    <x v="0"/>
    <x v="0"/>
    <x v="2"/>
    <n v="4189099"/>
    <s v="CORREA RUIZ JONATHAN JOSE"/>
    <m/>
    <m/>
    <m/>
    <m/>
    <m/>
    <m/>
    <m/>
    <x v="1"/>
    <s v="3D"/>
    <m/>
    <m/>
    <m/>
    <n v="889.63"/>
    <m/>
    <s v="EN PROCESO"/>
    <m/>
    <s v="NO"/>
    <d v="1900-12-31T00:00:00"/>
    <n v="45423"/>
    <m/>
    <m/>
    <m/>
  </r>
  <r>
    <x v="62"/>
    <m/>
    <x v="2"/>
    <x v="0"/>
    <x v="1"/>
    <x v="29"/>
    <m/>
    <s v="LAURA CECIBEL FIGUEROA MUÑOZ"/>
    <s v="TITULAR"/>
    <n v="909365785"/>
    <n v="963645626"/>
    <s v="CUENTA DE AHORROS"/>
    <s v="ANUAL"/>
    <s v="LAURA CECIBEL FIGUEROA MUÑOZ"/>
    <s v="NO"/>
    <x v="11"/>
    <s v="PLAN 80"/>
    <m/>
    <n v="104.68"/>
    <m/>
    <n v="1249.9104477611943"/>
    <m/>
    <s v="EN PROCESO"/>
    <m/>
    <s v="NO"/>
    <d v="1900-12-31T00:00:00"/>
    <n v="45423"/>
    <m/>
    <m/>
    <m/>
  </r>
  <r>
    <x v="63"/>
    <m/>
    <x v="2"/>
    <x v="0"/>
    <x v="1"/>
    <x v="24"/>
    <m/>
    <s v="WALTER DAVID HANNA GONZALEZ"/>
    <s v="TITULAR"/>
    <n v="912634854"/>
    <n v="987383545"/>
    <s v="TARJETA DE CREDITO"/>
    <s v="MENSUAL"/>
    <s v="DANIEL HANNA GONZALEZ"/>
    <s v="NO"/>
    <x v="3"/>
    <s v="SUPREMO"/>
    <s v="NO"/>
    <n v="194.66"/>
    <m/>
    <n v="2324.2985074626868"/>
    <m/>
    <s v="EN PROCESO"/>
    <m/>
    <s v="NO"/>
    <d v="1900-12-31T00:00:00"/>
    <n v="45423"/>
    <m/>
    <m/>
    <m/>
  </r>
  <r>
    <x v="63"/>
    <m/>
    <x v="2"/>
    <x v="0"/>
    <x v="1"/>
    <x v="24"/>
    <m/>
    <s v="MERCEDES EUGENIA GONZALEZ LASCANO"/>
    <s v="TITULAR"/>
    <n v="903477420"/>
    <n v="997721266"/>
    <s v="TARJETA DE CREDITO"/>
    <s v="MENSUAL"/>
    <s v="MERCEDES EUGENIA GONZALEZ LASCANO"/>
    <s v="NO"/>
    <x v="3"/>
    <s v="MASTER 75000"/>
    <m/>
    <n v="440.41"/>
    <m/>
    <n v="5258.626865671642"/>
    <m/>
    <s v="EN PROCESO"/>
    <m/>
    <s v="NO"/>
    <d v="1900-12-31T00:00:00"/>
    <n v="45423"/>
    <m/>
    <m/>
    <m/>
  </r>
  <r>
    <x v="63"/>
    <m/>
    <x v="2"/>
    <x v="0"/>
    <x v="1"/>
    <x v="21"/>
    <m/>
    <s v="MARIA MERCEDES ORBE CASTILLA"/>
    <s v="TITULAR"/>
    <n v="925756132"/>
    <n v="980751941"/>
    <s v="CUENTA DE AHORROS"/>
    <s v="MENSUAL"/>
    <s v="MARIA MERCEDES ORBE CASTILLA"/>
    <s v="NO"/>
    <x v="3"/>
    <s v="MASTER 75000"/>
    <s v="NO"/>
    <n v="83.32"/>
    <m/>
    <n v="994.8656716417911"/>
    <m/>
    <s v="EN PROCESO"/>
    <m/>
    <s v="NO"/>
    <d v="1900-12-31T00:00:00"/>
    <n v="45423"/>
    <m/>
    <m/>
    <m/>
  </r>
  <r>
    <x v="64"/>
    <m/>
    <x v="2"/>
    <x v="0"/>
    <x v="0"/>
    <x v="32"/>
    <n v="4189251"/>
    <s v="ESPINOZA GOMEZ MARIA FERNANDA"/>
    <m/>
    <m/>
    <m/>
    <m/>
    <m/>
    <m/>
    <m/>
    <x v="1"/>
    <s v="SKY 50K PLUS - 100"/>
    <m/>
    <m/>
    <m/>
    <n v="1446.15"/>
    <m/>
    <s v="EN PROCESO"/>
    <m/>
    <s v="NO"/>
    <d v="1900-12-31T00:00:00"/>
    <n v="45423"/>
    <m/>
    <m/>
    <m/>
  </r>
  <r>
    <x v="65"/>
    <m/>
    <x v="2"/>
    <x v="0"/>
    <x v="0"/>
    <x v="18"/>
    <n v="4189337"/>
    <s v="MANZANO PALMA CARLOS FRANCISCO"/>
    <m/>
    <m/>
    <m/>
    <m/>
    <m/>
    <m/>
    <m/>
    <x v="1"/>
    <s v="5D"/>
    <m/>
    <m/>
    <m/>
    <n v="1771.99"/>
    <m/>
    <s v="EN PROCESO"/>
    <m/>
    <s v="NO"/>
    <d v="1900-12-31T00:00:00"/>
    <n v="45423"/>
    <m/>
    <m/>
    <m/>
  </r>
  <r>
    <x v="65"/>
    <m/>
    <x v="2"/>
    <x v="0"/>
    <x v="1"/>
    <x v="29"/>
    <m/>
    <s v="JORGE ADALBERTO AGUILAR CABRERA"/>
    <s v="TITULAR +3"/>
    <n v="915484786"/>
    <n v="994273356"/>
    <s v="CUENTA DE AHORROS"/>
    <s v="MENSUAL"/>
    <s v="JORGE ADALBERTO AGUILAR CABRERA"/>
    <s v="NO"/>
    <x v="2"/>
    <s v="GMM"/>
    <s v="NO"/>
    <n v="73.2"/>
    <m/>
    <n v="809.02985074626883"/>
    <m/>
    <s v="EN PROCESO"/>
    <m/>
    <s v="NO"/>
    <d v="1900-12-31T00:00:00"/>
    <n v="45423"/>
    <m/>
    <m/>
    <m/>
  </r>
  <r>
    <x v="65"/>
    <m/>
    <x v="2"/>
    <x v="0"/>
    <x v="1"/>
    <x v="3"/>
    <m/>
    <s v="CAMILA ICAZA DE JANON"/>
    <s v="TITULAR"/>
    <n v="952657385"/>
    <n v="981813669"/>
    <s v="CUENTA DE AHORROS"/>
    <s v="MENSUAL"/>
    <s v="CAMILA ICAZA DE JANON"/>
    <s v="NO"/>
    <x v="5"/>
    <s v="ASISPRO 20"/>
    <s v="NO"/>
    <n v="51.84"/>
    <m/>
    <n v="578.49072395034182"/>
    <m/>
    <s v="EN PROCESO"/>
    <m/>
    <s v="NO"/>
    <d v="1900-12-31T00:00:00"/>
    <n v="45423"/>
    <m/>
    <m/>
    <m/>
  </r>
  <r>
    <x v="65"/>
    <m/>
    <x v="2"/>
    <x v="0"/>
    <x v="1"/>
    <x v="3"/>
    <m/>
    <s v="MARIA AUXILIADORA MARIDUEÑA ALVAREZ"/>
    <s v="TITULAR"/>
    <n v="918943036"/>
    <n v="992352131"/>
    <s v="CUENTA DE AHORROS"/>
    <s v="MENSUAL"/>
    <s v="MARIA AUXILIADORA MARIDUEÑA ALVAREZ"/>
    <s v="NO"/>
    <x v="5"/>
    <s v="ASISPRO 30"/>
    <s v="NO"/>
    <n v="85.2"/>
    <m/>
    <n v="950.76021760357105"/>
    <m/>
    <s v="EN PROCESO"/>
    <m/>
    <s v="NO"/>
    <d v="1900-12-31T00:00:00"/>
    <n v="45423"/>
    <m/>
    <m/>
    <m/>
  </r>
  <r>
    <x v="66"/>
    <m/>
    <x v="2"/>
    <x v="0"/>
    <x v="1"/>
    <x v="29"/>
    <m/>
    <s v="JORGE ADALBERTO AGUILAR CABRERA"/>
    <s v="TITULAR +1"/>
    <n v="915484786"/>
    <n v="994273356"/>
    <s v="CUENTA DE AHORROS"/>
    <s v="MENSUAL"/>
    <s v="JORGE ADALBERTO AGUILAR CABRERA"/>
    <s v="NO"/>
    <x v="0"/>
    <s v="PH 15"/>
    <s v="NO"/>
    <n v="144.35"/>
    <m/>
    <n v="1723.5820895522388"/>
    <m/>
    <s v="EN PROCESO"/>
    <m/>
    <s v="NO"/>
    <d v="1900-12-31T00:00:00"/>
    <n v="45423"/>
    <m/>
    <m/>
    <m/>
  </r>
  <r>
    <x v="66"/>
    <m/>
    <x v="2"/>
    <x v="0"/>
    <x v="1"/>
    <x v="24"/>
    <m/>
    <s v="ANDREA ESTEFANIA MACIAS MACIAS"/>
    <s v="TITULAR"/>
    <n v="923236293"/>
    <n v="980025324"/>
    <s v="TARJETA DE CREDITO"/>
    <s v="MENSUAL"/>
    <s v="ANDREA ESTEFANIA MACIAS MACIAS"/>
    <s v="N"/>
    <x v="1"/>
    <s v="ELITE 5D"/>
    <m/>
    <n v="204.71"/>
    <m/>
    <n v="2456.52"/>
    <m/>
    <s v="EN PROCESO"/>
    <m/>
    <s v="NO"/>
    <d v="1900-12-31T00:00:00"/>
    <n v="45423"/>
    <m/>
    <m/>
    <m/>
  </r>
  <r>
    <x v="66"/>
    <m/>
    <x v="2"/>
    <x v="0"/>
    <x v="1"/>
    <x v="14"/>
    <m/>
    <s v="MARIA ROSARIO GAVILANEZ PALACIOS"/>
    <s v="TITULAR"/>
    <n v="903567840"/>
    <n v="984056270"/>
    <s v="CUENTA DE AHORROS"/>
    <s v="MENSUAL"/>
    <s v="MARIA ROSARIO GAVILANEZ PALACIOS"/>
    <s v="NO"/>
    <x v="2"/>
    <s v="GMM"/>
    <s v="NO"/>
    <n v="240.04"/>
    <m/>
    <n v="2801.1492537313434"/>
    <m/>
    <s v="EN PROCESO"/>
    <m/>
    <s v="NO"/>
    <d v="1900-12-31T00:00:00"/>
    <n v="45423"/>
    <m/>
    <m/>
    <m/>
  </r>
  <r>
    <x v="67"/>
    <m/>
    <x v="2"/>
    <x v="0"/>
    <x v="1"/>
    <x v="24"/>
    <m/>
    <s v="SULLY JOHANNA CABRERA LOJA"/>
    <s v="2 DEPENDIENTES"/>
    <n v="921897039"/>
    <n v="979029020"/>
    <s v="TARJETA DE CREDITO"/>
    <s v="MENSUAL"/>
    <s v="JOSE MURILLO VERDOMIGO"/>
    <s v="NO"/>
    <x v="3"/>
    <s v="MASTER 75000"/>
    <s v="NO"/>
    <n v="154.84"/>
    <m/>
    <n v="1848.8358208955226"/>
    <m/>
    <s v="EN PROCESO"/>
    <m/>
    <s v="NO"/>
    <d v="1900-12-31T00:00:00"/>
    <n v="45423"/>
    <m/>
    <m/>
    <m/>
  </r>
  <r>
    <x v="68"/>
    <m/>
    <x v="2"/>
    <x v="0"/>
    <x v="0"/>
    <x v="18"/>
    <s v="GM24G44739"/>
    <s v="RAMOS MORAN SALLY JOICE"/>
    <m/>
    <m/>
    <m/>
    <m/>
    <m/>
    <m/>
    <m/>
    <x v="2"/>
    <s v="GMM"/>
    <m/>
    <m/>
    <m/>
    <n v="811.59"/>
    <m/>
    <s v="EN PROCESO"/>
    <m/>
    <s v="NO"/>
    <d v="1900-12-31T00:00:00"/>
    <n v="45423"/>
    <m/>
    <m/>
    <m/>
  </r>
  <r>
    <x v="68"/>
    <m/>
    <x v="2"/>
    <x v="0"/>
    <x v="0"/>
    <x v="18"/>
    <s v="GM24G44993"/>
    <s v="MERCHAN ARZUBE JOHN MARIO"/>
    <m/>
    <m/>
    <m/>
    <m/>
    <m/>
    <m/>
    <m/>
    <x v="2"/>
    <s v="GMM"/>
    <m/>
    <m/>
    <m/>
    <n v="1491.15"/>
    <m/>
    <s v="EN PROCESO"/>
    <m/>
    <s v="NO"/>
    <d v="1900-12-31T00:00:00"/>
    <n v="45423"/>
    <m/>
    <m/>
    <m/>
  </r>
  <r>
    <x v="68"/>
    <m/>
    <x v="2"/>
    <x v="0"/>
    <x v="0"/>
    <x v="13"/>
    <n v="4189498"/>
    <s v="OCHOA OCHOA MARIA PATRICIA"/>
    <m/>
    <m/>
    <m/>
    <m/>
    <m/>
    <m/>
    <m/>
    <x v="1"/>
    <s v="5D"/>
    <m/>
    <m/>
    <m/>
    <n v="748.02"/>
    <m/>
    <s v="EN PROCESO"/>
    <m/>
    <s v="NO"/>
    <d v="1900-12-31T00:00:00"/>
    <n v="45423"/>
    <m/>
    <m/>
    <m/>
  </r>
  <r>
    <x v="68"/>
    <m/>
    <x v="2"/>
    <x v="0"/>
    <x v="0"/>
    <x v="11"/>
    <m/>
    <s v="FERAUD LARREA KATHERINE MARIA"/>
    <m/>
    <m/>
    <m/>
    <m/>
    <m/>
    <m/>
    <m/>
    <x v="3"/>
    <s v="PLAN MASTER 75.000"/>
    <m/>
    <m/>
    <m/>
    <n v="1012.87"/>
    <m/>
    <s v="EN PROCESO"/>
    <m/>
    <s v="NO"/>
    <d v="1900-12-31T00:00:00"/>
    <n v="45423"/>
    <m/>
    <m/>
    <m/>
  </r>
  <r>
    <x v="68"/>
    <m/>
    <x v="2"/>
    <x v="0"/>
    <x v="0"/>
    <x v="2"/>
    <m/>
    <s v="MARTILLO GUILLEN MARIA MERCEDES"/>
    <m/>
    <m/>
    <m/>
    <m/>
    <m/>
    <m/>
    <m/>
    <x v="3"/>
    <s v="PLAN PREMIUM 30.000"/>
    <m/>
    <m/>
    <m/>
    <n v="4442.28"/>
    <m/>
    <s v="EN PROCESO"/>
    <m/>
    <s v="NO"/>
    <d v="1900-12-31T00:00:00"/>
    <n v="45423"/>
    <m/>
    <m/>
    <m/>
  </r>
  <r>
    <x v="69"/>
    <m/>
    <x v="2"/>
    <x v="0"/>
    <x v="1"/>
    <x v="15"/>
    <m/>
    <s v="LHEYLA PRISCILA MORALES MONTAÑO"/>
    <s v="TITULAR "/>
    <n v="905013371"/>
    <n v="981544822"/>
    <s v="CUENTA DE AHORROS"/>
    <s v="MENSUAL"/>
    <s v="WILLIAM CUEVA MORALES"/>
    <s v="NO"/>
    <x v="3"/>
    <s v="MASTER 75000"/>
    <m/>
    <n v="379.41"/>
    <m/>
    <n v="4530.2686567164183"/>
    <m/>
    <s v="EN PROCESO"/>
    <m/>
    <s v="NO"/>
    <d v="1900-12-31T00:00:00"/>
    <n v="45423"/>
    <m/>
    <m/>
    <m/>
  </r>
  <r>
    <x v="70"/>
    <m/>
    <x v="2"/>
    <x v="0"/>
    <x v="0"/>
    <x v="10"/>
    <n v="4189721"/>
    <s v="VIVANCO YEPEZ MARIA JOSE"/>
    <m/>
    <m/>
    <m/>
    <m/>
    <m/>
    <m/>
    <m/>
    <x v="1"/>
    <s v="STAR 15K - 70"/>
    <m/>
    <m/>
    <m/>
    <n v="750.17"/>
    <m/>
    <s v="EN PROCESO"/>
    <m/>
    <s v="NO"/>
    <d v="1900-12-31T00:00:00"/>
    <n v="45423"/>
    <m/>
    <m/>
    <m/>
  </r>
  <r>
    <x v="71"/>
    <m/>
    <x v="2"/>
    <x v="0"/>
    <x v="0"/>
    <x v="5"/>
    <n v="4189737"/>
    <s v="OLVERA MOREIRA ANDREA AIDA"/>
    <m/>
    <m/>
    <m/>
    <m/>
    <m/>
    <m/>
    <m/>
    <x v="1"/>
    <m/>
    <m/>
    <m/>
    <m/>
    <n v="2060.58"/>
    <m/>
    <s v="EN PROCESO"/>
    <m/>
    <s v="NO"/>
    <d v="1900-12-31T00:00:00"/>
    <n v="45423"/>
    <m/>
    <m/>
    <m/>
  </r>
  <r>
    <x v="71"/>
    <m/>
    <x v="2"/>
    <x v="0"/>
    <x v="0"/>
    <x v="5"/>
    <n v="4189737"/>
    <s v="OLVERA MOREIRA MARIA VICTORIA"/>
    <m/>
    <m/>
    <m/>
    <m/>
    <m/>
    <m/>
    <m/>
    <x v="1"/>
    <s v="SKY 70 PLUS - 100"/>
    <m/>
    <m/>
    <m/>
    <n v="1544.06"/>
    <m/>
    <s v="EN PROCESO"/>
    <m/>
    <s v="NO"/>
    <d v="1900-12-31T00:00:00"/>
    <n v="45423"/>
    <m/>
    <m/>
    <m/>
  </r>
  <r>
    <x v="71"/>
    <m/>
    <x v="2"/>
    <x v="0"/>
    <x v="0"/>
    <x v="5"/>
    <m/>
    <s v="CIRINO BORBOR MARTHA MARIA"/>
    <m/>
    <m/>
    <m/>
    <m/>
    <m/>
    <m/>
    <m/>
    <x v="0"/>
    <s v="PH 15"/>
    <m/>
    <m/>
    <m/>
    <n v="2982.37"/>
    <m/>
    <s v="EN PROCESO"/>
    <m/>
    <s v="NO"/>
    <d v="1900-12-31T00:00:00"/>
    <n v="45423"/>
    <m/>
    <m/>
    <m/>
  </r>
  <r>
    <x v="71"/>
    <m/>
    <x v="2"/>
    <x v="0"/>
    <x v="1"/>
    <x v="15"/>
    <m/>
    <s v="ARTURO XAVIER CAMPOVERDE ESPINOZA"/>
    <m/>
    <m/>
    <m/>
    <s v="TARJETA DE CREDITO"/>
    <s v="MENSUAL"/>
    <s v="ARTURO XAVIER CAMPOVERDE ESPINOZA"/>
    <s v="NO"/>
    <x v="2"/>
    <s v="GMM"/>
    <m/>
    <n v="55.16"/>
    <m/>
    <n v="593.62686567164178"/>
    <m/>
    <s v="EN PROCESO"/>
    <m/>
    <s v="NO"/>
    <d v="1900-12-31T00:00:00"/>
    <n v="45423"/>
    <m/>
    <m/>
    <m/>
  </r>
  <r>
    <x v="71"/>
    <m/>
    <x v="2"/>
    <x v="0"/>
    <x v="1"/>
    <x v="14"/>
    <m/>
    <s v="MARIANA BETSABE AGUIRRE ESPAÑA"/>
    <m/>
    <n v="904458494"/>
    <n v="994613959"/>
    <s v="CUENTA DE AHORROS"/>
    <s v="MENSUAL"/>
    <s v="MARIANA BETSABE AGUIRRE ESPAÑA"/>
    <s v="NO"/>
    <x v="7"/>
    <s v="CONFIPLUS $30000 RED-2"/>
    <m/>
    <n v="142.96"/>
    <m/>
    <n v="1706.9850746268658"/>
    <m/>
    <s v="EN PROCESO"/>
    <m/>
    <s v="NO"/>
    <d v="1900-12-31T00:00:00"/>
    <n v="45423"/>
    <m/>
    <m/>
    <m/>
  </r>
  <r>
    <x v="72"/>
    <m/>
    <x v="2"/>
    <x v="0"/>
    <x v="1"/>
    <x v="24"/>
    <m/>
    <s v="CARMEN LILIANA SOTO ENCISO"/>
    <m/>
    <m/>
    <m/>
    <s v="TARJETA DE CREDITO"/>
    <s v="MENSUAL"/>
    <m/>
    <s v="NO"/>
    <x v="2"/>
    <s v="GMM"/>
    <m/>
    <n v="49.514166666666661"/>
    <m/>
    <n v="526.21393034825871"/>
    <m/>
    <s v="EN PROCESO"/>
    <m/>
    <s v="NO"/>
    <d v="1900-12-31T00:00:00"/>
    <n v="45423"/>
    <m/>
    <m/>
    <m/>
  </r>
  <r>
    <x v="72"/>
    <m/>
    <x v="2"/>
    <x v="0"/>
    <x v="1"/>
    <x v="24"/>
    <m/>
    <s v="ERIC ENRIQUE LOPEZ CORTEZ"/>
    <m/>
    <m/>
    <m/>
    <s v="TARJETA DE CREDITO"/>
    <s v="MENSUAL"/>
    <m/>
    <s v="NO"/>
    <x v="2"/>
    <s v="GMM"/>
    <m/>
    <n v="49.052500000000002"/>
    <m/>
    <n v="520.70149253731347"/>
    <m/>
    <s v="EN PROCESO"/>
    <m/>
    <s v="NO"/>
    <d v="1900-12-31T00:00:00"/>
    <n v="45423"/>
    <m/>
    <m/>
    <m/>
  </r>
  <r>
    <x v="73"/>
    <m/>
    <x v="2"/>
    <x v="0"/>
    <x v="0"/>
    <x v="18"/>
    <n v="4190029"/>
    <s v="VEAS GANCHOZO LISSETH JESSENIA"/>
    <m/>
    <m/>
    <m/>
    <m/>
    <m/>
    <m/>
    <m/>
    <x v="1"/>
    <s v="3D"/>
    <m/>
    <m/>
    <m/>
    <n v="803.54"/>
    <m/>
    <m/>
    <m/>
    <m/>
    <m/>
    <m/>
    <m/>
    <m/>
    <m/>
  </r>
  <r>
    <x v="73"/>
    <m/>
    <x v="2"/>
    <x v="0"/>
    <x v="1"/>
    <x v="29"/>
    <m/>
    <s v="LUPO PLAZA MARIDUEÑA"/>
    <m/>
    <m/>
    <m/>
    <m/>
    <m/>
    <m/>
    <m/>
    <x v="12"/>
    <m/>
    <m/>
    <m/>
    <m/>
    <n v="2694.9651741293537"/>
    <m/>
    <s v="EN PROCESO"/>
    <m/>
    <s v="NO"/>
    <d v="1900-12-31T00:00:00"/>
    <n v="45423"/>
    <m/>
    <m/>
    <m/>
  </r>
  <r>
    <x v="73"/>
    <m/>
    <x v="2"/>
    <x v="0"/>
    <x v="1"/>
    <x v="29"/>
    <m/>
    <s v="HILDA PAOLA MARIDUEÑA MOLINA"/>
    <m/>
    <m/>
    <m/>
    <m/>
    <m/>
    <m/>
    <m/>
    <x v="12"/>
    <m/>
    <m/>
    <m/>
    <n v="4415.28"/>
    <n v="4245.4615384615381"/>
    <m/>
    <s v="EN PROCESO"/>
    <m/>
    <s v="NO"/>
    <d v="1900-12-31T00:00:00"/>
    <n v="45423"/>
    <m/>
    <m/>
    <m/>
  </r>
  <r>
    <x v="74"/>
    <m/>
    <x v="2"/>
    <x v="0"/>
    <x v="0"/>
    <x v="4"/>
    <m/>
    <s v="VALENCIA PEREZ RIGOBERTO EXEQUIAS"/>
    <m/>
    <m/>
    <m/>
    <m/>
    <m/>
    <m/>
    <m/>
    <x v="3"/>
    <s v="PLAN PREMIUM 30.000"/>
    <m/>
    <m/>
    <m/>
    <n v="4467.47"/>
    <m/>
    <m/>
    <m/>
    <m/>
    <m/>
    <m/>
    <m/>
    <m/>
    <m/>
  </r>
  <r>
    <x v="74"/>
    <m/>
    <x v="2"/>
    <x v="0"/>
    <x v="1"/>
    <x v="12"/>
    <m/>
    <s v="MARIA ROSARIO ROMAN LOJA"/>
    <m/>
    <m/>
    <m/>
    <m/>
    <m/>
    <m/>
    <m/>
    <x v="2"/>
    <s v="GMM"/>
    <m/>
    <n v="96.29"/>
    <m/>
    <n v="1084.7313432835822"/>
    <m/>
    <s v="EN PROCESO"/>
    <m/>
    <s v="NO"/>
    <d v="1900-12-31T00:00:00"/>
    <n v="45423"/>
    <m/>
    <m/>
    <m/>
  </r>
  <r>
    <x v="74"/>
    <m/>
    <x v="2"/>
    <x v="0"/>
    <x v="1"/>
    <x v="6"/>
    <m/>
    <s v="FATIMA PILAR ARELLANO MACIAS"/>
    <s v="TITUALAR +1"/>
    <n v="915236319"/>
    <n v="991468691"/>
    <s v="TARJETA DE CREDITO"/>
    <s v="MENSUAL"/>
    <s v="FATIMA PILAR ARELLANO MACIAS"/>
    <s v="NO"/>
    <x v="2"/>
    <s v="INNOVA"/>
    <m/>
    <n v="292.11"/>
    <m/>
    <n v="3422.880597014926"/>
    <m/>
    <s v="EN PROCESO"/>
    <m/>
    <s v="NO"/>
    <d v="1900-12-31T00:00:00"/>
    <n v="45423"/>
    <m/>
    <m/>
    <m/>
  </r>
  <r>
    <x v="75"/>
    <m/>
    <x v="4"/>
    <x v="0"/>
    <x v="1"/>
    <x v="12"/>
    <m/>
    <s v="ENA ELIZABETH FRANCO USCOCOVICH"/>
    <s v="TITULAR"/>
    <m/>
    <m/>
    <s v="CUENTA DE AHORROS"/>
    <s v="MENSUAL"/>
    <s v="ENA ELIZABETH FRANCO USCOCOVICH"/>
    <m/>
    <x v="13"/>
    <s v="OPTIMO"/>
    <m/>
    <n v="193.1"/>
    <m/>
    <n v="2216.9919632606197"/>
    <m/>
    <s v="EN PROCESO"/>
    <m/>
    <s v="NO"/>
    <d v="1900-12-31T00:00:00"/>
    <n v="45423"/>
    <m/>
    <m/>
    <m/>
  </r>
  <r>
    <x v="76"/>
    <m/>
    <x v="4"/>
    <x v="0"/>
    <x v="0"/>
    <x v="18"/>
    <n v="4190486"/>
    <s v="GOMEZ INTRIAGO CARLOS EMILIO"/>
    <m/>
    <m/>
    <m/>
    <m/>
    <m/>
    <m/>
    <m/>
    <x v="1"/>
    <s v="SKY 50K PLUS - 50"/>
    <m/>
    <m/>
    <m/>
    <n v="1249.8599999999999"/>
    <m/>
    <m/>
    <m/>
    <m/>
    <m/>
    <m/>
    <m/>
    <m/>
    <m/>
  </r>
  <r>
    <x v="76"/>
    <m/>
    <x v="4"/>
    <x v="0"/>
    <x v="0"/>
    <x v="4"/>
    <n v="4190417"/>
    <s v="VALENCIA CHICA ALONSO RIGOBERTO"/>
    <m/>
    <m/>
    <m/>
    <m/>
    <m/>
    <m/>
    <m/>
    <x v="1"/>
    <s v="SKY 70K PLUS - 100"/>
    <m/>
    <m/>
    <m/>
    <n v="1500.6"/>
    <m/>
    <m/>
    <m/>
    <m/>
    <m/>
    <m/>
    <m/>
    <m/>
    <m/>
  </r>
  <r>
    <x v="77"/>
    <m/>
    <x v="4"/>
    <x v="0"/>
    <x v="1"/>
    <x v="22"/>
    <m/>
    <s v="CARLOS ANDRES GUIM MARTINEZ"/>
    <s v="TITULAR +1"/>
    <n v="920753795"/>
    <n v="997098424"/>
    <s v="CUENTA DE AHORROS"/>
    <s v="MENSUAL"/>
    <s v="CARLOS ANDRES GUIM MARTINEZ"/>
    <s v="SI"/>
    <x v="5"/>
    <s v="ASISPRO 30"/>
    <s v="NO"/>
    <n v="156.68"/>
    <m/>
    <n v="1748.416794532013"/>
    <m/>
    <s v="EN PROCESO"/>
    <m/>
    <s v="NO"/>
    <d v="1900-12-31T00:00:00"/>
    <n v="45423"/>
    <m/>
    <m/>
    <m/>
  </r>
  <r>
    <x v="78"/>
    <m/>
    <x v="4"/>
    <x v="0"/>
    <x v="0"/>
    <x v="2"/>
    <n v="4190667"/>
    <s v="SAFADI MOURAD RABIH ZIAD"/>
    <m/>
    <m/>
    <m/>
    <m/>
    <m/>
    <m/>
    <m/>
    <x v="1"/>
    <s v="3D"/>
    <m/>
    <m/>
    <m/>
    <n v="847.24"/>
    <m/>
    <m/>
    <m/>
    <m/>
    <m/>
    <m/>
    <m/>
    <m/>
    <m/>
  </r>
  <r>
    <x v="78"/>
    <m/>
    <x v="4"/>
    <x v="0"/>
    <x v="1"/>
    <x v="33"/>
    <m/>
    <s v="AXEL EMILIO JEREMIAS BARREZUETA"/>
    <s v="TUTULAR "/>
    <n v="931236525"/>
    <n v="981483239"/>
    <s v="CUENTA DE AHORROS"/>
    <s v="MENSUAL"/>
    <s v="AXEL EMILIO JEREMIAS BARREZUETA"/>
    <s v="SI"/>
    <x v="3"/>
    <s v="JR 20K"/>
    <s v="NO"/>
    <n v="50.73"/>
    <m/>
    <n v="605.73134328358219"/>
    <m/>
    <s v="EN PROCESO"/>
    <m/>
    <s v="NO"/>
    <d v="1900-12-31T00:00:00"/>
    <n v="45423"/>
    <m/>
    <m/>
    <m/>
  </r>
  <r>
    <x v="78"/>
    <m/>
    <x v="4"/>
    <x v="4"/>
    <x v="1"/>
    <x v="33"/>
    <m/>
    <s v="AXEL EMILIO JEREMIAS BARREZUETA"/>
    <s v="TUTULAR "/>
    <n v="931236525"/>
    <n v="981483239"/>
    <s v="CUENTA DE AHORROS"/>
    <s v="MENSUAL"/>
    <s v="AXEL EMILIO JEREMIAS BARREZUETA"/>
    <s v="SI"/>
    <x v="2"/>
    <s v="GMM"/>
    <s v="NO"/>
    <n v="26.94"/>
    <m/>
    <n v="26.805970149253735"/>
    <m/>
    <s v="EN PROCESO"/>
    <m/>
    <s v="NO"/>
    <d v="1900-12-31T00:00:00"/>
    <n v="45423"/>
    <m/>
    <m/>
    <m/>
  </r>
  <r>
    <x v="78"/>
    <m/>
    <x v="4"/>
    <x v="0"/>
    <x v="1"/>
    <x v="6"/>
    <m/>
    <s v="HERNAN GUILLERMO PEÑAHERRERA ORBE"/>
    <s v="TITULAR"/>
    <n v="104736152"/>
    <n v="998991834"/>
    <s v="TARJETA DE CREDITO"/>
    <s v="MENSUAL"/>
    <s v="FATIMA PILAR ARELLANO MACIAS"/>
    <s v="NO"/>
    <x v="2"/>
    <s v="INNOVA"/>
    <m/>
    <n v="145.31"/>
    <m/>
    <n v="1670.0447761194032"/>
    <m/>
    <s v="EN PROCESO"/>
    <m/>
    <s v="NO"/>
    <d v="1900-12-31T00:00:00"/>
    <n v="45423"/>
    <m/>
    <m/>
    <m/>
  </r>
  <r>
    <x v="79"/>
    <m/>
    <x v="4"/>
    <x v="0"/>
    <x v="0"/>
    <x v="1"/>
    <n v="16037"/>
    <s v="LLIVISACA AVECILLAS CARLOS GONZALO"/>
    <m/>
    <m/>
    <m/>
    <m/>
    <m/>
    <m/>
    <m/>
    <x v="3"/>
    <s v="PLAN PREMIUM 30.000"/>
    <m/>
    <m/>
    <m/>
    <n v="3014.01"/>
    <m/>
    <m/>
    <m/>
    <m/>
    <m/>
    <m/>
    <m/>
    <m/>
    <m/>
  </r>
  <r>
    <x v="79"/>
    <m/>
    <x v="4"/>
    <x v="0"/>
    <x v="0"/>
    <x v="9"/>
    <n v="4190531"/>
    <s v="HIDROVO FLORES ROSA ISABEL"/>
    <m/>
    <m/>
    <m/>
    <m/>
    <m/>
    <m/>
    <m/>
    <x v="1"/>
    <s v="SKY 50K PLUS - 100"/>
    <m/>
    <m/>
    <m/>
    <n v="738.13"/>
    <m/>
    <m/>
    <m/>
    <m/>
    <m/>
    <m/>
    <m/>
    <m/>
    <m/>
  </r>
  <r>
    <x v="79"/>
    <m/>
    <x v="4"/>
    <x v="0"/>
    <x v="0"/>
    <x v="4"/>
    <m/>
    <s v="ACERO PEÑAFIEL HUMBERTO ELOY"/>
    <m/>
    <m/>
    <m/>
    <m/>
    <m/>
    <m/>
    <m/>
    <x v="3"/>
    <s v="PLAN JUNIOR 20.000"/>
    <m/>
    <m/>
    <m/>
    <n v="819.56"/>
    <m/>
    <m/>
    <m/>
    <m/>
    <m/>
    <m/>
    <m/>
    <m/>
    <m/>
  </r>
  <r>
    <x v="80"/>
    <m/>
    <x v="4"/>
    <x v="0"/>
    <x v="0"/>
    <x v="2"/>
    <n v="16058"/>
    <s v="LORENTZEN MENDOZA BRYAN MARCELO"/>
    <m/>
    <m/>
    <m/>
    <m/>
    <m/>
    <m/>
    <m/>
    <x v="3"/>
    <s v="PLAN JUNIOR 20.000"/>
    <m/>
    <m/>
    <m/>
    <n v="795.08"/>
    <m/>
    <m/>
    <m/>
    <m/>
    <m/>
    <m/>
    <m/>
    <m/>
    <m/>
  </r>
  <r>
    <x v="80"/>
    <m/>
    <x v="4"/>
    <x v="0"/>
    <x v="0"/>
    <x v="2"/>
    <n v="4190883"/>
    <s v="MERA MERO CINDY MARIELY"/>
    <m/>
    <m/>
    <m/>
    <m/>
    <m/>
    <m/>
    <m/>
    <x v="1"/>
    <s v="STAR 15K - 70"/>
    <m/>
    <m/>
    <m/>
    <n v="1076.8499999999999"/>
    <m/>
    <m/>
    <m/>
    <m/>
    <m/>
    <m/>
    <m/>
    <m/>
    <m/>
  </r>
  <r>
    <x v="80"/>
    <m/>
    <x v="4"/>
    <x v="0"/>
    <x v="1"/>
    <x v="17"/>
    <m/>
    <s v="STEPHANY GABRIELA SYLVA FIGUEROA"/>
    <m/>
    <m/>
    <m/>
    <m/>
    <m/>
    <m/>
    <m/>
    <x v="1"/>
    <m/>
    <m/>
    <n v="72.31"/>
    <m/>
    <n v="863.40298507462694"/>
    <m/>
    <s v="EN PROCESO"/>
    <m/>
    <s v="NO"/>
    <d v="1900-12-31T00:00:00"/>
    <n v="45423"/>
    <m/>
    <m/>
    <m/>
  </r>
  <r>
    <x v="81"/>
    <m/>
    <x v="4"/>
    <x v="0"/>
    <x v="0"/>
    <x v="13"/>
    <n v="4190888"/>
    <s v="ALEJANDRO VARGAS NADIRA SABRINA"/>
    <m/>
    <m/>
    <m/>
    <m/>
    <m/>
    <m/>
    <m/>
    <x v="1"/>
    <s v="RT Plus"/>
    <m/>
    <m/>
    <m/>
    <n v="476.26"/>
    <m/>
    <m/>
    <m/>
    <m/>
    <m/>
    <m/>
    <m/>
    <m/>
    <m/>
  </r>
  <r>
    <x v="81"/>
    <m/>
    <x v="4"/>
    <x v="0"/>
    <x v="0"/>
    <x v="4"/>
    <m/>
    <s v="VALENCIA CHICA JENNY MARIA"/>
    <m/>
    <m/>
    <m/>
    <m/>
    <m/>
    <m/>
    <m/>
    <x v="5"/>
    <s v="CURAE SUMMA SOFT D-$250"/>
    <m/>
    <m/>
    <m/>
    <n v="858.56"/>
    <m/>
    <m/>
    <m/>
    <m/>
    <m/>
    <m/>
    <m/>
    <m/>
    <m/>
  </r>
  <r>
    <x v="81"/>
    <m/>
    <x v="4"/>
    <x v="0"/>
    <x v="0"/>
    <x v="2"/>
    <s v="GM24G45626"/>
    <s v="TAMAYO CAMPOS DAVID LORENZO"/>
    <m/>
    <m/>
    <m/>
    <m/>
    <m/>
    <m/>
    <m/>
    <x v="2"/>
    <s v="GMM"/>
    <m/>
    <m/>
    <m/>
    <n v="3002.8"/>
    <m/>
    <m/>
    <m/>
    <m/>
    <m/>
    <m/>
    <m/>
    <m/>
    <m/>
  </r>
  <r>
    <x v="81"/>
    <m/>
    <x v="4"/>
    <x v="0"/>
    <x v="1"/>
    <x v="23"/>
    <m/>
    <s v="YENNY DEL CARMEN VARGAS TAPIA"/>
    <m/>
    <m/>
    <m/>
    <m/>
    <m/>
    <m/>
    <m/>
    <x v="10"/>
    <s v="TERM 100"/>
    <m/>
    <m/>
    <m/>
    <n v="1225"/>
    <m/>
    <m/>
    <m/>
    <m/>
    <m/>
    <m/>
    <m/>
    <m/>
    <m/>
  </r>
  <r>
    <x v="82"/>
    <m/>
    <x v="4"/>
    <x v="0"/>
    <x v="0"/>
    <x v="13"/>
    <n v="350507"/>
    <s v="ALEJANDRO VARGAS NADIRA SABRINA"/>
    <m/>
    <m/>
    <m/>
    <m/>
    <m/>
    <m/>
    <m/>
    <x v="0"/>
    <s v="PH 30"/>
    <m/>
    <m/>
    <m/>
    <n v="1354"/>
    <m/>
    <m/>
    <m/>
    <m/>
    <m/>
    <m/>
    <m/>
    <m/>
    <m/>
  </r>
  <r>
    <x v="82"/>
    <m/>
    <x v="4"/>
    <x v="5"/>
    <x v="0"/>
    <x v="9"/>
    <n v="14942"/>
    <s v="VERNIMMEN AGUIRRE GUADALUPE MARIA"/>
    <m/>
    <m/>
    <m/>
    <m/>
    <m/>
    <m/>
    <m/>
    <x v="3"/>
    <m/>
    <m/>
    <m/>
    <m/>
    <m/>
    <m/>
    <m/>
    <m/>
    <m/>
    <m/>
    <m/>
    <m/>
    <m/>
    <m/>
  </r>
  <r>
    <x v="82"/>
    <m/>
    <x v="4"/>
    <x v="0"/>
    <x v="0"/>
    <x v="2"/>
    <s v="GM24G45314"/>
    <s v="LUNA BASTIDAS JESSICA DEL CARMEN"/>
    <m/>
    <m/>
    <m/>
    <m/>
    <m/>
    <m/>
    <m/>
    <x v="2"/>
    <s v="GMM"/>
    <m/>
    <m/>
    <m/>
    <n v="733.58"/>
    <m/>
    <m/>
    <m/>
    <m/>
    <m/>
    <m/>
    <m/>
    <m/>
    <m/>
  </r>
  <r>
    <x v="82"/>
    <m/>
    <x v="4"/>
    <x v="0"/>
    <x v="0"/>
    <x v="2"/>
    <n v="4191122"/>
    <s v="MACIAS BRIONES JULIO UNIGENIO"/>
    <m/>
    <m/>
    <m/>
    <m/>
    <m/>
    <m/>
    <m/>
    <x v="1"/>
    <s v="3D"/>
    <m/>
    <m/>
    <m/>
    <n v="1656.65"/>
    <m/>
    <m/>
    <m/>
    <m/>
    <m/>
    <m/>
    <m/>
    <m/>
    <m/>
  </r>
  <r>
    <x v="82"/>
    <m/>
    <x v="4"/>
    <x v="0"/>
    <x v="0"/>
    <x v="32"/>
    <n v="4191095"/>
    <s v="ACOSTA CHAMBERS CRISTHIAN HERARDO"/>
    <m/>
    <m/>
    <m/>
    <m/>
    <m/>
    <m/>
    <m/>
    <x v="1"/>
    <s v="SKY 50K PLUS - 100"/>
    <m/>
    <m/>
    <m/>
    <n v="709.81"/>
    <m/>
    <m/>
    <m/>
    <m/>
    <m/>
    <m/>
    <m/>
    <m/>
    <m/>
  </r>
  <r>
    <x v="83"/>
    <m/>
    <x v="4"/>
    <x v="0"/>
    <x v="0"/>
    <x v="18"/>
    <n v="4190828"/>
    <s v="ZAMBRANO LOOR DOLORES VIVIANA"/>
    <m/>
    <m/>
    <m/>
    <m/>
    <m/>
    <m/>
    <m/>
    <x v="1"/>
    <s v="Privilegio 7"/>
    <m/>
    <m/>
    <m/>
    <n v="2424.9899999999998"/>
    <m/>
    <m/>
    <m/>
    <m/>
    <m/>
    <m/>
    <m/>
    <m/>
    <m/>
  </r>
  <r>
    <x v="83"/>
    <m/>
    <x v="4"/>
    <x v="0"/>
    <x v="0"/>
    <x v="8"/>
    <n v="4190892"/>
    <s v="COELLO ORDOÑEZ PAMELA DEL ROCIO"/>
    <m/>
    <m/>
    <m/>
    <m/>
    <m/>
    <m/>
    <m/>
    <x v="1"/>
    <s v="SKY 50K PLUS - 100"/>
    <m/>
    <m/>
    <m/>
    <n v="2443.02"/>
    <m/>
    <m/>
    <m/>
    <m/>
    <m/>
    <m/>
    <m/>
    <m/>
    <m/>
  </r>
  <r>
    <x v="83"/>
    <m/>
    <x v="4"/>
    <x v="0"/>
    <x v="1"/>
    <x v="23"/>
    <m/>
    <s v="ANA BELEN GALLARDO SALVADOR"/>
    <m/>
    <m/>
    <m/>
    <m/>
    <m/>
    <m/>
    <m/>
    <x v="3"/>
    <m/>
    <m/>
    <n v="83.32"/>
    <m/>
    <n v="994.8656716417911"/>
    <m/>
    <s v="EN PROCESO"/>
    <m/>
    <s v="NO"/>
    <d v="1900-12-31T00:00:00"/>
    <n v="45423"/>
    <m/>
    <m/>
    <m/>
  </r>
  <r>
    <x v="83"/>
    <m/>
    <x v="4"/>
    <x v="0"/>
    <x v="1"/>
    <x v="23"/>
    <m/>
    <s v="MARIA CECILIA PIMENTEL PUGA"/>
    <m/>
    <m/>
    <m/>
    <m/>
    <m/>
    <m/>
    <m/>
    <x v="5"/>
    <m/>
    <m/>
    <n v="20.260000000000002"/>
    <m/>
    <n v="226.08453061793836"/>
    <m/>
    <s v="EN PROCESO"/>
    <m/>
    <s v="NO"/>
    <d v="1900-12-31T00:00:00"/>
    <n v="45423"/>
    <m/>
    <m/>
    <m/>
  </r>
  <r>
    <x v="83"/>
    <m/>
    <x v="4"/>
    <x v="0"/>
    <x v="1"/>
    <x v="23"/>
    <m/>
    <s v="ANA BELEN GALLARDO SALVADOR"/>
    <m/>
    <m/>
    <m/>
    <m/>
    <m/>
    <m/>
    <m/>
    <x v="2"/>
    <s v="GMM"/>
    <m/>
    <n v="26.745833333333334"/>
    <n v="320.95"/>
    <n v="254.3532338308458"/>
    <m/>
    <s v="EN PROCESO"/>
    <m/>
    <s v="NO"/>
    <d v="1900-12-31T00:00:00"/>
    <m/>
    <m/>
    <m/>
    <m/>
  </r>
  <r>
    <x v="84"/>
    <m/>
    <x v="4"/>
    <x v="0"/>
    <x v="0"/>
    <x v="10"/>
    <m/>
    <s v="DELGADO ORELLANA ROSA ALEXANDRA"/>
    <m/>
    <m/>
    <m/>
    <m/>
    <m/>
    <m/>
    <m/>
    <x v="3"/>
    <s v="PLAN PREMIUM 30.000"/>
    <m/>
    <m/>
    <m/>
    <n v="1429.22"/>
    <m/>
    <m/>
    <m/>
    <m/>
    <m/>
    <m/>
    <m/>
    <m/>
    <m/>
  </r>
  <r>
    <x v="84"/>
    <m/>
    <x v="4"/>
    <x v="0"/>
    <x v="0"/>
    <x v="8"/>
    <n v="4191327"/>
    <s v="MORAN SALTOS EVELYN ZORAIDA"/>
    <m/>
    <m/>
    <m/>
    <m/>
    <m/>
    <m/>
    <m/>
    <x v="1"/>
    <m/>
    <m/>
    <m/>
    <m/>
    <n v="1505.13"/>
    <m/>
    <m/>
    <m/>
    <m/>
    <m/>
    <m/>
    <m/>
    <m/>
    <m/>
  </r>
  <r>
    <x v="85"/>
    <m/>
    <x v="4"/>
    <x v="0"/>
    <x v="0"/>
    <x v="2"/>
    <n v="4191172"/>
    <s v="GUERRERO LOPEZ EVA MARJORIET"/>
    <m/>
    <m/>
    <m/>
    <m/>
    <m/>
    <m/>
    <m/>
    <x v="1"/>
    <s v="SKY 15K - 70"/>
    <m/>
    <m/>
    <m/>
    <n v="1754.68"/>
    <m/>
    <m/>
    <m/>
    <m/>
    <m/>
    <m/>
    <m/>
    <m/>
    <m/>
  </r>
  <r>
    <x v="86"/>
    <m/>
    <x v="4"/>
    <x v="0"/>
    <x v="1"/>
    <x v="29"/>
    <m/>
    <s v="TATIANA JAZMIN DELGADO ARMIJOS"/>
    <m/>
    <m/>
    <m/>
    <m/>
    <m/>
    <m/>
    <m/>
    <x v="6"/>
    <m/>
    <m/>
    <n v="77"/>
    <m/>
    <n v="77"/>
    <m/>
    <s v="EN PROCESO"/>
    <m/>
    <s v="NO"/>
    <d v="1900-12-31T00:00:00"/>
    <m/>
    <m/>
    <m/>
    <m/>
  </r>
  <r>
    <x v="86"/>
    <m/>
    <x v="4"/>
    <x v="0"/>
    <x v="1"/>
    <x v="3"/>
    <m/>
    <s v="ERIKA MERCEDES MOREIRA ESPINOZA"/>
    <m/>
    <m/>
    <m/>
    <m/>
    <m/>
    <m/>
    <m/>
    <x v="5"/>
    <s v="ASISPRO 20"/>
    <m/>
    <n v="57.4"/>
    <m/>
    <n v="640.53563955921322"/>
    <m/>
    <s v="EN PROCESO"/>
    <m/>
    <s v="NO"/>
    <d v="1900-12-31T00:00:00"/>
    <m/>
    <m/>
    <m/>
    <m/>
  </r>
  <r>
    <x v="86"/>
    <m/>
    <x v="4"/>
    <x v="0"/>
    <x v="1"/>
    <x v="21"/>
    <m/>
    <s v="MELISSA MARIA YCAZA FUENTES"/>
    <m/>
    <m/>
    <m/>
    <m/>
    <m/>
    <m/>
    <m/>
    <x v="3"/>
    <s v="JR 20K"/>
    <m/>
    <n v="62.33"/>
    <m/>
    <n v="744.23880597014931"/>
    <m/>
    <s v="EN PROCESO"/>
    <m/>
    <s v="NO"/>
    <d v="1900-12-31T00:00:00"/>
    <m/>
    <m/>
    <m/>
    <m/>
  </r>
  <r>
    <x v="87"/>
    <m/>
    <x v="4"/>
    <x v="0"/>
    <x v="0"/>
    <x v="9"/>
    <n v="4191568"/>
    <s v="FAJARDO TRIVIÑO ADRIANA ESTEFANIA"/>
    <m/>
    <m/>
    <m/>
    <m/>
    <m/>
    <m/>
    <m/>
    <x v="1"/>
    <s v="SKY 50K PLUS - 100"/>
    <m/>
    <m/>
    <m/>
    <n v="721.75"/>
    <m/>
    <m/>
    <m/>
    <m/>
    <m/>
    <m/>
    <m/>
    <m/>
    <m/>
  </r>
  <r>
    <x v="88"/>
    <m/>
    <x v="4"/>
    <x v="3"/>
    <x v="1"/>
    <x v="15"/>
    <m/>
    <s v="JUAN FERNANDO VARGAS COBOS"/>
    <m/>
    <m/>
    <m/>
    <m/>
    <m/>
    <m/>
    <m/>
    <x v="8"/>
    <m/>
    <m/>
    <n v="44.73"/>
    <m/>
    <n v="534.08955223880605"/>
    <m/>
    <m/>
    <m/>
    <m/>
    <m/>
    <m/>
    <m/>
    <m/>
    <m/>
  </r>
  <r>
    <x v="89"/>
    <m/>
    <x v="4"/>
    <x v="0"/>
    <x v="0"/>
    <x v="13"/>
    <n v="4192033"/>
    <s v="ARMIJOS PARDO LISSET FERNANDA"/>
    <m/>
    <m/>
    <m/>
    <m/>
    <m/>
    <m/>
    <m/>
    <x v="1"/>
    <s v="SKY 50K PLUS - 200"/>
    <m/>
    <m/>
    <m/>
    <n v="1437.79"/>
    <m/>
    <m/>
    <m/>
    <m/>
    <m/>
    <m/>
    <m/>
    <m/>
    <m/>
  </r>
  <r>
    <x v="89"/>
    <m/>
    <x v="4"/>
    <x v="0"/>
    <x v="0"/>
    <x v="13"/>
    <n v="4192032"/>
    <s v="RUBIO MACHARE MARIA FERNANDA"/>
    <m/>
    <m/>
    <m/>
    <m/>
    <m/>
    <m/>
    <m/>
    <x v="1"/>
    <s v="SKY 50K PLUS - 200"/>
    <m/>
    <m/>
    <m/>
    <n v="1437.79"/>
    <m/>
    <m/>
    <m/>
    <m/>
    <m/>
    <m/>
    <m/>
    <m/>
    <m/>
  </r>
  <r>
    <x v="89"/>
    <m/>
    <x v="4"/>
    <x v="0"/>
    <x v="0"/>
    <x v="8"/>
    <n v="4191945"/>
    <s v="ALAY CATAGUA MIRIAM DELIA"/>
    <m/>
    <m/>
    <m/>
    <m/>
    <m/>
    <m/>
    <m/>
    <x v="1"/>
    <s v="3D"/>
    <m/>
    <m/>
    <m/>
    <n v="501.7"/>
    <m/>
    <m/>
    <m/>
    <m/>
    <m/>
    <m/>
    <m/>
    <m/>
    <m/>
  </r>
  <r>
    <x v="89"/>
    <m/>
    <x v="4"/>
    <x v="0"/>
    <x v="0"/>
    <x v="8"/>
    <n v="4191959"/>
    <s v="ALAY CATAGUA MIRIAM DELIA"/>
    <m/>
    <m/>
    <m/>
    <m/>
    <m/>
    <m/>
    <m/>
    <x v="1"/>
    <s v="3D"/>
    <m/>
    <m/>
    <m/>
    <n v="501.7"/>
    <m/>
    <m/>
    <m/>
    <m/>
    <m/>
    <m/>
    <m/>
    <m/>
    <m/>
  </r>
  <r>
    <x v="89"/>
    <m/>
    <x v="4"/>
    <x v="0"/>
    <x v="0"/>
    <x v="8"/>
    <n v="4191946"/>
    <s v="ALAY CATAGUA MIRIAM DELIA"/>
    <m/>
    <m/>
    <m/>
    <m/>
    <m/>
    <m/>
    <m/>
    <x v="1"/>
    <s v="3D"/>
    <m/>
    <m/>
    <m/>
    <n v="501.7"/>
    <m/>
    <m/>
    <m/>
    <m/>
    <m/>
    <m/>
    <m/>
    <m/>
    <m/>
  </r>
  <r>
    <x v="89"/>
    <m/>
    <x v="4"/>
    <x v="0"/>
    <x v="0"/>
    <x v="2"/>
    <n v="4191622"/>
    <s v="PITA ANDRADE MARIA GABRIELA"/>
    <m/>
    <m/>
    <m/>
    <m/>
    <m/>
    <m/>
    <m/>
    <x v="1"/>
    <s v="SKY 15K - 70"/>
    <m/>
    <m/>
    <m/>
    <n v="477.58"/>
    <m/>
    <m/>
    <m/>
    <m/>
    <m/>
    <m/>
    <m/>
    <m/>
    <m/>
  </r>
  <r>
    <x v="89"/>
    <m/>
    <x v="4"/>
    <x v="0"/>
    <x v="1"/>
    <x v="25"/>
    <m/>
    <s v="CARMEN LORENA CARVAJAL RIOFRIO"/>
    <s v="FRANCES SAMANTA ALTAMIRANO CARVAJAL"/>
    <n v="910790609"/>
    <m/>
    <m/>
    <m/>
    <m/>
    <m/>
    <x v="5"/>
    <s v="CURAE SUMA"/>
    <m/>
    <n v="69.78"/>
    <m/>
    <n v="778.6860092063049"/>
    <m/>
    <s v="EN PROCESO"/>
    <m/>
    <s v="NO"/>
    <d v="1900-12-31T00:00:00"/>
    <n v="45423"/>
    <m/>
    <m/>
    <m/>
  </r>
  <r>
    <x v="90"/>
    <m/>
    <x v="4"/>
    <x v="0"/>
    <x v="0"/>
    <x v="8"/>
    <n v="4192242"/>
    <s v="AZUA FERNANDEZ ANITA LUCETTE"/>
    <m/>
    <m/>
    <m/>
    <m/>
    <m/>
    <m/>
    <m/>
    <x v="1"/>
    <s v="SKY 50K PLUS - 100"/>
    <m/>
    <m/>
    <m/>
    <n v="3577.68"/>
    <m/>
    <m/>
    <m/>
    <m/>
    <m/>
    <m/>
    <m/>
    <m/>
    <m/>
  </r>
  <r>
    <x v="91"/>
    <m/>
    <x v="4"/>
    <x v="0"/>
    <x v="0"/>
    <x v="2"/>
    <m/>
    <s v="MOSQUERA ZAMORA GLORIA AMALIA"/>
    <m/>
    <m/>
    <m/>
    <m/>
    <m/>
    <m/>
    <m/>
    <x v="3"/>
    <s v="PLAN MASTER 75.000"/>
    <m/>
    <m/>
    <m/>
    <n v="2697.72"/>
    <m/>
    <m/>
    <m/>
    <m/>
    <m/>
    <m/>
    <m/>
    <m/>
    <m/>
  </r>
  <r>
    <x v="91"/>
    <m/>
    <x v="4"/>
    <x v="0"/>
    <x v="0"/>
    <x v="2"/>
    <m/>
    <s v="NARANJO ROMO MARIA FERNANDA"/>
    <m/>
    <m/>
    <m/>
    <m/>
    <m/>
    <m/>
    <m/>
    <x v="3"/>
    <s v="PLAN SUPREMO 100.000"/>
    <m/>
    <m/>
    <m/>
    <n v="851.44"/>
    <m/>
    <m/>
    <m/>
    <m/>
    <m/>
    <m/>
    <m/>
    <m/>
    <m/>
  </r>
  <r>
    <x v="91"/>
    <m/>
    <x v="4"/>
    <x v="0"/>
    <x v="1"/>
    <x v="29"/>
    <m/>
    <s v="ADRIANA LISSETTE DIAZ OQUENDO"/>
    <m/>
    <m/>
    <m/>
    <m/>
    <m/>
    <m/>
    <m/>
    <x v="5"/>
    <s v="EPSILON 100"/>
    <m/>
    <n v="166.68"/>
    <m/>
    <n v="1860.0083693681129"/>
    <m/>
    <s v="EN PROCESO"/>
    <m/>
    <s v="NO"/>
    <d v="1900-12-31T00:00:00"/>
    <m/>
    <m/>
    <m/>
    <m/>
  </r>
  <r>
    <x v="91"/>
    <m/>
    <x v="4"/>
    <x v="0"/>
    <x v="1"/>
    <x v="29"/>
    <m/>
    <s v="ORLI ISAAD PERLAZA MORA"/>
    <m/>
    <m/>
    <m/>
    <s v="CUENTA DE AHORROS"/>
    <s v="MENSUAL"/>
    <s v="ADRIANA CRISTINA JARRIN ASPIAZU"/>
    <s v="NO"/>
    <x v="5"/>
    <s v="ASISPRO 20"/>
    <m/>
    <n v="62.61"/>
    <m/>
    <n v="689.28440366972461"/>
    <m/>
    <m/>
    <m/>
    <m/>
    <m/>
    <m/>
    <m/>
    <m/>
    <m/>
  </r>
  <r>
    <x v="91"/>
    <m/>
    <x v="4"/>
    <x v="0"/>
    <x v="1"/>
    <x v="24"/>
    <m/>
    <s v="KEVIN ROBERTO ACOSTA MICHUY"/>
    <s v="NAH ADELINE ACOSTA MICHUY"/>
    <m/>
    <m/>
    <m/>
    <m/>
    <m/>
    <m/>
    <x v="5"/>
    <s v="EPSILON 100"/>
    <m/>
    <n v="166.68"/>
    <m/>
    <n v="1860.0083693681129"/>
    <m/>
    <s v="EN PROCESO"/>
    <m/>
    <s v="NO"/>
    <d v="1900-12-31T00:00:00"/>
    <m/>
    <m/>
    <m/>
    <m/>
  </r>
  <r>
    <x v="91"/>
    <m/>
    <x v="4"/>
    <x v="0"/>
    <x v="1"/>
    <x v="24"/>
    <m/>
    <s v="WANY PATRICIA GORTAIRE ORELLANA"/>
    <m/>
    <m/>
    <m/>
    <m/>
    <m/>
    <m/>
    <m/>
    <x v="5"/>
    <s v="ASISKARE 500"/>
    <m/>
    <n v="122.79"/>
    <m/>
    <n v="1370.2329474124704"/>
    <m/>
    <s v="EN PROCESO"/>
    <m/>
    <s v="NO"/>
    <d v="1900-12-31T00:00:00"/>
    <m/>
    <m/>
    <m/>
    <m/>
  </r>
  <r>
    <x v="91"/>
    <m/>
    <x v="4"/>
    <x v="0"/>
    <x v="1"/>
    <x v="24"/>
    <m/>
    <s v="KEVIN ROBERTO ACOSTA MICHUY"/>
    <s v="DANIELA ESTEFANIA SALAZAR CRESPO"/>
    <m/>
    <m/>
    <m/>
    <m/>
    <m/>
    <m/>
    <x v="5"/>
    <s v="ASISPRO 50"/>
    <m/>
    <n v="100.66"/>
    <m/>
    <n v="1123.2807923001815"/>
    <m/>
    <s v="EN PROCESO"/>
    <m/>
    <s v="NO"/>
    <d v="1900-12-31T00:00:00"/>
    <m/>
    <m/>
    <m/>
    <m/>
  </r>
  <r>
    <x v="91"/>
    <m/>
    <x v="4"/>
    <x v="0"/>
    <x v="1"/>
    <x v="24"/>
    <m/>
    <s v="WANY PATRICIA GORTAIRE ORELLANA"/>
    <s v="MARIA GABRIELA PALACIOS GORTAIRE"/>
    <m/>
    <m/>
    <m/>
    <m/>
    <m/>
    <m/>
    <x v="5"/>
    <s v="ASISKARE 500"/>
    <m/>
    <n v="20.36"/>
    <m/>
    <n v="227.20044636629936"/>
    <m/>
    <s v="EN PROCESO"/>
    <m/>
    <s v="NO"/>
    <d v="1900-12-31T00:00:00"/>
    <m/>
    <m/>
    <m/>
    <m/>
  </r>
  <r>
    <x v="91"/>
    <m/>
    <x v="4"/>
    <x v="0"/>
    <x v="1"/>
    <x v="24"/>
    <m/>
    <s v="WANY PATRICIA GORTAIRE ORELLANA"/>
    <s v="MIGUEL ALEJANDRO PALACIOS RECALDE"/>
    <m/>
    <m/>
    <m/>
    <m/>
    <m/>
    <m/>
    <x v="5"/>
    <s v="CURAE SUMA"/>
    <m/>
    <n v="146.99"/>
    <m/>
    <n v="1640.2845585158323"/>
    <m/>
    <s v="EN PROCESO"/>
    <m/>
    <s v="NO"/>
    <d v="1900-12-31T00:00:00"/>
    <m/>
    <m/>
    <m/>
    <m/>
  </r>
  <r>
    <x v="91"/>
    <m/>
    <x v="4"/>
    <x v="0"/>
    <x v="1"/>
    <x v="24"/>
    <m/>
    <s v="JONATHAN ALEXANDER SALAZAR PACHO"/>
    <m/>
    <m/>
    <m/>
    <m/>
    <m/>
    <m/>
    <m/>
    <x v="3"/>
    <s v="SUPREMO"/>
    <m/>
    <n v="354.21"/>
    <m/>
    <n v="4229.373134328358"/>
    <m/>
    <s v="EN PROCESO"/>
    <m/>
    <s v="NO"/>
    <d v="1900-12-31T00:00:00"/>
    <m/>
    <m/>
    <m/>
    <m/>
  </r>
  <r>
    <x v="91"/>
    <m/>
    <x v="4"/>
    <x v="0"/>
    <x v="1"/>
    <x v="15"/>
    <m/>
    <s v="SOCRATES GABRIEL MOROCHO CORRALES"/>
    <m/>
    <m/>
    <m/>
    <m/>
    <m/>
    <m/>
    <m/>
    <x v="3"/>
    <s v="JR 20K"/>
    <m/>
    <n v="153.44"/>
    <m/>
    <n v="1832.1194029850749"/>
    <m/>
    <s v="EN PROCESO"/>
    <m/>
    <s v="NO"/>
    <d v="1900-12-31T00:00:00"/>
    <n v="45423"/>
    <m/>
    <m/>
    <m/>
  </r>
  <r>
    <x v="91"/>
    <m/>
    <x v="4"/>
    <x v="0"/>
    <x v="1"/>
    <x v="16"/>
    <m/>
    <s v="ERICK GEOVANNY PALACIOS BANCHEN"/>
    <m/>
    <m/>
    <m/>
    <m/>
    <m/>
    <m/>
    <m/>
    <x v="5"/>
    <s v="ASISPRO 30"/>
    <m/>
    <n v="64.510000000000005"/>
    <m/>
    <n v="719.87724926768044"/>
    <m/>
    <s v="EN PROCESO"/>
    <m/>
    <s v="NO"/>
    <d v="1900-12-31T00:00:00"/>
    <m/>
    <m/>
    <m/>
    <m/>
  </r>
  <r>
    <x v="91"/>
    <m/>
    <x v="4"/>
    <x v="0"/>
    <x v="1"/>
    <x v="16"/>
    <n v="34180"/>
    <s v="BETSY LORENA BANCHEN PEÑAFIEL"/>
    <m/>
    <m/>
    <m/>
    <m/>
    <m/>
    <m/>
    <m/>
    <x v="5"/>
    <s v="ASISPRO 50"/>
    <m/>
    <n v="118.76"/>
    <m/>
    <n v="1325.2615427535222"/>
    <m/>
    <s v="EN PROCESO"/>
    <m/>
    <s v="NO"/>
    <d v="1900-12-31T00:00:00"/>
    <m/>
    <m/>
    <m/>
    <m/>
  </r>
  <r>
    <x v="91"/>
    <m/>
    <x v="4"/>
    <x v="0"/>
    <x v="1"/>
    <x v="14"/>
    <m/>
    <s v="MERCEDES ISOLINA GUERRERO ZUNINO"/>
    <m/>
    <m/>
    <m/>
    <m/>
    <m/>
    <m/>
    <m/>
    <x v="7"/>
    <s v="CONFIPLUS"/>
    <m/>
    <n v="116.5"/>
    <m/>
    <n v="1391.0447761194032"/>
    <m/>
    <s v="EN PROCESO"/>
    <m/>
    <s v="NO"/>
    <d v="1900-12-31T00:00:00"/>
    <n v="45423"/>
    <m/>
    <m/>
    <m/>
  </r>
  <r>
    <x v="91"/>
    <m/>
    <x v="4"/>
    <x v="0"/>
    <x v="1"/>
    <x v="14"/>
    <m/>
    <s v="BERTHA DELIA NAVARRO CEDEÑO"/>
    <m/>
    <m/>
    <m/>
    <m/>
    <m/>
    <m/>
    <m/>
    <x v="7"/>
    <s v="CONFIPLUS"/>
    <m/>
    <n v="117.03"/>
    <m/>
    <n v="1397.3731343283584"/>
    <m/>
    <s v="EN PROCESO"/>
    <m/>
    <s v="NO"/>
    <d v="1900-12-31T00:00:00"/>
    <m/>
    <m/>
    <m/>
    <m/>
  </r>
  <r>
    <x v="91"/>
    <m/>
    <x v="4"/>
    <x v="0"/>
    <x v="1"/>
    <x v="14"/>
    <m/>
    <s v="GALO ALEJANDRO CINCES DELGADO"/>
    <m/>
    <m/>
    <m/>
    <m/>
    <m/>
    <m/>
    <m/>
    <x v="3"/>
    <s v="JR 20K"/>
    <m/>
    <n v="69.099999999999994"/>
    <m/>
    <n v="825.07462686567169"/>
    <m/>
    <s v="EN PROCESO"/>
    <m/>
    <s v="NO"/>
    <d v="1900-12-31T00:00:00"/>
    <m/>
    <m/>
    <m/>
    <m/>
  </r>
  <r>
    <x v="91"/>
    <m/>
    <x v="4"/>
    <x v="0"/>
    <x v="1"/>
    <x v="14"/>
    <m/>
    <s v="CARLA CHRIST CARDENAS ULLOA"/>
    <m/>
    <m/>
    <m/>
    <m/>
    <m/>
    <m/>
    <m/>
    <x v="3"/>
    <s v="JR 20K"/>
    <m/>
    <n v="66.239999999999995"/>
    <m/>
    <n v="790.92537313432831"/>
    <m/>
    <s v="EN PROCESO"/>
    <m/>
    <s v="NO"/>
    <d v="1900-12-31T00:00:00"/>
    <m/>
    <m/>
    <m/>
    <m/>
  </r>
  <r>
    <x v="91"/>
    <m/>
    <x v="4"/>
    <x v="0"/>
    <x v="1"/>
    <x v="14"/>
    <m/>
    <s v="JENNY ALEXANDRA VINCES OROZCO"/>
    <m/>
    <m/>
    <m/>
    <m/>
    <m/>
    <m/>
    <m/>
    <x v="5"/>
    <s v="ASISPRO 50"/>
    <m/>
    <n v="0"/>
    <m/>
    <n v="0"/>
    <m/>
    <s v="EN PROCESO"/>
    <m/>
    <s v="NO"/>
    <d v="1900-12-31T00:00:00"/>
    <m/>
    <m/>
    <m/>
    <m/>
  </r>
  <r>
    <x v="91"/>
    <m/>
    <x v="4"/>
    <x v="0"/>
    <x v="1"/>
    <x v="14"/>
    <m/>
    <s v="MARIA PAULA HORMAZA VINCES"/>
    <m/>
    <m/>
    <m/>
    <m/>
    <m/>
    <m/>
    <m/>
    <x v="5"/>
    <s v="ASISPRO 30"/>
    <m/>
    <n v="0"/>
    <m/>
    <n v="0"/>
    <m/>
    <s v="EN PROCESO"/>
    <m/>
    <s v="NO"/>
    <d v="1900-12-31T00:00:00"/>
    <m/>
    <m/>
    <m/>
    <m/>
  </r>
  <r>
    <x v="91"/>
    <m/>
    <x v="4"/>
    <x v="0"/>
    <x v="1"/>
    <x v="14"/>
    <m/>
    <s v="BETSY GIANNELLA HABLICH ORTEGA"/>
    <m/>
    <m/>
    <m/>
    <m/>
    <m/>
    <m/>
    <m/>
    <x v="3"/>
    <s v="JR 20K"/>
    <m/>
    <n v="71.66"/>
    <m/>
    <n v="855.64179104477614"/>
    <m/>
    <s v="EN PROCESO"/>
    <m/>
    <s v="NO"/>
    <d v="1900-12-31T00:00:00"/>
    <m/>
    <m/>
    <m/>
    <m/>
  </r>
  <r>
    <x v="91"/>
    <m/>
    <x v="4"/>
    <x v="0"/>
    <x v="1"/>
    <x v="3"/>
    <m/>
    <s v="GISELLA MATILDE GUADAMUD TRIVIÑO"/>
    <m/>
    <m/>
    <m/>
    <m/>
    <m/>
    <m/>
    <m/>
    <x v="5"/>
    <s v="ASISKARE 500"/>
    <m/>
    <n v="40.479999999999997"/>
    <m/>
    <n v="451.72269493653232"/>
    <m/>
    <m/>
    <m/>
    <m/>
    <m/>
    <m/>
    <m/>
    <m/>
    <m/>
  </r>
  <r>
    <x v="92"/>
    <m/>
    <x v="5"/>
    <x v="0"/>
    <x v="1"/>
    <x v="19"/>
    <m/>
    <s v="GALDIS FABIOLA HERRERA HERRERA"/>
    <m/>
    <m/>
    <m/>
    <m/>
    <m/>
    <m/>
    <m/>
    <x v="7"/>
    <s v="CONFIPLUS"/>
    <m/>
    <n v="187.05"/>
    <m/>
    <n v="2233.4328358208963"/>
    <m/>
    <m/>
    <m/>
    <m/>
    <m/>
    <m/>
    <m/>
    <m/>
    <m/>
  </r>
  <r>
    <x v="93"/>
    <m/>
    <x v="5"/>
    <x v="0"/>
    <x v="0"/>
    <x v="18"/>
    <s v="SI24G44313"/>
    <s v="ALPIZAR ALMEIDA DARA GABRIELA"/>
    <m/>
    <m/>
    <m/>
    <m/>
    <m/>
    <m/>
    <m/>
    <x v="2"/>
    <m/>
    <m/>
    <m/>
    <m/>
    <n v="1874.05"/>
    <m/>
    <m/>
    <m/>
    <m/>
    <m/>
    <m/>
    <m/>
    <m/>
    <m/>
  </r>
  <r>
    <x v="93"/>
    <m/>
    <x v="5"/>
    <x v="0"/>
    <x v="1"/>
    <x v="23"/>
    <m/>
    <s v="MARIA FERNANDA BANEGAS ICAZA"/>
    <m/>
    <m/>
    <m/>
    <m/>
    <m/>
    <m/>
    <m/>
    <x v="10"/>
    <s v="TERM 100"/>
    <m/>
    <m/>
    <m/>
    <n v="645"/>
    <m/>
    <m/>
    <m/>
    <m/>
    <m/>
    <m/>
    <m/>
    <m/>
    <m/>
  </r>
  <r>
    <x v="94"/>
    <m/>
    <x v="5"/>
    <x v="0"/>
    <x v="0"/>
    <x v="1"/>
    <n v="4192512"/>
    <s v="USHIÑA ANDRANGO JULIO CESAR"/>
    <m/>
    <m/>
    <m/>
    <m/>
    <m/>
    <m/>
    <m/>
    <x v="1"/>
    <m/>
    <m/>
    <m/>
    <m/>
    <n v="2176.7600000000002"/>
    <m/>
    <m/>
    <m/>
    <m/>
    <m/>
    <m/>
    <m/>
    <m/>
    <m/>
  </r>
  <r>
    <x v="95"/>
    <m/>
    <x v="4"/>
    <x v="0"/>
    <x v="0"/>
    <x v="13"/>
    <n v="4189499"/>
    <s v="AREVALO HERRAN DAVID FELIPE"/>
    <m/>
    <m/>
    <m/>
    <m/>
    <m/>
    <m/>
    <m/>
    <x v="1"/>
    <s v="5D"/>
    <m/>
    <m/>
    <m/>
    <n v="5475.78"/>
    <m/>
    <m/>
    <m/>
    <m/>
    <m/>
    <m/>
    <m/>
    <m/>
    <m/>
  </r>
  <r>
    <x v="95"/>
    <m/>
    <x v="4"/>
    <x v="0"/>
    <x v="0"/>
    <x v="13"/>
    <n v="4189499"/>
    <s v="AREVALO HERRAN DAVID FELIPE"/>
    <m/>
    <m/>
    <m/>
    <m/>
    <m/>
    <m/>
    <m/>
    <x v="1"/>
    <s v="5D"/>
    <m/>
    <m/>
    <m/>
    <n v="5475.78"/>
    <m/>
    <m/>
    <m/>
    <m/>
    <m/>
    <m/>
    <m/>
    <m/>
    <m/>
  </r>
  <r>
    <x v="96"/>
    <m/>
    <x v="5"/>
    <x v="0"/>
    <x v="0"/>
    <x v="18"/>
    <n v="4192582"/>
    <s v="GONZALEZ MACAYO JOSE LUIS"/>
    <m/>
    <m/>
    <m/>
    <m/>
    <m/>
    <m/>
    <m/>
    <x v="1"/>
    <m/>
    <m/>
    <m/>
    <m/>
    <n v="501.7"/>
    <m/>
    <m/>
    <m/>
    <m/>
    <m/>
    <m/>
    <m/>
    <m/>
    <m/>
  </r>
  <r>
    <x v="97"/>
    <m/>
    <x v="5"/>
    <x v="0"/>
    <x v="0"/>
    <x v="1"/>
    <n v="4192646"/>
    <s v="DELGADO SANCHEZ MARCO ANTONIO"/>
    <m/>
    <m/>
    <m/>
    <m/>
    <m/>
    <m/>
    <m/>
    <x v="1"/>
    <m/>
    <m/>
    <m/>
    <m/>
    <n v="676.62"/>
    <m/>
    <m/>
    <m/>
    <m/>
    <m/>
    <m/>
    <m/>
    <m/>
    <m/>
  </r>
  <r>
    <x v="98"/>
    <m/>
    <x v="5"/>
    <x v="0"/>
    <x v="0"/>
    <x v="2"/>
    <n v="16135"/>
    <s v="PAZ AVEIGA GIANNIA ROMINA"/>
    <m/>
    <m/>
    <m/>
    <m/>
    <m/>
    <m/>
    <m/>
    <x v="3"/>
    <m/>
    <m/>
    <m/>
    <m/>
    <n v="732.04"/>
    <m/>
    <m/>
    <m/>
    <m/>
    <m/>
    <m/>
    <m/>
    <m/>
    <m/>
  </r>
  <r>
    <x v="99"/>
    <m/>
    <x v="5"/>
    <x v="0"/>
    <x v="1"/>
    <x v="12"/>
    <m/>
    <s v="ISAAC ANGEL ZAMBRANO RUIZ"/>
    <m/>
    <m/>
    <m/>
    <m/>
    <m/>
    <m/>
    <m/>
    <x v="10"/>
    <s v="TERM 100"/>
    <m/>
    <m/>
    <m/>
    <n v="660"/>
    <m/>
    <m/>
    <m/>
    <m/>
    <m/>
    <m/>
    <m/>
    <m/>
    <m/>
  </r>
  <r>
    <x v="99"/>
    <m/>
    <x v="5"/>
    <x v="0"/>
    <x v="1"/>
    <x v="21"/>
    <m/>
    <s v="ERIKA ALEXANDRA ARGUDO HARO"/>
    <m/>
    <m/>
    <m/>
    <m/>
    <m/>
    <m/>
    <m/>
    <x v="3"/>
    <s v="MASTER 75000"/>
    <m/>
    <n v="105.7"/>
    <m/>
    <n v="1262.0895522388062"/>
    <m/>
    <m/>
    <m/>
    <m/>
    <m/>
    <m/>
    <m/>
    <m/>
    <m/>
  </r>
  <r>
    <x v="99"/>
    <m/>
    <x v="5"/>
    <x v="0"/>
    <x v="1"/>
    <x v="7"/>
    <m/>
    <s v="NEWTON ANTONIO TOLEDO BARRETO"/>
    <m/>
    <m/>
    <m/>
    <m/>
    <m/>
    <m/>
    <m/>
    <x v="10"/>
    <s v="BEST INDEXED 100 SP 500"/>
    <m/>
    <m/>
    <m/>
    <n v="1000.5"/>
    <m/>
    <m/>
    <m/>
    <m/>
    <m/>
    <m/>
    <m/>
    <m/>
    <m/>
  </r>
  <r>
    <x v="100"/>
    <m/>
    <x v="5"/>
    <x v="0"/>
    <x v="0"/>
    <x v="18"/>
    <n v="4192510"/>
    <s v="SOLEDISPA ALVARADO HENRY GABRIEL"/>
    <m/>
    <m/>
    <m/>
    <m/>
    <m/>
    <m/>
    <m/>
    <x v="1"/>
    <m/>
    <m/>
    <m/>
    <m/>
    <n v="1275.4100000000001"/>
    <m/>
    <m/>
    <m/>
    <m/>
    <m/>
    <m/>
    <m/>
    <m/>
    <m/>
  </r>
  <r>
    <x v="100"/>
    <m/>
    <x v="5"/>
    <x v="0"/>
    <x v="0"/>
    <x v="18"/>
    <n v="4192511"/>
    <s v="SOLEDISPA ALVARADO HENRY GABRIEL"/>
    <m/>
    <m/>
    <m/>
    <m/>
    <m/>
    <m/>
    <m/>
    <x v="1"/>
    <m/>
    <m/>
    <m/>
    <m/>
    <n v="904.07"/>
    <m/>
    <m/>
    <m/>
    <m/>
    <m/>
    <m/>
    <m/>
    <m/>
    <m/>
  </r>
  <r>
    <x v="100"/>
    <m/>
    <x v="5"/>
    <x v="0"/>
    <x v="0"/>
    <x v="18"/>
    <n v="4192659"/>
    <s v="NUÑEZ PONCE MARIA FERNANDA"/>
    <m/>
    <m/>
    <m/>
    <m/>
    <m/>
    <m/>
    <m/>
    <x v="1"/>
    <m/>
    <m/>
    <m/>
    <m/>
    <n v="1656.65"/>
    <m/>
    <m/>
    <m/>
    <m/>
    <m/>
    <m/>
    <m/>
    <m/>
    <m/>
  </r>
  <r>
    <x v="100"/>
    <m/>
    <x v="5"/>
    <x v="0"/>
    <x v="0"/>
    <x v="18"/>
    <n v="4193045"/>
    <s v="LOZADA NARANJO EDUARDO ABRAHAM"/>
    <m/>
    <m/>
    <m/>
    <m/>
    <m/>
    <m/>
    <m/>
    <x v="1"/>
    <m/>
    <m/>
    <m/>
    <m/>
    <n v="1415.82"/>
    <m/>
    <m/>
    <m/>
    <m/>
    <m/>
    <m/>
    <m/>
    <m/>
    <m/>
  </r>
  <r>
    <x v="100"/>
    <m/>
    <x v="5"/>
    <x v="5"/>
    <x v="0"/>
    <x v="18"/>
    <n v="739786"/>
    <s v="MARTINETTY ITURRALDE BETTY JACQUELINE"/>
    <m/>
    <m/>
    <m/>
    <m/>
    <m/>
    <m/>
    <m/>
    <x v="1"/>
    <m/>
    <m/>
    <m/>
    <m/>
    <m/>
    <m/>
    <m/>
    <m/>
    <m/>
    <m/>
    <m/>
    <m/>
    <m/>
    <m/>
  </r>
  <r>
    <x v="100"/>
    <m/>
    <x v="5"/>
    <x v="5"/>
    <x v="0"/>
    <x v="18"/>
    <n v="4170656"/>
    <s v="MARTINETTY ITURRALDE BETTY JACQUELINE"/>
    <m/>
    <m/>
    <m/>
    <m/>
    <m/>
    <m/>
    <m/>
    <x v="1"/>
    <m/>
    <m/>
    <m/>
    <m/>
    <m/>
    <m/>
    <m/>
    <m/>
    <m/>
    <m/>
    <m/>
    <m/>
    <m/>
    <m/>
  </r>
  <r>
    <x v="100"/>
    <m/>
    <x v="5"/>
    <x v="1"/>
    <x v="0"/>
    <x v="18"/>
    <m/>
    <s v="LINGEN RAMOS JUAN CARLOS"/>
    <m/>
    <m/>
    <m/>
    <m/>
    <m/>
    <m/>
    <m/>
    <x v="1"/>
    <m/>
    <m/>
    <m/>
    <m/>
    <m/>
    <m/>
    <m/>
    <m/>
    <m/>
    <m/>
    <m/>
    <m/>
    <m/>
    <m/>
  </r>
  <r>
    <x v="100"/>
    <m/>
    <x v="5"/>
    <x v="0"/>
    <x v="0"/>
    <x v="9"/>
    <n v="4192697"/>
    <s v="PEÑA PACHECO VICTOR HUGO"/>
    <m/>
    <m/>
    <m/>
    <m/>
    <m/>
    <m/>
    <m/>
    <x v="1"/>
    <m/>
    <m/>
    <m/>
    <m/>
    <n v="713.51"/>
    <m/>
    <m/>
    <m/>
    <m/>
    <m/>
    <m/>
    <m/>
    <m/>
    <m/>
  </r>
  <r>
    <x v="100"/>
    <m/>
    <x v="5"/>
    <x v="0"/>
    <x v="0"/>
    <x v="4"/>
    <n v="4193147"/>
    <s v="ANDRADE ACOSTA JONATHAN GEOVANNY"/>
    <m/>
    <m/>
    <m/>
    <m/>
    <m/>
    <m/>
    <m/>
    <x v="1"/>
    <m/>
    <m/>
    <m/>
    <m/>
    <n v="845.45"/>
    <m/>
    <m/>
    <m/>
    <m/>
    <m/>
    <m/>
    <m/>
    <m/>
    <m/>
  </r>
  <r>
    <x v="100"/>
    <m/>
    <x v="5"/>
    <x v="0"/>
    <x v="0"/>
    <x v="32"/>
    <n v="4192494"/>
    <s v="ELIZALDE BARRAGAN GABRIEL ENRIQUE"/>
    <m/>
    <m/>
    <m/>
    <m/>
    <m/>
    <m/>
    <m/>
    <x v="1"/>
    <m/>
    <m/>
    <m/>
    <m/>
    <n v="1551.94"/>
    <m/>
    <m/>
    <m/>
    <m/>
    <m/>
    <m/>
    <m/>
    <m/>
    <m/>
  </r>
  <r>
    <x v="100"/>
    <m/>
    <x v="5"/>
    <x v="0"/>
    <x v="0"/>
    <x v="32"/>
    <n v="4192507"/>
    <s v="CEDEÑO VIVAS MARIA ALEJANDRA"/>
    <m/>
    <m/>
    <m/>
    <m/>
    <m/>
    <m/>
    <m/>
    <x v="1"/>
    <m/>
    <m/>
    <m/>
    <m/>
    <n v="1234.3399999999999"/>
    <m/>
    <m/>
    <m/>
    <m/>
    <m/>
    <m/>
    <m/>
    <m/>
    <m/>
  </r>
  <r>
    <x v="100"/>
    <m/>
    <x v="5"/>
    <x v="0"/>
    <x v="1"/>
    <x v="12"/>
    <n v="16189"/>
    <s v="JOHANNA JESSICA ERAZO GARZON"/>
    <s v="DANIEL COTALLAT ERAZO"/>
    <m/>
    <m/>
    <s v="CUENTA DE AHORROS"/>
    <s v="MENSUAL"/>
    <s v="JOHANNA JESSICA ERAZO GARZON"/>
    <s v="NO"/>
    <x v="3"/>
    <s v="MASTER 75000"/>
    <m/>
    <n v="61.31"/>
    <m/>
    <n v="732.05970149253744"/>
    <m/>
    <m/>
    <m/>
    <m/>
    <m/>
    <m/>
    <m/>
    <m/>
    <m/>
  </r>
  <r>
    <x v="100"/>
    <m/>
    <x v="5"/>
    <x v="0"/>
    <x v="1"/>
    <x v="12"/>
    <n v="33780"/>
    <s v="JOHANNA JESSICA ERAZO GARZON"/>
    <m/>
    <m/>
    <m/>
    <s v="CUENTA DE AHORROS"/>
    <s v="MENSUAL"/>
    <s v="JOHANNA JESSICA ERAZO GARZON"/>
    <s v="NO"/>
    <x v="5"/>
    <s v="ASISPRO 20"/>
    <m/>
    <n v="69.260000000000005"/>
    <m/>
    <n v="762.49541284403676"/>
    <m/>
    <m/>
    <m/>
    <m/>
    <m/>
    <m/>
    <m/>
    <m/>
    <m/>
  </r>
  <r>
    <x v="101"/>
    <m/>
    <x v="5"/>
    <x v="0"/>
    <x v="1"/>
    <x v="20"/>
    <m/>
    <s v="MONICA ALEXANDRA SAVERIO MACIAS"/>
    <m/>
    <m/>
    <m/>
    <m/>
    <m/>
    <m/>
    <m/>
    <x v="2"/>
    <m/>
    <m/>
    <n v="84.52"/>
    <m/>
    <n v="944.19402985074635"/>
    <m/>
    <m/>
    <m/>
    <m/>
    <m/>
    <m/>
    <m/>
    <m/>
    <m/>
  </r>
  <r>
    <x v="101"/>
    <m/>
    <x v="5"/>
    <x v="0"/>
    <x v="1"/>
    <x v="30"/>
    <m/>
    <s v="LUIS ALFREDO BRAVO MIELES"/>
    <m/>
    <n v="930605712"/>
    <n v="990182087"/>
    <s v="CUENTA DE AHORROS"/>
    <s v="MENSUAL"/>
    <s v="LUIS HELIODORO BRAVO GAME"/>
    <m/>
    <x v="3"/>
    <s v="JR 20K"/>
    <m/>
    <n v="101.46"/>
    <m/>
    <n v="1211.4626865671644"/>
    <m/>
    <m/>
    <m/>
    <m/>
    <m/>
    <m/>
    <m/>
    <m/>
    <m/>
  </r>
  <r>
    <x v="101"/>
    <m/>
    <x v="5"/>
    <x v="0"/>
    <x v="1"/>
    <x v="30"/>
    <m/>
    <s v="MARIA PIEDAD MIELES RUPERTI"/>
    <m/>
    <n v="1306723287"/>
    <n v="990182087"/>
    <s v="CUENTA DE AHORROS"/>
    <s v="MENSUAL"/>
    <s v="LUIS HELIODORO BRAVO GAME"/>
    <m/>
    <x v="3"/>
    <s v="PREMIUN 30MIL"/>
    <m/>
    <n v="118.19"/>
    <m/>
    <n v="1411.2238805970151"/>
    <m/>
    <m/>
    <m/>
    <m/>
    <m/>
    <m/>
    <m/>
    <m/>
    <m/>
  </r>
  <r>
    <x v="102"/>
    <m/>
    <x v="5"/>
    <x v="0"/>
    <x v="0"/>
    <x v="32"/>
    <m/>
    <s v="JOSE MIGUEL VARELA SOLIS"/>
    <m/>
    <m/>
    <m/>
    <m/>
    <m/>
    <m/>
    <m/>
    <x v="10"/>
    <s v="BEST INDEXED 100 NASDAQ"/>
    <m/>
    <m/>
    <m/>
    <n v="5175"/>
    <m/>
    <m/>
    <m/>
    <m/>
    <m/>
    <m/>
    <m/>
    <m/>
    <m/>
  </r>
  <r>
    <x v="102"/>
    <m/>
    <x v="5"/>
    <x v="0"/>
    <x v="1"/>
    <x v="30"/>
    <m/>
    <s v="LUIS HELIODORO BRAVO GAME"/>
    <m/>
    <m/>
    <m/>
    <m/>
    <m/>
    <m/>
    <m/>
    <x v="7"/>
    <s v="CONFIPLUS"/>
    <m/>
    <n v="196.18"/>
    <m/>
    <n v="2342.4477611940301"/>
    <m/>
    <m/>
    <m/>
    <m/>
    <m/>
    <m/>
    <m/>
    <m/>
    <m/>
  </r>
  <r>
    <x v="103"/>
    <m/>
    <x v="5"/>
    <x v="0"/>
    <x v="0"/>
    <x v="1"/>
    <n v="16158"/>
    <s v="PARRALES VIDAL BRYAN SIMON"/>
    <m/>
    <m/>
    <m/>
    <m/>
    <m/>
    <m/>
    <m/>
    <x v="3"/>
    <m/>
    <m/>
    <m/>
    <m/>
    <n v="2093.6799999999998"/>
    <m/>
    <m/>
    <m/>
    <m/>
    <m/>
    <m/>
    <m/>
    <m/>
    <m/>
  </r>
  <r>
    <x v="103"/>
    <m/>
    <x v="5"/>
    <x v="0"/>
    <x v="0"/>
    <x v="13"/>
    <n v="33778"/>
    <s v="GONZALEZ CRUZ GONZALO ALFREDO"/>
    <m/>
    <m/>
    <m/>
    <m/>
    <m/>
    <m/>
    <m/>
    <x v="5"/>
    <m/>
    <m/>
    <m/>
    <m/>
    <n v="2617.04"/>
    <m/>
    <m/>
    <m/>
    <m/>
    <m/>
    <m/>
    <m/>
    <m/>
    <m/>
  </r>
  <r>
    <x v="103"/>
    <m/>
    <x v="5"/>
    <x v="5"/>
    <x v="0"/>
    <x v="2"/>
    <n v="4106908"/>
    <s v="PANCHANA ANDRADE SONNIA PIEDAD"/>
    <m/>
    <m/>
    <m/>
    <m/>
    <m/>
    <m/>
    <m/>
    <x v="1"/>
    <m/>
    <m/>
    <m/>
    <m/>
    <m/>
    <m/>
    <m/>
    <m/>
    <m/>
    <m/>
    <m/>
    <m/>
    <m/>
    <m/>
  </r>
  <r>
    <x v="103"/>
    <m/>
    <x v="5"/>
    <x v="0"/>
    <x v="0"/>
    <x v="2"/>
    <n v="4193461"/>
    <s v="MOSCOSO ERAZO VICTOR MIGUEL"/>
    <m/>
    <m/>
    <m/>
    <m/>
    <m/>
    <m/>
    <m/>
    <x v="1"/>
    <m/>
    <m/>
    <m/>
    <m/>
    <n v="1419.64"/>
    <m/>
    <m/>
    <m/>
    <m/>
    <m/>
    <m/>
    <m/>
    <m/>
    <m/>
  </r>
  <r>
    <x v="103"/>
    <m/>
    <x v="5"/>
    <x v="0"/>
    <x v="0"/>
    <x v="2"/>
    <n v="16163"/>
    <s v="ZAMBRANO MUÑOZ MARIA EULALIA"/>
    <m/>
    <m/>
    <m/>
    <m/>
    <m/>
    <m/>
    <m/>
    <x v="3"/>
    <m/>
    <m/>
    <m/>
    <m/>
    <n v="855.62"/>
    <m/>
    <m/>
    <m/>
    <m/>
    <m/>
    <m/>
    <m/>
    <m/>
    <m/>
  </r>
  <r>
    <x v="104"/>
    <m/>
    <x v="5"/>
    <x v="0"/>
    <x v="0"/>
    <x v="13"/>
    <n v="4193520"/>
    <s v="CHAVARRIA ANCHUNDIA ANGELA ELIZABETH"/>
    <m/>
    <m/>
    <m/>
    <m/>
    <m/>
    <m/>
    <m/>
    <x v="1"/>
    <m/>
    <m/>
    <m/>
    <m/>
    <n v="1437.79"/>
    <m/>
    <m/>
    <m/>
    <m/>
    <m/>
    <m/>
    <m/>
    <m/>
    <m/>
  </r>
  <r>
    <x v="104"/>
    <m/>
    <x v="5"/>
    <x v="0"/>
    <x v="0"/>
    <x v="11"/>
    <n v="16164"/>
    <s v="BOHORQUEZ APOLO PAOLA ANDREA"/>
    <m/>
    <m/>
    <m/>
    <m/>
    <m/>
    <m/>
    <m/>
    <x v="3"/>
    <m/>
    <m/>
    <m/>
    <m/>
    <n v="790.91"/>
    <m/>
    <m/>
    <m/>
    <m/>
    <m/>
    <m/>
    <m/>
    <m/>
    <m/>
  </r>
  <r>
    <x v="104"/>
    <m/>
    <x v="5"/>
    <x v="0"/>
    <x v="0"/>
    <x v="2"/>
    <m/>
    <s v="LORENA ANGELIZA GARCIA CACAO"/>
    <m/>
    <m/>
    <m/>
    <m/>
    <m/>
    <m/>
    <m/>
    <x v="10"/>
    <s v="BEST INDEXED 100 SP 500"/>
    <m/>
    <m/>
    <m/>
    <n v="1414.5"/>
    <m/>
    <m/>
    <m/>
    <m/>
    <m/>
    <m/>
    <m/>
    <m/>
    <m/>
  </r>
  <r>
    <x v="105"/>
    <m/>
    <x v="5"/>
    <x v="0"/>
    <x v="0"/>
    <x v="34"/>
    <n v="45152"/>
    <s v="PEREZ RIZO CARLA FERNANDA"/>
    <m/>
    <m/>
    <m/>
    <m/>
    <m/>
    <m/>
    <m/>
    <x v="7"/>
    <m/>
    <m/>
    <m/>
    <m/>
    <n v="765.47"/>
    <m/>
    <m/>
    <m/>
    <m/>
    <m/>
    <m/>
    <m/>
    <m/>
    <m/>
  </r>
  <r>
    <x v="106"/>
    <m/>
    <x v="5"/>
    <x v="0"/>
    <x v="0"/>
    <x v="35"/>
    <n v="4130143"/>
    <s v="PAREDES MEZA PIERRE ANDRES"/>
    <m/>
    <m/>
    <m/>
    <m/>
    <m/>
    <m/>
    <m/>
    <x v="1"/>
    <m/>
    <m/>
    <m/>
    <m/>
    <n v="1225.52"/>
    <m/>
    <m/>
    <m/>
    <m/>
    <m/>
    <m/>
    <m/>
    <m/>
    <m/>
  </r>
  <r>
    <x v="106"/>
    <m/>
    <x v="5"/>
    <x v="0"/>
    <x v="0"/>
    <x v="9"/>
    <n v="4193779"/>
    <s v="PUMAYUGRA RODRIGUEZ IRENE LUZMILA"/>
    <m/>
    <m/>
    <m/>
    <m/>
    <m/>
    <m/>
    <m/>
    <x v="1"/>
    <m/>
    <m/>
    <m/>
    <m/>
    <n v="978.22"/>
    <m/>
    <m/>
    <m/>
    <m/>
    <m/>
    <m/>
    <m/>
    <m/>
    <m/>
  </r>
  <r>
    <x v="106"/>
    <m/>
    <x v="5"/>
    <x v="0"/>
    <x v="0"/>
    <x v="4"/>
    <m/>
    <s v="RAMIREZ VERA MARIA PAULA"/>
    <m/>
    <m/>
    <m/>
    <m/>
    <m/>
    <m/>
    <m/>
    <x v="5"/>
    <m/>
    <m/>
    <m/>
    <m/>
    <n v="996.28"/>
    <m/>
    <m/>
    <m/>
    <m/>
    <m/>
    <m/>
    <m/>
    <m/>
    <m/>
  </r>
  <r>
    <x v="106"/>
    <m/>
    <x v="5"/>
    <x v="0"/>
    <x v="1"/>
    <x v="30"/>
    <m/>
    <s v="MAURICIO BELTRAN"/>
    <m/>
    <m/>
    <m/>
    <m/>
    <m/>
    <m/>
    <m/>
    <x v="5"/>
    <m/>
    <m/>
    <n v="70.39"/>
    <m/>
    <n v="774.93577981651379"/>
    <m/>
    <m/>
    <m/>
    <m/>
    <m/>
    <m/>
    <m/>
    <m/>
    <m/>
  </r>
  <r>
    <x v="107"/>
    <m/>
    <x v="5"/>
    <x v="0"/>
    <x v="1"/>
    <x v="14"/>
    <n v="4194064"/>
    <s v="ANGELO TIGHE KYLE"/>
    <m/>
    <n v="933086589"/>
    <n v="981534688"/>
    <s v="CUENTA DE AHORROS"/>
    <s v="MENSUAL"/>
    <s v="ANGELO TIGHE KYLE"/>
    <m/>
    <x v="1"/>
    <s v="SKY 70"/>
    <m/>
    <n v="83.71"/>
    <m/>
    <n v="1004.52"/>
    <m/>
    <m/>
    <m/>
    <m/>
    <m/>
    <m/>
    <m/>
    <m/>
    <m/>
  </r>
  <r>
    <x v="108"/>
    <m/>
    <x v="5"/>
    <x v="0"/>
    <x v="1"/>
    <x v="14"/>
    <m/>
    <s v="MARIA GAVILANEZ"/>
    <m/>
    <m/>
    <m/>
    <m/>
    <m/>
    <m/>
    <m/>
    <x v="5"/>
    <m/>
    <m/>
    <n v="314.11"/>
    <m/>
    <n v="3458.0917431192661"/>
    <m/>
    <m/>
    <m/>
    <m/>
    <m/>
    <m/>
    <m/>
    <m/>
    <m/>
  </r>
  <r>
    <x v="108"/>
    <m/>
    <x v="5"/>
    <x v="0"/>
    <x v="1"/>
    <x v="14"/>
    <m/>
    <s v="EDUARDO AYALA"/>
    <m/>
    <m/>
    <m/>
    <m/>
    <m/>
    <m/>
    <m/>
    <x v="5"/>
    <m/>
    <m/>
    <n v="65.3"/>
    <m/>
    <n v="718.89908256880722"/>
    <m/>
    <m/>
    <m/>
    <m/>
    <m/>
    <m/>
    <m/>
    <m/>
    <m/>
  </r>
  <r>
    <x v="108"/>
    <m/>
    <x v="5"/>
    <x v="0"/>
    <x v="1"/>
    <x v="14"/>
    <m/>
    <s v="MARIA DE LOS ANGELES AYALA PUMAYUGRA"/>
    <m/>
    <m/>
    <m/>
    <m/>
    <m/>
    <m/>
    <m/>
    <x v="5"/>
    <m/>
    <m/>
    <n v="20.8"/>
    <m/>
    <n v="228.99082568807339"/>
    <m/>
    <m/>
    <m/>
    <m/>
    <m/>
    <m/>
    <m/>
    <m/>
    <m/>
  </r>
  <r>
    <x v="109"/>
    <m/>
    <x v="6"/>
    <x v="6"/>
    <x v="0"/>
    <x v="0"/>
    <n v="4172054"/>
    <s v="RIERA RIVADENEIRA ELVIS PAUL"/>
    <m/>
    <m/>
    <m/>
    <m/>
    <m/>
    <m/>
    <m/>
    <x v="1"/>
    <m/>
    <m/>
    <m/>
    <m/>
    <m/>
    <m/>
    <m/>
    <m/>
    <m/>
    <m/>
    <m/>
    <m/>
    <m/>
    <m/>
  </r>
  <r>
    <x v="109"/>
    <m/>
    <x v="6"/>
    <x v="0"/>
    <x v="0"/>
    <x v="18"/>
    <n v="4194266"/>
    <s v="CEVALLOS SALAZAR MAYRA ANA"/>
    <m/>
    <m/>
    <m/>
    <m/>
    <m/>
    <m/>
    <m/>
    <x v="1"/>
    <m/>
    <m/>
    <m/>
    <m/>
    <n v="2407.3200000000002"/>
    <m/>
    <m/>
    <m/>
    <m/>
    <m/>
    <m/>
    <m/>
    <m/>
    <m/>
  </r>
  <r>
    <x v="109"/>
    <m/>
    <x v="6"/>
    <x v="0"/>
    <x v="0"/>
    <x v="13"/>
    <s v="GM24G46857"/>
    <s v="GONZALEZ CRUZ GONZALO ALFREDO"/>
    <m/>
    <m/>
    <m/>
    <m/>
    <m/>
    <m/>
    <m/>
    <x v="2"/>
    <m/>
    <m/>
    <m/>
    <m/>
    <n v="731.93"/>
    <m/>
    <m/>
    <m/>
    <m/>
    <m/>
    <m/>
    <m/>
    <m/>
    <m/>
  </r>
  <r>
    <x v="109"/>
    <m/>
    <x v="6"/>
    <x v="6"/>
    <x v="0"/>
    <x v="32"/>
    <n v="4189023"/>
    <s v="PINARGOTE QUIMIS CARMELO JAVIER"/>
    <m/>
    <m/>
    <m/>
    <m/>
    <m/>
    <m/>
    <m/>
    <x v="1"/>
    <m/>
    <m/>
    <m/>
    <m/>
    <m/>
    <m/>
    <m/>
    <m/>
    <m/>
    <m/>
    <m/>
    <m/>
    <m/>
    <m/>
  </r>
  <r>
    <x v="110"/>
    <m/>
    <x v="6"/>
    <x v="0"/>
    <x v="0"/>
    <x v="18"/>
    <n v="4194425"/>
    <s v="AREVALO HERRERA JOSE FERNANDO"/>
    <m/>
    <m/>
    <m/>
    <m/>
    <m/>
    <m/>
    <m/>
    <x v="1"/>
    <m/>
    <m/>
    <m/>
    <m/>
    <n v="1500.6"/>
    <m/>
    <m/>
    <m/>
    <m/>
    <m/>
    <m/>
    <m/>
    <m/>
    <m/>
  </r>
  <r>
    <x v="110"/>
    <m/>
    <x v="6"/>
    <x v="3"/>
    <x v="1"/>
    <x v="29"/>
    <m/>
    <s v="CAROLA BERENICE ARTIEDA COBOS"/>
    <m/>
    <m/>
    <m/>
    <m/>
    <m/>
    <m/>
    <s v="NO"/>
    <x v="12"/>
    <s v="IDEAL"/>
    <m/>
    <n v="431.50083333333333"/>
    <m/>
    <n v="5178.01"/>
    <m/>
    <m/>
    <m/>
    <m/>
    <m/>
    <m/>
    <m/>
    <m/>
    <m/>
  </r>
  <r>
    <x v="111"/>
    <m/>
    <x v="6"/>
    <x v="3"/>
    <x v="0"/>
    <x v="18"/>
    <n v="4173188"/>
    <s v="SALAS VACA OLGA LORENA"/>
    <m/>
    <m/>
    <m/>
    <m/>
    <m/>
    <m/>
    <m/>
    <x v="1"/>
    <m/>
    <m/>
    <m/>
    <m/>
    <m/>
    <m/>
    <m/>
    <m/>
    <m/>
    <m/>
    <m/>
    <m/>
    <m/>
    <m/>
  </r>
  <r>
    <x v="111"/>
    <m/>
    <x v="6"/>
    <x v="0"/>
    <x v="0"/>
    <x v="13"/>
    <n v="4194593"/>
    <s v="LLANOS SARANGO MARTIN JOEL"/>
    <m/>
    <m/>
    <m/>
    <m/>
    <m/>
    <m/>
    <m/>
    <x v="1"/>
    <m/>
    <m/>
    <m/>
    <m/>
    <n v="818.35"/>
    <m/>
    <m/>
    <m/>
    <m/>
    <m/>
    <m/>
    <m/>
    <m/>
    <m/>
  </r>
  <r>
    <x v="111"/>
    <m/>
    <x v="6"/>
    <x v="0"/>
    <x v="0"/>
    <x v="2"/>
    <m/>
    <s v="LORENA ANGELICA GARCIA CACAO"/>
    <m/>
    <m/>
    <m/>
    <m/>
    <m/>
    <m/>
    <m/>
    <x v="10"/>
    <m/>
    <m/>
    <m/>
    <m/>
    <n v="1414.5"/>
    <m/>
    <m/>
    <m/>
    <m/>
    <m/>
    <m/>
    <m/>
    <m/>
    <m/>
  </r>
  <r>
    <x v="111"/>
    <m/>
    <x v="6"/>
    <x v="0"/>
    <x v="1"/>
    <x v="24"/>
    <m/>
    <s v="MAURICIO DAVID JACOBSON LEON"/>
    <m/>
    <m/>
    <m/>
    <s v="TARJETA DE CREDITO"/>
    <s v="ANUAL"/>
    <s v="MAURICIO DAVID JACOBSON LEON"/>
    <s v="NO"/>
    <x v="3"/>
    <s v="SENIOR 45000"/>
    <m/>
    <n v="215.17"/>
    <m/>
    <n v="2569.1940298507466"/>
    <m/>
    <m/>
    <m/>
    <m/>
    <m/>
    <m/>
    <m/>
    <m/>
    <m/>
  </r>
  <r>
    <x v="112"/>
    <m/>
    <x v="5"/>
    <x v="0"/>
    <x v="0"/>
    <x v="18"/>
    <n v="4192739"/>
    <s v="ARIAS CHAVEZ ARTURO SERGIO"/>
    <m/>
    <m/>
    <m/>
    <m/>
    <m/>
    <m/>
    <m/>
    <x v="1"/>
    <m/>
    <m/>
    <m/>
    <m/>
    <n v="2814.59"/>
    <m/>
    <m/>
    <m/>
    <m/>
    <m/>
    <m/>
    <m/>
    <m/>
    <m/>
  </r>
  <r>
    <x v="113"/>
    <m/>
    <x v="6"/>
    <x v="0"/>
    <x v="1"/>
    <x v="24"/>
    <m/>
    <s v="MAURICIO DANIEL JACOBSON LEON"/>
    <m/>
    <m/>
    <m/>
    <s v="CUENTA DE AHORROS"/>
    <s v="MENSUAL"/>
    <s v="MAURICIO DANIEL JACOBSON LEON"/>
    <s v="NO"/>
    <x v="3"/>
    <s v="SENIOR 45000"/>
    <m/>
    <n v="215.17"/>
    <m/>
    <n v="2569.1940298507466"/>
    <m/>
    <m/>
    <m/>
    <m/>
    <m/>
    <m/>
    <m/>
    <m/>
    <m/>
  </r>
  <r>
    <x v="114"/>
    <m/>
    <x v="6"/>
    <x v="0"/>
    <x v="0"/>
    <x v="11"/>
    <m/>
    <s v="PAMELA MARIBEL CALDERON MARTINEZ"/>
    <m/>
    <m/>
    <m/>
    <m/>
    <m/>
    <m/>
    <m/>
    <x v="10"/>
    <s v="BEST INDEXD 100"/>
    <m/>
    <m/>
    <m/>
    <n v="939"/>
    <m/>
    <m/>
    <m/>
    <m/>
    <m/>
    <m/>
    <m/>
    <m/>
    <m/>
  </r>
  <r>
    <x v="114"/>
    <m/>
    <x v="6"/>
    <x v="0"/>
    <x v="1"/>
    <x v="29"/>
    <m/>
    <s v="JOEL ISAAC AVILES MERA"/>
    <m/>
    <n v="952135986"/>
    <n v="995524274"/>
    <s v="CUENTA DE AHORROS"/>
    <s v="MENSUAL"/>
    <s v="JOEL ISAAC AVILES MERA"/>
    <s v="NO"/>
    <x v="5"/>
    <s v="ASISPRO 20"/>
    <m/>
    <n v="51.84"/>
    <m/>
    <n v="570.71559633027528"/>
    <m/>
    <m/>
    <m/>
    <m/>
    <m/>
    <m/>
    <m/>
    <m/>
    <m/>
  </r>
  <r>
    <x v="114"/>
    <m/>
    <x v="6"/>
    <x v="0"/>
    <x v="1"/>
    <x v="29"/>
    <m/>
    <s v="JOEL ISAAC AVILES MERA"/>
    <m/>
    <n v="952135986"/>
    <n v="995524274"/>
    <s v="CUENTA DE AHORROS"/>
    <s v="MENSUAL"/>
    <s v="JOEL ISAAC AVILES MERA"/>
    <s v="NO"/>
    <x v="2"/>
    <s v="GMM"/>
    <m/>
    <n v="31.56"/>
    <m/>
    <n v="311.83582089552237"/>
    <m/>
    <m/>
    <m/>
    <m/>
    <m/>
    <m/>
    <m/>
    <m/>
    <m/>
  </r>
  <r>
    <x v="115"/>
    <m/>
    <x v="6"/>
    <x v="0"/>
    <x v="0"/>
    <x v="10"/>
    <n v="4194908"/>
    <s v="SANCHEZ JIMENEZ PAOLA CAROLINA"/>
    <m/>
    <m/>
    <m/>
    <m/>
    <m/>
    <m/>
    <m/>
    <x v="1"/>
    <m/>
    <m/>
    <m/>
    <m/>
    <n v="992.79"/>
    <m/>
    <m/>
    <m/>
    <m/>
    <m/>
    <m/>
    <m/>
    <m/>
    <m/>
  </r>
  <r>
    <x v="115"/>
    <m/>
    <x v="6"/>
    <x v="0"/>
    <x v="0"/>
    <x v="11"/>
    <m/>
    <s v="CALDERON MARTINEZ PAMELA MARIBEL"/>
    <m/>
    <m/>
    <m/>
    <m/>
    <m/>
    <m/>
    <m/>
    <x v="10"/>
    <m/>
    <m/>
    <m/>
    <m/>
    <n v="939"/>
    <m/>
    <m/>
    <m/>
    <m/>
    <m/>
    <m/>
    <m/>
    <m/>
    <m/>
  </r>
  <r>
    <x v="115"/>
    <m/>
    <x v="6"/>
    <x v="0"/>
    <x v="0"/>
    <x v="11"/>
    <n v="16239"/>
    <s v="ARCE ICAZA JORGE LUIS"/>
    <m/>
    <m/>
    <m/>
    <m/>
    <m/>
    <m/>
    <m/>
    <x v="3"/>
    <m/>
    <m/>
    <m/>
    <m/>
    <n v="3417.47"/>
    <m/>
    <m/>
    <m/>
    <m/>
    <m/>
    <m/>
    <m/>
    <m/>
    <m/>
  </r>
  <r>
    <x v="116"/>
    <m/>
    <x v="6"/>
    <x v="0"/>
    <x v="0"/>
    <x v="1"/>
    <m/>
    <s v="DELGADO SANCHEZ MARCO ANTONIO"/>
    <m/>
    <m/>
    <m/>
    <m/>
    <m/>
    <m/>
    <m/>
    <x v="5"/>
    <m/>
    <m/>
    <m/>
    <m/>
    <n v="1020.58"/>
    <m/>
    <m/>
    <m/>
    <m/>
    <m/>
    <m/>
    <m/>
    <m/>
    <m/>
  </r>
  <r>
    <x v="116"/>
    <m/>
    <x v="6"/>
    <x v="0"/>
    <x v="0"/>
    <x v="9"/>
    <n v="4194941"/>
    <s v="PAREDES AMBROSI MARIA DANIELA"/>
    <m/>
    <m/>
    <m/>
    <m/>
    <m/>
    <m/>
    <m/>
    <x v="1"/>
    <m/>
    <m/>
    <m/>
    <m/>
    <n v="965.45"/>
    <m/>
    <m/>
    <m/>
    <m/>
    <m/>
    <m/>
    <m/>
    <m/>
    <m/>
  </r>
  <r>
    <x v="116"/>
    <m/>
    <x v="6"/>
    <x v="0"/>
    <x v="0"/>
    <x v="11"/>
    <n v="4195002"/>
    <s v="ESPINOSA ESPINOSA NANCY ARACELY"/>
    <m/>
    <m/>
    <m/>
    <m/>
    <m/>
    <m/>
    <m/>
    <x v="1"/>
    <m/>
    <m/>
    <m/>
    <m/>
    <n v="1707.76"/>
    <m/>
    <m/>
    <m/>
    <m/>
    <m/>
    <m/>
    <m/>
    <m/>
    <m/>
  </r>
  <r>
    <x v="116"/>
    <m/>
    <x v="6"/>
    <x v="0"/>
    <x v="0"/>
    <x v="2"/>
    <m/>
    <s v="VILLACRES SANDOYA GLORIA PERPETUA"/>
    <m/>
    <m/>
    <m/>
    <m/>
    <m/>
    <m/>
    <m/>
    <x v="3"/>
    <m/>
    <m/>
    <m/>
    <m/>
    <n v="1525.22"/>
    <m/>
    <m/>
    <m/>
    <m/>
    <m/>
    <m/>
    <m/>
    <m/>
    <m/>
  </r>
  <r>
    <x v="116"/>
    <m/>
    <x v="6"/>
    <x v="0"/>
    <x v="0"/>
    <x v="32"/>
    <m/>
    <s v="JOSE MIGUEL VALERA SOLIS"/>
    <m/>
    <m/>
    <m/>
    <m/>
    <m/>
    <m/>
    <m/>
    <x v="10"/>
    <m/>
    <m/>
    <m/>
    <m/>
    <n v="5175"/>
    <m/>
    <m/>
    <m/>
    <m/>
    <m/>
    <m/>
    <m/>
    <m/>
    <m/>
  </r>
  <r>
    <x v="117"/>
    <m/>
    <x v="6"/>
    <x v="5"/>
    <x v="0"/>
    <x v="18"/>
    <n v="795326"/>
    <s v="ANDRADE CEVALLOS IVONNE ELIZABETH"/>
    <m/>
    <m/>
    <m/>
    <m/>
    <m/>
    <m/>
    <m/>
    <x v="1"/>
    <m/>
    <m/>
    <m/>
    <m/>
    <m/>
    <m/>
    <m/>
    <m/>
    <m/>
    <m/>
    <m/>
    <m/>
    <m/>
    <m/>
  </r>
  <r>
    <x v="117"/>
    <m/>
    <x v="6"/>
    <x v="0"/>
    <x v="0"/>
    <x v="18"/>
    <n v="4194956"/>
    <s v="PEREZ REYNADO FREDDY ROBERT"/>
    <m/>
    <m/>
    <m/>
    <m/>
    <m/>
    <m/>
    <m/>
    <x v="1"/>
    <m/>
    <m/>
    <m/>
    <m/>
    <n v="3342.46"/>
    <m/>
    <m/>
    <m/>
    <m/>
    <m/>
    <m/>
    <m/>
    <m/>
    <m/>
  </r>
  <r>
    <x v="117"/>
    <m/>
    <x v="6"/>
    <x v="0"/>
    <x v="0"/>
    <x v="8"/>
    <n v="4194851"/>
    <s v="GUERRERO PAREDES ROBERTO ANDRES"/>
    <m/>
    <m/>
    <m/>
    <m/>
    <m/>
    <m/>
    <m/>
    <x v="1"/>
    <m/>
    <m/>
    <m/>
    <m/>
    <n v="1500.6"/>
    <m/>
    <m/>
    <m/>
    <m/>
    <m/>
    <m/>
    <m/>
    <m/>
    <m/>
  </r>
  <r>
    <x v="117"/>
    <m/>
    <x v="6"/>
    <x v="0"/>
    <x v="0"/>
    <x v="8"/>
    <n v="4194853"/>
    <s v="GUERRERO PAREDES ROBERTO ANDRES"/>
    <m/>
    <m/>
    <m/>
    <m/>
    <m/>
    <m/>
    <m/>
    <x v="1"/>
    <m/>
    <m/>
    <m/>
    <m/>
    <n v="2264.88"/>
    <m/>
    <m/>
    <m/>
    <m/>
    <m/>
    <m/>
    <m/>
    <m/>
    <m/>
  </r>
  <r>
    <x v="117"/>
    <m/>
    <x v="6"/>
    <x v="0"/>
    <x v="1"/>
    <x v="29"/>
    <s v="GM24G47397"/>
    <s v="ERICKA MELISSA MENDEZ BURGOS"/>
    <m/>
    <m/>
    <m/>
    <m/>
    <m/>
    <s v="ERICKA MELISSA MENDEZ BURGOS"/>
    <s v="NO"/>
    <x v="2"/>
    <s v="GMM"/>
    <m/>
    <n v="27.91"/>
    <m/>
    <n v="268.25373134328362"/>
    <m/>
    <m/>
    <m/>
    <m/>
    <m/>
    <m/>
    <m/>
    <m/>
    <m/>
  </r>
  <r>
    <x v="117"/>
    <m/>
    <x v="6"/>
    <x v="0"/>
    <x v="1"/>
    <x v="15"/>
    <s v="GM24G47389"/>
    <s v="RUTH MERCEDES PRIETO VEGA"/>
    <m/>
    <m/>
    <m/>
    <m/>
    <m/>
    <s v="RUTH MERCEDES PRIETO VEGA"/>
    <s v="NO"/>
    <x v="2"/>
    <s v="GMM"/>
    <m/>
    <n v="104.72"/>
    <m/>
    <n v="1185.3880597014925"/>
    <m/>
    <m/>
    <m/>
    <m/>
    <m/>
    <m/>
    <m/>
    <m/>
    <m/>
  </r>
  <r>
    <x v="118"/>
    <m/>
    <x v="6"/>
    <x v="0"/>
    <x v="1"/>
    <x v="29"/>
    <n v="4196424"/>
    <s v="MELANY JUDITH LITARDO BRIONES"/>
    <m/>
    <m/>
    <m/>
    <s v="CUENTA DE AHORROS"/>
    <s v="MENSUAL"/>
    <s v="MELANY JUDITH LITARDO BRIONES"/>
    <s v="NO"/>
    <x v="1"/>
    <s v="PRO 150K - 150"/>
    <m/>
    <n v="252.67"/>
    <m/>
    <n v="3032.04"/>
    <m/>
    <m/>
    <m/>
    <m/>
    <m/>
    <m/>
    <m/>
    <m/>
    <m/>
  </r>
  <r>
    <x v="118"/>
    <d v="2024-09-05T00:00:00"/>
    <x v="6"/>
    <x v="0"/>
    <x v="1"/>
    <x v="16"/>
    <m/>
    <s v="LADY ALEXANDRA SANMARTIN CEDEÑO"/>
    <m/>
    <m/>
    <m/>
    <s v="CUENTA DE AHORROS"/>
    <s v="MENSUAL"/>
    <s v="LADY ALEXANDRA SANMARTIN CEDEÑO"/>
    <s v="NO"/>
    <x v="7"/>
    <s v="CONFIPLUS"/>
    <m/>
    <n v="297.77999999999997"/>
    <m/>
    <n v="3555.5820895522388"/>
    <m/>
    <m/>
    <m/>
    <m/>
    <m/>
    <m/>
    <m/>
    <m/>
    <m/>
  </r>
  <r>
    <x v="119"/>
    <m/>
    <x v="6"/>
    <x v="0"/>
    <x v="0"/>
    <x v="4"/>
    <n v="4195164"/>
    <s v="GUTIERREZ CARDENAS FLERIDA FLORIPES"/>
    <m/>
    <m/>
    <m/>
    <m/>
    <m/>
    <m/>
    <m/>
    <x v="1"/>
    <m/>
    <m/>
    <m/>
    <m/>
    <n v="2057.36"/>
    <m/>
    <m/>
    <m/>
    <m/>
    <m/>
    <m/>
    <m/>
    <m/>
    <m/>
  </r>
  <r>
    <x v="119"/>
    <m/>
    <x v="6"/>
    <x v="0"/>
    <x v="0"/>
    <x v="32"/>
    <n v="4195211"/>
    <s v="SANCHEZ QUIMIS DIANA ELISA"/>
    <m/>
    <m/>
    <m/>
    <m/>
    <m/>
    <m/>
    <m/>
    <x v="1"/>
    <m/>
    <m/>
    <m/>
    <m/>
    <n v="1259.77"/>
    <m/>
    <m/>
    <m/>
    <m/>
    <m/>
    <m/>
    <m/>
    <m/>
    <m/>
  </r>
  <r>
    <x v="119"/>
    <m/>
    <x v="6"/>
    <x v="0"/>
    <x v="1"/>
    <x v="24"/>
    <m/>
    <s v="DANIELA MADELEINE RODRIGUEZ MONTERO"/>
    <m/>
    <m/>
    <m/>
    <s v="TARJETA DE CREDITO"/>
    <s v="SEMESTRAL"/>
    <s v="DANIELA MADELEINE RODRIGUEZ MONTERO"/>
    <s v="NO"/>
    <x v="3"/>
    <s v="MASTER 75000"/>
    <m/>
    <n v="84.41"/>
    <m/>
    <n v="1007.8805970149255"/>
    <m/>
    <m/>
    <m/>
    <m/>
    <m/>
    <m/>
    <m/>
    <m/>
    <m/>
  </r>
  <r>
    <x v="119"/>
    <m/>
    <x v="6"/>
    <x v="0"/>
    <x v="1"/>
    <x v="3"/>
    <m/>
    <s v="HILDA VICTORIA MOYA FRANCO"/>
    <m/>
    <m/>
    <m/>
    <m/>
    <m/>
    <m/>
    <s v="NO"/>
    <x v="3"/>
    <s v="PREMIUN 30MIL"/>
    <m/>
    <n v="109.66"/>
    <m/>
    <n v="1309.3731343283584"/>
    <m/>
    <m/>
    <m/>
    <m/>
    <m/>
    <m/>
    <m/>
    <m/>
    <m/>
  </r>
  <r>
    <x v="120"/>
    <m/>
    <x v="6"/>
    <x v="0"/>
    <x v="0"/>
    <x v="18"/>
    <n v="4195344"/>
    <s v="CALDERON GOMEZ CINDY PAMELA"/>
    <m/>
    <m/>
    <m/>
    <m/>
    <m/>
    <m/>
    <m/>
    <x v="1"/>
    <m/>
    <m/>
    <m/>
    <m/>
    <n v="941.81"/>
    <m/>
    <m/>
    <m/>
    <m/>
    <m/>
    <m/>
    <m/>
    <m/>
    <m/>
  </r>
  <r>
    <x v="120"/>
    <m/>
    <x v="6"/>
    <x v="0"/>
    <x v="0"/>
    <x v="10"/>
    <n v="4195415"/>
    <s v="PLUAS ALVARADO ERICKA LORENA"/>
    <m/>
    <m/>
    <m/>
    <m/>
    <m/>
    <m/>
    <m/>
    <x v="1"/>
    <m/>
    <m/>
    <m/>
    <m/>
    <n v="1088.19"/>
    <m/>
    <m/>
    <m/>
    <m/>
    <m/>
    <m/>
    <m/>
    <m/>
    <m/>
  </r>
  <r>
    <x v="120"/>
    <m/>
    <x v="6"/>
    <x v="0"/>
    <x v="0"/>
    <x v="2"/>
    <n v="4195216"/>
    <s v="FIGUEROA ELENA RITA"/>
    <m/>
    <m/>
    <m/>
    <m/>
    <m/>
    <m/>
    <m/>
    <x v="1"/>
    <m/>
    <m/>
    <m/>
    <m/>
    <n v="2129.9499999999998"/>
    <m/>
    <m/>
    <m/>
    <m/>
    <m/>
    <m/>
    <m/>
    <m/>
    <m/>
  </r>
  <r>
    <x v="121"/>
    <m/>
    <x v="6"/>
    <x v="0"/>
    <x v="0"/>
    <x v="2"/>
    <n v="16269"/>
    <s v="MONTERO MARTINEZ GABRIELA MARIA"/>
    <m/>
    <m/>
    <m/>
    <m/>
    <m/>
    <m/>
    <m/>
    <x v="3"/>
    <m/>
    <m/>
    <m/>
    <m/>
    <n v="2204.7199999999998"/>
    <m/>
    <m/>
    <m/>
    <m/>
    <m/>
    <m/>
    <m/>
    <m/>
    <m/>
  </r>
  <r>
    <x v="121"/>
    <m/>
    <x v="6"/>
    <x v="0"/>
    <x v="1"/>
    <x v="33"/>
    <m/>
    <s v="ANA MARIA RIBADENEIRA PAZMIÑO"/>
    <m/>
    <m/>
    <m/>
    <s v="CUENTA DE AHORROS"/>
    <s v="MENSUAL"/>
    <s v="ANA MARIA RIBADENEIRA PAZMIÑO"/>
    <s v="NO"/>
    <x v="3"/>
    <s v="SUPREMO"/>
    <m/>
    <n v="153.66999999999999"/>
    <m/>
    <n v="1834.8656716417911"/>
    <m/>
    <m/>
    <m/>
    <m/>
    <m/>
    <m/>
    <m/>
    <m/>
    <m/>
  </r>
  <r>
    <x v="121"/>
    <m/>
    <x v="6"/>
    <x v="0"/>
    <x v="1"/>
    <x v="14"/>
    <n v="34295"/>
    <s v="JOSE GREGORIO SOTOMAYOR PERALTA"/>
    <m/>
    <m/>
    <m/>
    <s v="CUENTA DE AHORROS"/>
    <s v="MENSUAL"/>
    <s v="JOSE GREGORIO SOTOMAYOR PERALTA"/>
    <s v="NO"/>
    <x v="5"/>
    <s v="ASISPRO 20"/>
    <m/>
    <n v="271.76"/>
    <m/>
    <n v="2991.8532110091742"/>
    <m/>
    <m/>
    <m/>
    <m/>
    <m/>
    <m/>
    <m/>
    <m/>
    <m/>
  </r>
  <r>
    <x v="122"/>
    <m/>
    <x v="6"/>
    <x v="0"/>
    <x v="1"/>
    <x v="33"/>
    <m/>
    <s v="SEMIDA MARGARITA QUEZAD QUEZADA"/>
    <m/>
    <m/>
    <m/>
    <s v="CUENTA DE AHORROS"/>
    <s v="MENSUAL"/>
    <s v="SEMIDA MARGARITA QUEZAD QUEZADA"/>
    <s v="NO"/>
    <x v="11"/>
    <s v="SENIOR CARE"/>
    <m/>
    <n v="32.99"/>
    <m/>
    <n v="393.91044776119406"/>
    <m/>
    <m/>
    <m/>
    <m/>
    <m/>
    <m/>
    <m/>
    <m/>
    <m/>
  </r>
  <r>
    <x v="123"/>
    <d v="2024-07-24T00:00:00"/>
    <x v="6"/>
    <x v="0"/>
    <x v="2"/>
    <x v="36"/>
    <n v="45665"/>
    <s v="PONCE ZUÑIGA ANGELA DORILA"/>
    <m/>
    <n v="1200530275"/>
    <m/>
    <m/>
    <m/>
    <m/>
    <m/>
    <x v="7"/>
    <s v="CONFIPLUS"/>
    <m/>
    <n v="185.9"/>
    <m/>
    <n v="2219.7014925373137"/>
    <m/>
    <m/>
    <m/>
    <m/>
    <m/>
    <m/>
    <m/>
    <m/>
    <m/>
  </r>
  <r>
    <x v="123"/>
    <m/>
    <x v="6"/>
    <x v="0"/>
    <x v="0"/>
    <x v="4"/>
    <n v="4195625"/>
    <s v="VALENCIA CHICA EDISON MANUEL"/>
    <m/>
    <m/>
    <m/>
    <m/>
    <m/>
    <m/>
    <m/>
    <x v="1"/>
    <m/>
    <m/>
    <m/>
    <m/>
    <n v="1470.51"/>
    <m/>
    <m/>
    <m/>
    <m/>
    <m/>
    <m/>
    <m/>
    <m/>
    <m/>
  </r>
  <r>
    <x v="123"/>
    <m/>
    <x v="6"/>
    <x v="0"/>
    <x v="1"/>
    <x v="17"/>
    <n v="148724"/>
    <s v="GUSTAVO DANIEL DEL PINO VERA"/>
    <m/>
    <m/>
    <m/>
    <s v="CUENTA DE AHORROS"/>
    <s v="MENSUAL"/>
    <s v="GUSTAVO DANIEL DEL PINO VERA"/>
    <s v="NO"/>
    <x v="11"/>
    <s v="PLAN 70"/>
    <m/>
    <n v="41.76"/>
    <m/>
    <n v="498.62686567164184"/>
    <m/>
    <m/>
    <m/>
    <m/>
    <m/>
    <m/>
    <m/>
    <m/>
    <m/>
  </r>
  <r>
    <x v="123"/>
    <m/>
    <x v="6"/>
    <x v="0"/>
    <x v="1"/>
    <x v="17"/>
    <n v="148725"/>
    <s v="IVAN ERNESTO DEL PINO VERA"/>
    <m/>
    <m/>
    <m/>
    <s v="CUENTA DE AHORROS"/>
    <s v="MENSUAL"/>
    <s v="IVAN ERNESTO DEL PINO VERA"/>
    <s v="NO"/>
    <x v="11"/>
    <s v="PLAN 70"/>
    <m/>
    <n v="41.76"/>
    <m/>
    <n v="498.62686567164184"/>
    <m/>
    <m/>
    <m/>
    <m/>
    <m/>
    <m/>
    <m/>
    <m/>
    <m/>
  </r>
  <r>
    <x v="124"/>
    <m/>
    <x v="6"/>
    <x v="0"/>
    <x v="0"/>
    <x v="13"/>
    <s v="GM24G47365"/>
    <s v="SANCHEZ MONROY SONIA ISABEL"/>
    <m/>
    <m/>
    <m/>
    <m/>
    <m/>
    <m/>
    <m/>
    <x v="2"/>
    <m/>
    <m/>
    <m/>
    <m/>
    <n v="2354.37"/>
    <m/>
    <m/>
    <m/>
    <m/>
    <m/>
    <m/>
    <m/>
    <m/>
    <m/>
  </r>
  <r>
    <x v="124"/>
    <m/>
    <x v="6"/>
    <x v="0"/>
    <x v="0"/>
    <x v="2"/>
    <m/>
    <s v="VITERI MURILLO HOLGUER DAVID"/>
    <m/>
    <m/>
    <m/>
    <m/>
    <m/>
    <m/>
    <m/>
    <x v="3"/>
    <m/>
    <m/>
    <m/>
    <m/>
    <n v="1554.71"/>
    <m/>
    <m/>
    <m/>
    <m/>
    <m/>
    <m/>
    <m/>
    <m/>
    <m/>
  </r>
  <r>
    <x v="124"/>
    <m/>
    <x v="6"/>
    <x v="0"/>
    <x v="1"/>
    <x v="27"/>
    <n v="4195743"/>
    <s v="CARLOS EDUARDO ALVAREZ MORENO"/>
    <m/>
    <m/>
    <m/>
    <s v="CUENTA DE AHORROS"/>
    <s v="MENSUAL"/>
    <s v="CARLOS EDUARDO ALVAREZ MORENO"/>
    <s v="SI"/>
    <x v="1"/>
    <s v="SKY 50+"/>
    <m/>
    <n v="286.04000000000002"/>
    <m/>
    <n v="3432.4800000000005"/>
    <m/>
    <m/>
    <m/>
    <m/>
    <m/>
    <m/>
    <m/>
    <m/>
    <m/>
  </r>
  <r>
    <x v="125"/>
    <m/>
    <x v="6"/>
    <x v="0"/>
    <x v="0"/>
    <x v="13"/>
    <m/>
    <s v="VASCONEZ LECARO DANIEL"/>
    <m/>
    <m/>
    <m/>
    <m/>
    <m/>
    <m/>
    <m/>
    <x v="5"/>
    <m/>
    <m/>
    <m/>
    <m/>
    <n v="3307.09"/>
    <m/>
    <m/>
    <m/>
    <m/>
    <m/>
    <m/>
    <m/>
    <m/>
    <m/>
  </r>
  <r>
    <x v="125"/>
    <m/>
    <x v="6"/>
    <x v="0"/>
    <x v="0"/>
    <x v="4"/>
    <n v="4195919"/>
    <s v="CHALEN FEREZ PEDRO ISRAEL"/>
    <m/>
    <m/>
    <m/>
    <m/>
    <m/>
    <m/>
    <m/>
    <x v="1"/>
    <m/>
    <m/>
    <m/>
    <m/>
    <n v="1984.64"/>
    <m/>
    <m/>
    <m/>
    <m/>
    <m/>
    <m/>
    <m/>
    <m/>
    <m/>
  </r>
  <r>
    <x v="125"/>
    <m/>
    <x v="6"/>
    <x v="0"/>
    <x v="1"/>
    <x v="14"/>
    <n v="4195387"/>
    <s v="MARLENE JUDITH GOMEZ AYLLON"/>
    <m/>
    <m/>
    <m/>
    <s v="CUENTA DE AHORROS"/>
    <s v="MENSUAL"/>
    <s v="MARLENE JUDITH GOMEZ AYLLON"/>
    <s v="NO"/>
    <x v="1"/>
    <s v="SKY 50+"/>
    <m/>
    <n v="223.51"/>
    <m/>
    <n v="2682.12"/>
    <m/>
    <m/>
    <m/>
    <m/>
    <m/>
    <m/>
    <m/>
    <m/>
    <m/>
  </r>
  <r>
    <x v="126"/>
    <m/>
    <x v="7"/>
    <x v="0"/>
    <x v="0"/>
    <x v="2"/>
    <m/>
    <s v="GARCIA ROMAN JULIAN SANTIAGO"/>
    <m/>
    <m/>
    <m/>
    <m/>
    <m/>
    <m/>
    <m/>
    <x v="7"/>
    <s v="CONFIPLUS $30000 RED-1"/>
    <m/>
    <m/>
    <m/>
    <n v="1101.23"/>
    <m/>
    <m/>
    <m/>
    <m/>
    <m/>
    <m/>
    <m/>
    <m/>
    <m/>
  </r>
  <r>
    <x v="126"/>
    <m/>
    <x v="7"/>
    <x v="0"/>
    <x v="1"/>
    <x v="30"/>
    <m/>
    <s v="TANYA ALEXANDRA MURILLO OBREGON"/>
    <m/>
    <n v="923955975"/>
    <m/>
    <s v="CUENTA DE AHORROS"/>
    <s v="MENSUAL"/>
    <s v="TANYA ALEXANDRA MURILLO OBREGON"/>
    <s v="NO"/>
    <x v="1"/>
    <s v="STAR 30K - 90"/>
    <m/>
    <n v="171.19"/>
    <m/>
    <n v="2054.2799999999997"/>
    <m/>
    <m/>
    <m/>
    <m/>
    <m/>
    <m/>
    <m/>
    <m/>
    <m/>
  </r>
  <r>
    <x v="127"/>
    <m/>
    <x v="7"/>
    <x v="0"/>
    <x v="0"/>
    <x v="11"/>
    <m/>
    <s v="ALVAREZ ESPINOZA ABEL OMAR"/>
    <m/>
    <m/>
    <m/>
    <m/>
    <m/>
    <m/>
    <m/>
    <x v="3"/>
    <s v="PLAN JUNIOR 20.000"/>
    <m/>
    <m/>
    <m/>
    <n v="1108.27"/>
    <m/>
    <m/>
    <m/>
    <m/>
    <m/>
    <m/>
    <m/>
    <m/>
    <m/>
  </r>
  <r>
    <x v="127"/>
    <m/>
    <x v="7"/>
    <x v="0"/>
    <x v="1"/>
    <x v="23"/>
    <m/>
    <s v="SUSANA ESTEFANIA DE LA TORRE MORALES"/>
    <m/>
    <m/>
    <m/>
    <s v="CUENTA DE AHORROS"/>
    <s v="MENSUAL"/>
    <s v="SUSANA ESTEFANIA DE LA TORRE MORALES"/>
    <s v="NO"/>
    <x v="3"/>
    <s v="PREMIUN 30MIL"/>
    <m/>
    <n v="79.41"/>
    <m/>
    <n v="948.17910447761199"/>
    <m/>
    <m/>
    <m/>
    <m/>
    <m/>
    <m/>
    <m/>
    <m/>
    <m/>
  </r>
  <r>
    <x v="128"/>
    <m/>
    <x v="7"/>
    <x v="0"/>
    <x v="0"/>
    <x v="13"/>
    <m/>
    <s v="HIDALGO VILLARREAL MARIA FERNANDA"/>
    <m/>
    <m/>
    <m/>
    <m/>
    <m/>
    <m/>
    <m/>
    <x v="2"/>
    <s v="GMM"/>
    <m/>
    <m/>
    <m/>
    <n v="1152.07"/>
    <m/>
    <m/>
    <m/>
    <m/>
    <m/>
    <m/>
    <m/>
    <m/>
    <m/>
  </r>
  <r>
    <x v="128"/>
    <m/>
    <x v="7"/>
    <x v="0"/>
    <x v="0"/>
    <x v="13"/>
    <m/>
    <s v="HIDALGO VILLARREAL MARIA AUGUSTA"/>
    <m/>
    <m/>
    <m/>
    <m/>
    <m/>
    <m/>
    <m/>
    <x v="2"/>
    <s v="GMM"/>
    <m/>
    <m/>
    <m/>
    <n v="1053.02"/>
    <m/>
    <m/>
    <m/>
    <m/>
    <m/>
    <m/>
    <m/>
    <m/>
    <m/>
  </r>
  <r>
    <x v="129"/>
    <m/>
    <x v="7"/>
    <x v="0"/>
    <x v="0"/>
    <x v="8"/>
    <m/>
    <s v="MACIAS SALTOS MIRNA LORENA"/>
    <m/>
    <m/>
    <m/>
    <m/>
    <m/>
    <m/>
    <m/>
    <x v="1"/>
    <s v="SALUD DENTAL PRIVILEGIO"/>
    <m/>
    <m/>
    <m/>
    <n v="777.99"/>
    <m/>
    <m/>
    <m/>
    <m/>
    <m/>
    <m/>
    <m/>
    <m/>
    <m/>
  </r>
  <r>
    <x v="130"/>
    <m/>
    <x v="7"/>
    <x v="0"/>
    <x v="0"/>
    <x v="18"/>
    <m/>
    <s v="BELTRAN BAJAÑA JAVIER ALONSO/OLPI AGRO S.A._x000a_"/>
    <m/>
    <m/>
    <m/>
    <m/>
    <m/>
    <m/>
    <m/>
    <x v="1"/>
    <s v="3D"/>
    <m/>
    <m/>
    <m/>
    <n v="1150.28"/>
    <m/>
    <m/>
    <m/>
    <m/>
    <m/>
    <m/>
    <m/>
    <m/>
    <m/>
  </r>
  <r>
    <x v="130"/>
    <m/>
    <x v="7"/>
    <x v="0"/>
    <x v="0"/>
    <x v="13"/>
    <m/>
    <s v="ODALYS BETZABETH PALACIOS LEON"/>
    <m/>
    <m/>
    <m/>
    <m/>
    <m/>
    <m/>
    <m/>
    <x v="10"/>
    <s v="NASDAQ 150.000"/>
    <m/>
    <m/>
    <m/>
    <n v="75.88"/>
    <m/>
    <m/>
    <m/>
    <m/>
    <m/>
    <m/>
    <m/>
    <m/>
    <m/>
  </r>
  <r>
    <x v="130"/>
    <m/>
    <x v="7"/>
    <x v="0"/>
    <x v="0"/>
    <x v="2"/>
    <m/>
    <s v="ROMAN TORO XIMENA DE LOURDES"/>
    <m/>
    <m/>
    <m/>
    <m/>
    <m/>
    <m/>
    <m/>
    <x v="2"/>
    <s v="GMM"/>
    <m/>
    <m/>
    <m/>
    <n v="1103.8599999999999"/>
    <m/>
    <m/>
    <m/>
    <m/>
    <m/>
    <m/>
    <m/>
    <m/>
    <m/>
  </r>
  <r>
    <x v="131"/>
    <m/>
    <x v="7"/>
    <x v="0"/>
    <x v="1"/>
    <x v="23"/>
    <m/>
    <s v="ADDIS EMPERATRIZ REYES TORRES"/>
    <m/>
    <n v="923587315"/>
    <n v="999979579"/>
    <s v="CUENTA DE AHORROS"/>
    <s v="MENSUAL"/>
    <s v="ADDIS EMPERATRIZ REYES TORRES"/>
    <s v="NO"/>
    <x v="3"/>
    <s v="SUPREMO"/>
    <m/>
    <n v="104.64"/>
    <m/>
    <n v="1249.4328358208957"/>
    <m/>
    <m/>
    <m/>
    <m/>
    <m/>
    <m/>
    <m/>
    <m/>
    <m/>
  </r>
  <r>
    <x v="132"/>
    <m/>
    <x v="7"/>
    <x v="0"/>
    <x v="1"/>
    <x v="15"/>
    <m/>
    <s v="MELANY CRISTINA ZAMBRANO VEGA"/>
    <m/>
    <n v="930911755"/>
    <n v="987367595"/>
    <s v="CUENTA DE AHORROS"/>
    <s v="MENSUAL"/>
    <s v="MELANY CRISTINA ZAMBRANO VEGA"/>
    <s v="NO"/>
    <x v="3"/>
    <s v="MASTER 75000"/>
    <m/>
    <n v="144.1"/>
    <m/>
    <n v="1720.5970149253731"/>
    <m/>
    <m/>
    <m/>
    <m/>
    <m/>
    <m/>
    <m/>
    <m/>
    <m/>
  </r>
  <r>
    <x v="132"/>
    <m/>
    <x v="7"/>
    <x v="0"/>
    <x v="1"/>
    <x v="14"/>
    <m/>
    <s v="MARIA DE FATIMA ICAZA GUEVARA"/>
    <m/>
    <m/>
    <m/>
    <m/>
    <m/>
    <m/>
    <m/>
    <x v="3"/>
    <s v="SUPREMO"/>
    <m/>
    <n v="114.14"/>
    <m/>
    <n v="1362.8656716417913"/>
    <m/>
    <m/>
    <m/>
    <m/>
    <m/>
    <m/>
    <m/>
    <m/>
    <m/>
  </r>
  <r>
    <x v="133"/>
    <m/>
    <x v="7"/>
    <x v="0"/>
    <x v="1"/>
    <x v="33"/>
    <s v="GM24G48159"/>
    <s v="GABRIEL ANDRES DELGADO GUEVARA"/>
    <m/>
    <m/>
    <m/>
    <m/>
    <m/>
    <m/>
    <m/>
    <x v="2"/>
    <m/>
    <m/>
    <m/>
    <n v="331.51"/>
    <n v="264.86069651741298"/>
    <m/>
    <m/>
    <m/>
    <m/>
    <m/>
    <m/>
    <m/>
    <m/>
    <m/>
  </r>
  <r>
    <x v="133"/>
    <m/>
    <x v="7"/>
    <x v="0"/>
    <x v="1"/>
    <x v="33"/>
    <m/>
    <s v="GABRIEL ANDRES DELGADO GUEVARA"/>
    <m/>
    <m/>
    <m/>
    <m/>
    <m/>
    <m/>
    <m/>
    <x v="3"/>
    <s v="JR 20K"/>
    <m/>
    <n v="68.099999999999994"/>
    <m/>
    <n v="813.13432835820902"/>
    <m/>
    <m/>
    <m/>
    <m/>
    <m/>
    <m/>
    <m/>
    <m/>
    <m/>
  </r>
  <r>
    <x v="134"/>
    <m/>
    <x v="7"/>
    <x v="0"/>
    <x v="1"/>
    <x v="14"/>
    <m/>
    <s v="PEDRO ALBERTO ROBLES CAMPOS"/>
    <m/>
    <m/>
    <m/>
    <m/>
    <m/>
    <m/>
    <m/>
    <x v="2"/>
    <s v="GMM"/>
    <m/>
    <n v="63.02"/>
    <m/>
    <n v="687.47761194029863"/>
    <m/>
    <m/>
    <m/>
    <m/>
    <m/>
    <m/>
    <m/>
    <m/>
    <m/>
  </r>
  <r>
    <x v="135"/>
    <m/>
    <x v="7"/>
    <x v="0"/>
    <x v="0"/>
    <x v="1"/>
    <m/>
    <s v="MANCERO MENENDEZ MARIA JOSE"/>
    <m/>
    <m/>
    <m/>
    <m/>
    <m/>
    <m/>
    <m/>
    <x v="1"/>
    <s v="SKY 70 PLUS - 100"/>
    <m/>
    <m/>
    <m/>
    <n v="1004.49"/>
    <m/>
    <m/>
    <m/>
    <m/>
    <m/>
    <m/>
    <m/>
    <m/>
    <m/>
  </r>
  <r>
    <x v="135"/>
    <m/>
    <x v="7"/>
    <x v="0"/>
    <x v="0"/>
    <x v="18"/>
    <m/>
    <s v="VILLACRES PEÑAFIEL JOSE"/>
    <m/>
    <m/>
    <m/>
    <m/>
    <m/>
    <m/>
    <m/>
    <x v="1"/>
    <s v="3D"/>
    <m/>
    <m/>
    <m/>
    <n v="1173.8"/>
    <m/>
    <m/>
    <m/>
    <m/>
    <m/>
    <m/>
    <m/>
    <m/>
    <m/>
  </r>
  <r>
    <x v="135"/>
    <m/>
    <x v="7"/>
    <x v="0"/>
    <x v="0"/>
    <x v="18"/>
    <m/>
    <s v="ALTAMIRANO HERNANDEZ CINTHYA ESTEFANIA"/>
    <m/>
    <m/>
    <m/>
    <m/>
    <m/>
    <m/>
    <m/>
    <x v="1"/>
    <s v="5D"/>
    <m/>
    <m/>
    <m/>
    <n v="904.07"/>
    <m/>
    <m/>
    <m/>
    <m/>
    <m/>
    <m/>
    <m/>
    <m/>
    <m/>
  </r>
  <r>
    <x v="135"/>
    <m/>
    <x v="7"/>
    <x v="0"/>
    <x v="0"/>
    <x v="18"/>
    <m/>
    <s v="VILLACRES PEÑAFIEL JOSE DAVID"/>
    <m/>
    <m/>
    <m/>
    <m/>
    <m/>
    <m/>
    <m/>
    <x v="1"/>
    <s v="RESPALDO TOTAL PLUS"/>
    <m/>
    <m/>
    <m/>
    <n v="858.94"/>
    <m/>
    <m/>
    <m/>
    <m/>
    <m/>
    <m/>
    <m/>
    <m/>
    <m/>
  </r>
  <r>
    <x v="135"/>
    <m/>
    <x v="7"/>
    <x v="0"/>
    <x v="0"/>
    <x v="18"/>
    <m/>
    <s v="ERRAEZ VEGA KARLA ALEXANDRA"/>
    <m/>
    <m/>
    <m/>
    <m/>
    <m/>
    <m/>
    <m/>
    <x v="12"/>
    <s v="SIGMA"/>
    <m/>
    <m/>
    <m/>
    <n v="2043.84"/>
    <m/>
    <m/>
    <m/>
    <m/>
    <m/>
    <m/>
    <m/>
    <m/>
    <m/>
  </r>
  <r>
    <x v="135"/>
    <m/>
    <x v="7"/>
    <x v="0"/>
    <x v="0"/>
    <x v="10"/>
    <m/>
    <s v="SANCAN CHAVEZ ERIKA ZORAIDA"/>
    <m/>
    <m/>
    <m/>
    <m/>
    <m/>
    <m/>
    <m/>
    <x v="1"/>
    <s v="3D"/>
    <m/>
    <m/>
    <m/>
    <n v="491.67"/>
    <m/>
    <m/>
    <m/>
    <m/>
    <m/>
    <m/>
    <m/>
    <m/>
    <m/>
  </r>
  <r>
    <x v="135"/>
    <m/>
    <x v="7"/>
    <x v="0"/>
    <x v="0"/>
    <x v="10"/>
    <m/>
    <s v="TORRES PANCHO JOSE ANTONIO"/>
    <m/>
    <m/>
    <m/>
    <m/>
    <m/>
    <m/>
    <m/>
    <x v="5"/>
    <s v="Pro 30"/>
    <m/>
    <m/>
    <m/>
    <n v="971.65"/>
    <m/>
    <m/>
    <m/>
    <m/>
    <m/>
    <m/>
    <m/>
    <m/>
    <m/>
  </r>
  <r>
    <x v="135"/>
    <m/>
    <x v="7"/>
    <x v="0"/>
    <x v="0"/>
    <x v="9"/>
    <m/>
    <s v="CEVALLOS LOAIZA MIGUEL HONORIO"/>
    <m/>
    <m/>
    <m/>
    <m/>
    <m/>
    <m/>
    <m/>
    <x v="1"/>
    <s v="Experience"/>
    <m/>
    <m/>
    <m/>
    <n v="9611.56"/>
    <m/>
    <m/>
    <m/>
    <m/>
    <m/>
    <m/>
    <m/>
    <m/>
    <m/>
  </r>
  <r>
    <x v="135"/>
    <m/>
    <x v="7"/>
    <x v="0"/>
    <x v="1"/>
    <x v="14"/>
    <m/>
    <s v="CARMEN ROSA TOMALA RUIZ"/>
    <m/>
    <m/>
    <m/>
    <m/>
    <m/>
    <m/>
    <m/>
    <x v="7"/>
    <s v="CONFIPLUS"/>
    <m/>
    <n v="318.37"/>
    <m/>
    <n v="3801.4328358208959"/>
    <m/>
    <m/>
    <m/>
    <m/>
    <m/>
    <m/>
    <m/>
    <m/>
    <m/>
  </r>
  <r>
    <x v="135"/>
    <m/>
    <x v="7"/>
    <x v="0"/>
    <x v="1"/>
    <x v="6"/>
    <m/>
    <s v="THALIA IDALIA FLORENCIA MENDOZA"/>
    <m/>
    <m/>
    <m/>
    <m/>
    <m/>
    <m/>
    <m/>
    <x v="3"/>
    <s v="MASTER 75000"/>
    <m/>
    <n v="94.93"/>
    <m/>
    <n v="1133.4925373134331"/>
    <m/>
    <m/>
    <m/>
    <m/>
    <m/>
    <m/>
    <m/>
    <m/>
    <m/>
  </r>
  <r>
    <x v="136"/>
    <m/>
    <x v="7"/>
    <x v="3"/>
    <x v="0"/>
    <x v="18"/>
    <m/>
    <s v="DOMACCIN AROS ELBA ORFELIA"/>
    <m/>
    <m/>
    <m/>
    <m/>
    <m/>
    <m/>
    <m/>
    <x v="2"/>
    <s v="GMM"/>
    <m/>
    <m/>
    <m/>
    <m/>
    <m/>
    <m/>
    <m/>
    <m/>
    <m/>
    <m/>
    <m/>
    <m/>
    <m/>
  </r>
  <r>
    <x v="136"/>
    <m/>
    <x v="7"/>
    <x v="0"/>
    <x v="0"/>
    <x v="18"/>
    <m/>
    <s v="SANCHEZ BUSTAMANTE BIZMARCK FEDERICO"/>
    <m/>
    <m/>
    <m/>
    <m/>
    <m/>
    <m/>
    <m/>
    <x v="1"/>
    <s v="5D"/>
    <m/>
    <m/>
    <m/>
    <n v="5168.76"/>
    <m/>
    <m/>
    <m/>
    <m/>
    <m/>
    <m/>
    <m/>
    <m/>
    <m/>
  </r>
  <r>
    <x v="136"/>
    <m/>
    <x v="7"/>
    <x v="0"/>
    <x v="0"/>
    <x v="8"/>
    <m/>
    <s v="NOTTBOHM COELLO MELISSA"/>
    <m/>
    <m/>
    <m/>
    <m/>
    <m/>
    <m/>
    <m/>
    <x v="1"/>
    <s v="SKY 50K PLUS - 100"/>
    <m/>
    <m/>
    <m/>
    <n v="2443.02"/>
    <m/>
    <m/>
    <m/>
    <m/>
    <m/>
    <m/>
    <m/>
    <m/>
    <m/>
  </r>
  <r>
    <x v="137"/>
    <m/>
    <x v="7"/>
    <x v="0"/>
    <x v="0"/>
    <x v="18"/>
    <m/>
    <s v="CHOEZ GONZALEZ JENNY MIRIAM"/>
    <m/>
    <m/>
    <m/>
    <m/>
    <m/>
    <m/>
    <m/>
    <x v="1"/>
    <s v="5D"/>
    <m/>
    <m/>
    <m/>
    <n v="904.07"/>
    <m/>
    <m/>
    <m/>
    <m/>
    <m/>
    <m/>
    <m/>
    <m/>
    <m/>
  </r>
  <r>
    <x v="137"/>
    <m/>
    <x v="7"/>
    <x v="0"/>
    <x v="0"/>
    <x v="9"/>
    <m/>
    <s v="ARAY PLAZA ANDRES"/>
    <m/>
    <m/>
    <m/>
    <m/>
    <m/>
    <m/>
    <m/>
    <x v="1"/>
    <s v="STAR 30K - 90"/>
    <m/>
    <m/>
    <m/>
    <n v="1019.06"/>
    <m/>
    <m/>
    <m/>
    <m/>
    <m/>
    <m/>
    <m/>
    <m/>
    <m/>
  </r>
  <r>
    <x v="137"/>
    <m/>
    <x v="7"/>
    <x v="0"/>
    <x v="1"/>
    <x v="14"/>
    <n v="4197294"/>
    <s v="VERONICA MONSERRATE ESCALANTE AMAIQUEMA"/>
    <m/>
    <m/>
    <m/>
    <m/>
    <m/>
    <m/>
    <s v="NO"/>
    <x v="1"/>
    <s v="STAR 30K - 90"/>
    <m/>
    <n v="98.61"/>
    <m/>
    <n v="1183.32"/>
    <m/>
    <m/>
    <m/>
    <m/>
    <m/>
    <m/>
    <m/>
    <m/>
    <m/>
  </r>
  <r>
    <x v="137"/>
    <m/>
    <x v="7"/>
    <x v="0"/>
    <x v="1"/>
    <x v="3"/>
    <m/>
    <s v="ARTURO JAVIER FAGGIONI MARTINEZ"/>
    <m/>
    <m/>
    <m/>
    <m/>
    <m/>
    <m/>
    <m/>
    <x v="3"/>
    <s v="JR 20K"/>
    <m/>
    <n v="217.38"/>
    <m/>
    <n v="2595.5820895522388"/>
    <m/>
    <m/>
    <m/>
    <m/>
    <m/>
    <m/>
    <m/>
    <m/>
    <m/>
  </r>
  <r>
    <x v="138"/>
    <m/>
    <x v="7"/>
    <x v="3"/>
    <x v="0"/>
    <x v="13"/>
    <m/>
    <s v="SANCHEZ LEON ELIAS BENJAMIN"/>
    <m/>
    <m/>
    <m/>
    <m/>
    <m/>
    <m/>
    <m/>
    <x v="1"/>
    <n v="4"/>
    <m/>
    <m/>
    <m/>
    <m/>
    <m/>
    <m/>
    <m/>
    <m/>
    <m/>
    <m/>
    <m/>
    <m/>
    <m/>
  </r>
  <r>
    <x v="138"/>
    <m/>
    <x v="7"/>
    <x v="3"/>
    <x v="0"/>
    <x v="13"/>
    <m/>
    <s v="SANCHEZ LEON ELIAS BENJAMIN"/>
    <m/>
    <m/>
    <m/>
    <m/>
    <m/>
    <m/>
    <m/>
    <x v="1"/>
    <s v="5D"/>
    <m/>
    <m/>
    <m/>
    <m/>
    <m/>
    <m/>
    <m/>
    <m/>
    <m/>
    <m/>
    <m/>
    <m/>
    <m/>
  </r>
  <r>
    <x v="138"/>
    <m/>
    <x v="7"/>
    <x v="0"/>
    <x v="0"/>
    <x v="2"/>
    <m/>
    <s v="MOSQUERA VARGAS ROBERTO FERNANDO"/>
    <m/>
    <m/>
    <m/>
    <m/>
    <m/>
    <m/>
    <m/>
    <x v="3"/>
    <s v="PLAN JUNIOR 20.000"/>
    <m/>
    <m/>
    <m/>
    <n v="1626.71"/>
    <m/>
    <m/>
    <m/>
    <m/>
    <m/>
    <m/>
    <m/>
    <m/>
    <m/>
  </r>
  <r>
    <x v="138"/>
    <m/>
    <x v="7"/>
    <x v="0"/>
    <x v="1"/>
    <x v="14"/>
    <s v="GM24G48337"/>
    <s v="CARMEN ROSA TOMALA RUIZ"/>
    <m/>
    <m/>
    <m/>
    <m/>
    <m/>
    <m/>
    <m/>
    <x v="2"/>
    <s v="GMM"/>
    <m/>
    <n v="61.35"/>
    <m/>
    <n v="667.53731343283596"/>
    <m/>
    <m/>
    <m/>
    <m/>
    <m/>
    <m/>
    <m/>
    <m/>
    <m/>
  </r>
  <r>
    <x v="139"/>
    <m/>
    <x v="7"/>
    <x v="0"/>
    <x v="0"/>
    <x v="1"/>
    <m/>
    <s v="LEANDRO STALIN BAJAÑA ZAMBRANO"/>
    <m/>
    <m/>
    <m/>
    <m/>
    <m/>
    <m/>
    <m/>
    <x v="10"/>
    <s v="BEST INDEXED NASDAQ 250.000"/>
    <m/>
    <m/>
    <m/>
    <n v="2497.5"/>
    <m/>
    <m/>
    <m/>
    <m/>
    <m/>
    <m/>
    <m/>
    <m/>
    <m/>
  </r>
  <r>
    <x v="139"/>
    <m/>
    <x v="7"/>
    <x v="0"/>
    <x v="0"/>
    <x v="1"/>
    <m/>
    <s v="JOSSELYN MARGOTH PIZARRO ECHEVERRIA"/>
    <m/>
    <m/>
    <m/>
    <m/>
    <m/>
    <m/>
    <m/>
    <x v="10"/>
    <s v="BEST INDEXED NASDAQ 250.001"/>
    <m/>
    <m/>
    <m/>
    <n v="1635"/>
    <m/>
    <m/>
    <m/>
    <m/>
    <m/>
    <m/>
    <m/>
    <m/>
    <m/>
  </r>
  <r>
    <x v="139"/>
    <m/>
    <x v="7"/>
    <x v="0"/>
    <x v="0"/>
    <x v="2"/>
    <m/>
    <s v="MERA MERO PAOLA IDALINA"/>
    <m/>
    <m/>
    <m/>
    <m/>
    <m/>
    <m/>
    <m/>
    <x v="1"/>
    <s v="STAR 15K - 70"/>
    <m/>
    <m/>
    <m/>
    <n v="828.61"/>
    <m/>
    <m/>
    <m/>
    <m/>
    <m/>
    <m/>
    <m/>
    <m/>
    <m/>
  </r>
  <r>
    <x v="139"/>
    <m/>
    <x v="7"/>
    <x v="0"/>
    <x v="0"/>
    <x v="32"/>
    <m/>
    <s v="ROSERO VELASCO FERNANDA PAOLA"/>
    <m/>
    <m/>
    <m/>
    <m/>
    <m/>
    <m/>
    <m/>
    <x v="1"/>
    <s v="RESPALDO TOTAL PLUS"/>
    <m/>
    <m/>
    <m/>
    <n v="582.04999999999995"/>
    <m/>
    <m/>
    <m/>
    <m/>
    <m/>
    <m/>
    <m/>
    <m/>
    <m/>
  </r>
  <r>
    <x v="140"/>
    <m/>
    <x v="7"/>
    <x v="0"/>
    <x v="0"/>
    <x v="32"/>
    <m/>
    <s v="RAUL FERNANDO ALBAN ROBALINO"/>
    <m/>
    <m/>
    <m/>
    <m/>
    <m/>
    <m/>
    <m/>
    <x v="10"/>
    <s v="BEST INDEXED NASDAQ 150.001"/>
    <m/>
    <m/>
    <m/>
    <n v="2735"/>
    <m/>
    <m/>
    <m/>
    <m/>
    <m/>
    <m/>
    <m/>
    <m/>
    <m/>
  </r>
  <r>
    <x v="141"/>
    <d v="2024-08-25T00:00:00"/>
    <x v="7"/>
    <x v="0"/>
    <x v="1"/>
    <x v="3"/>
    <s v="46143-1"/>
    <s v="LUIGGI LEONARDO MOREIRA ESPINOZA"/>
    <m/>
    <m/>
    <m/>
    <m/>
    <m/>
    <m/>
    <m/>
    <x v="7"/>
    <s v="CONFIPLUS"/>
    <m/>
    <n v="37.28"/>
    <m/>
    <n v="445.13432835820902"/>
    <m/>
    <m/>
    <m/>
    <m/>
    <m/>
    <m/>
    <m/>
    <m/>
    <m/>
  </r>
  <r>
    <x v="141"/>
    <m/>
    <x v="7"/>
    <x v="0"/>
    <x v="1"/>
    <x v="30"/>
    <m/>
    <s v="PEDRO VICENTE MENDOZA ZAMBRANO"/>
    <m/>
    <n v="1310497191"/>
    <m/>
    <m/>
    <m/>
    <m/>
    <m/>
    <x v="3"/>
    <s v="JR 20K"/>
    <m/>
    <n v="200.97"/>
    <m/>
    <n v="2399.6417910447763"/>
    <m/>
    <m/>
    <m/>
    <m/>
    <m/>
    <m/>
    <m/>
    <m/>
    <m/>
  </r>
  <r>
    <x v="142"/>
    <m/>
    <x v="7"/>
    <x v="0"/>
    <x v="0"/>
    <x v="13"/>
    <m/>
    <s v="RUEDA VERZOLA PABLO ANTONIO"/>
    <m/>
    <m/>
    <m/>
    <m/>
    <m/>
    <m/>
    <m/>
    <x v="3"/>
    <s v="PLAN JUNIOR 20.000"/>
    <m/>
    <m/>
    <m/>
    <n v="795.08"/>
    <m/>
    <m/>
    <m/>
    <m/>
    <m/>
    <m/>
    <m/>
    <m/>
    <m/>
  </r>
  <r>
    <x v="142"/>
    <m/>
    <x v="7"/>
    <x v="0"/>
    <x v="0"/>
    <x v="4"/>
    <m/>
    <s v="CASTRO PERALTA YOMAYRA ELIZBETH"/>
    <m/>
    <m/>
    <m/>
    <m/>
    <m/>
    <m/>
    <m/>
    <x v="1"/>
    <m/>
    <m/>
    <m/>
    <m/>
    <n v="1452.24"/>
    <m/>
    <m/>
    <m/>
    <m/>
    <m/>
    <m/>
    <m/>
    <m/>
    <m/>
  </r>
  <r>
    <x v="142"/>
    <m/>
    <x v="7"/>
    <x v="0"/>
    <x v="1"/>
    <x v="14"/>
    <n v="4197700"/>
    <s v="DARLIN OMAR CABELLO ANDRADE"/>
    <s v="TITULAR +2"/>
    <n v="915653356"/>
    <n v="985935497"/>
    <m/>
    <m/>
    <m/>
    <s v="NO"/>
    <x v="1"/>
    <s v="SKY 70 PLUS"/>
    <m/>
    <n v="323.72000000000003"/>
    <m/>
    <n v="3884.6400000000003"/>
    <m/>
    <m/>
    <m/>
    <m/>
    <m/>
    <m/>
    <m/>
    <m/>
    <m/>
  </r>
  <r>
    <x v="142"/>
    <m/>
    <x v="7"/>
    <x v="0"/>
    <x v="1"/>
    <x v="23"/>
    <m/>
    <s v="ANA BELEN GALLARDO SALVADOR"/>
    <s v="JANNINA ISABELA OREJUELA GALLARDO"/>
    <n v="1717199903"/>
    <m/>
    <m/>
    <m/>
    <m/>
    <m/>
    <x v="3"/>
    <m/>
    <m/>
    <n v="61.31"/>
    <m/>
    <n v="732.05970149253744"/>
    <m/>
    <m/>
    <m/>
    <m/>
    <m/>
    <m/>
    <m/>
    <m/>
    <m/>
  </r>
  <r>
    <x v="142"/>
    <m/>
    <x v="7"/>
    <x v="0"/>
    <x v="1"/>
    <x v="23"/>
    <m/>
    <s v="ANA BELEN GALLARDO SALVADOR"/>
    <s v="EDUARDO OREJUELA GALLARDO"/>
    <n v="1717199903"/>
    <m/>
    <m/>
    <m/>
    <m/>
    <m/>
    <x v="3"/>
    <m/>
    <m/>
    <n v="61.31"/>
    <m/>
    <n v="732.05970149253744"/>
    <m/>
    <m/>
    <m/>
    <m/>
    <m/>
    <m/>
    <m/>
    <m/>
    <m/>
  </r>
  <r>
    <x v="143"/>
    <m/>
    <x v="7"/>
    <x v="0"/>
    <x v="0"/>
    <x v="13"/>
    <m/>
    <s v="ALBAN VILLAFUERTE MARIA LAURA"/>
    <m/>
    <m/>
    <m/>
    <m/>
    <m/>
    <m/>
    <m/>
    <x v="1"/>
    <s v="SKY 70K PLUS - 200"/>
    <m/>
    <m/>
    <m/>
    <n v="2093.54"/>
    <m/>
    <m/>
    <m/>
    <m/>
    <m/>
    <m/>
    <m/>
    <m/>
    <m/>
  </r>
  <r>
    <x v="143"/>
    <m/>
    <x v="7"/>
    <x v="0"/>
    <x v="0"/>
    <x v="13"/>
    <m/>
    <s v="MARRIOTT CRESPO XAVIERA ARIANA"/>
    <m/>
    <m/>
    <m/>
    <m/>
    <m/>
    <m/>
    <m/>
    <x v="1"/>
    <s v="EXPERIENCE WORLD 3.0 3M - 500-5000 D5K"/>
    <m/>
    <m/>
    <m/>
    <n v="3346.28"/>
    <m/>
    <m/>
    <m/>
    <m/>
    <m/>
    <m/>
    <m/>
    <m/>
    <m/>
  </r>
  <r>
    <x v="144"/>
    <m/>
    <x v="7"/>
    <x v="0"/>
    <x v="0"/>
    <x v="18"/>
    <m/>
    <s v="CHANG ALAVA NELLY ROCIO"/>
    <m/>
    <m/>
    <m/>
    <m/>
    <m/>
    <m/>
    <m/>
    <x v="1"/>
    <s v="5D"/>
    <m/>
    <m/>
    <m/>
    <n v="2456.5100000000002"/>
    <m/>
    <m/>
    <m/>
    <m/>
    <m/>
    <m/>
    <m/>
    <m/>
    <m/>
  </r>
  <r>
    <x v="144"/>
    <m/>
    <x v="7"/>
    <x v="0"/>
    <x v="0"/>
    <x v="32"/>
    <m/>
    <s v="MITE RUBIO ANGEL HUMBERTO"/>
    <m/>
    <m/>
    <m/>
    <m/>
    <m/>
    <m/>
    <m/>
    <x v="1"/>
    <s v="SKY 50K PLUS - 100"/>
    <m/>
    <m/>
    <m/>
    <n v="1275.4100000000001"/>
    <m/>
    <m/>
    <m/>
    <m/>
    <m/>
    <m/>
    <m/>
    <m/>
    <m/>
  </r>
  <r>
    <x v="144"/>
    <m/>
    <x v="7"/>
    <x v="0"/>
    <x v="1"/>
    <x v="17"/>
    <m/>
    <s v="ELISA ANDREA NIETO AGUILAR"/>
    <m/>
    <m/>
    <m/>
    <m/>
    <m/>
    <m/>
    <m/>
    <x v="3"/>
    <s v="SUPREMO"/>
    <m/>
    <n v="153.66999999999999"/>
    <m/>
    <n v="1834.8656716417911"/>
    <m/>
    <m/>
    <m/>
    <m/>
    <m/>
    <m/>
    <m/>
    <m/>
    <m/>
  </r>
  <r>
    <x v="144"/>
    <m/>
    <x v="7"/>
    <x v="0"/>
    <x v="1"/>
    <x v="22"/>
    <n v="34619"/>
    <s v="JAVIER AUGUSTO SEGOVIA OBREGON"/>
    <m/>
    <m/>
    <m/>
    <m/>
    <m/>
    <m/>
    <m/>
    <x v="5"/>
    <s v="ASISPRO 20"/>
    <m/>
    <n v="63.48"/>
    <m/>
    <n v="698.86238532110087"/>
    <m/>
    <m/>
    <m/>
    <m/>
    <m/>
    <m/>
    <m/>
    <m/>
    <m/>
  </r>
  <r>
    <x v="145"/>
    <m/>
    <x v="7"/>
    <x v="0"/>
    <x v="1"/>
    <x v="29"/>
    <m/>
    <s v="VIVIANA ELIZABETH GUERRERO ALONSO"/>
    <s v="EMMA ISABELLA ANDRADE GUERRERO"/>
    <n v="995049522"/>
    <m/>
    <m/>
    <m/>
    <m/>
    <m/>
    <x v="7"/>
    <s v="CONFIPLUS"/>
    <m/>
    <n v="84.71"/>
    <m/>
    <n v="1011.4626865671643"/>
    <m/>
    <m/>
    <m/>
    <m/>
    <m/>
    <m/>
    <m/>
    <m/>
    <m/>
  </r>
  <r>
    <x v="145"/>
    <d v="2024-09-01T00:00:00"/>
    <x v="7"/>
    <x v="0"/>
    <x v="1"/>
    <x v="15"/>
    <s v="GM24G48552"/>
    <s v="MARIA ELISA BELTRAN"/>
    <m/>
    <n v="905620787"/>
    <m/>
    <m/>
    <m/>
    <m/>
    <m/>
    <x v="2"/>
    <s v="GMM"/>
    <m/>
    <n v="183.72"/>
    <m/>
    <n v="2128.6716417910447"/>
    <m/>
    <m/>
    <m/>
    <m/>
    <m/>
    <m/>
    <m/>
    <m/>
    <m/>
  </r>
  <r>
    <x v="146"/>
    <d v="2024-08-30T00:00:00"/>
    <x v="7"/>
    <x v="0"/>
    <x v="2"/>
    <x v="36"/>
    <n v="46189"/>
    <s v="TACURY OTERO CARLOS ALBERTO"/>
    <m/>
    <n v="1100378122"/>
    <m/>
    <m/>
    <m/>
    <m/>
    <m/>
    <x v="7"/>
    <s v="CONFIPLUS"/>
    <m/>
    <n v="188.05"/>
    <m/>
    <n v="2245.3731343283589"/>
    <m/>
    <m/>
    <m/>
    <m/>
    <m/>
    <m/>
    <m/>
    <m/>
    <m/>
  </r>
  <r>
    <x v="146"/>
    <m/>
    <x v="7"/>
    <x v="0"/>
    <x v="0"/>
    <x v="18"/>
    <m/>
    <s v="BRAVO ROMERO ELIANA ELIZABETH"/>
    <m/>
    <m/>
    <m/>
    <m/>
    <m/>
    <m/>
    <m/>
    <x v="3"/>
    <s v="PLAN JUNIOR 20.000"/>
    <m/>
    <m/>
    <m/>
    <n v="772.88"/>
    <m/>
    <m/>
    <m/>
    <m/>
    <m/>
    <m/>
    <m/>
    <m/>
    <m/>
  </r>
  <r>
    <x v="146"/>
    <m/>
    <x v="7"/>
    <x v="0"/>
    <x v="0"/>
    <x v="18"/>
    <m/>
    <s v="UVIDIA CORTEZ JERARDINE ROSAURA"/>
    <m/>
    <m/>
    <m/>
    <m/>
    <m/>
    <m/>
    <m/>
    <x v="1"/>
    <s v="5D"/>
    <m/>
    <m/>
    <m/>
    <n v="903.6"/>
    <m/>
    <m/>
    <m/>
    <m/>
    <m/>
    <m/>
    <m/>
    <m/>
    <m/>
  </r>
  <r>
    <x v="146"/>
    <m/>
    <x v="7"/>
    <x v="0"/>
    <x v="0"/>
    <x v="4"/>
    <m/>
    <s v="PEÑA CUERVO DAMARYS DEL CARMEN"/>
    <m/>
    <m/>
    <m/>
    <m/>
    <m/>
    <m/>
    <m/>
    <x v="3"/>
    <s v="PLAN GRUPAL 20.000"/>
    <m/>
    <m/>
    <m/>
    <n v="2697.96"/>
    <m/>
    <m/>
    <m/>
    <m/>
    <m/>
    <m/>
    <m/>
    <m/>
    <m/>
  </r>
  <r>
    <x v="146"/>
    <m/>
    <x v="7"/>
    <x v="0"/>
    <x v="1"/>
    <x v="12"/>
    <m/>
    <s v="WENDY JANELA ROMAN PATIÑO"/>
    <s v="TITULAR +1"/>
    <n v="703490953"/>
    <m/>
    <m/>
    <m/>
    <m/>
    <m/>
    <x v="11"/>
    <s v="PLAN 70"/>
    <m/>
    <n v="72.95"/>
    <m/>
    <n v="871.0447761194032"/>
    <m/>
    <m/>
    <m/>
    <m/>
    <m/>
    <m/>
    <m/>
    <m/>
    <m/>
  </r>
  <r>
    <x v="146"/>
    <m/>
    <x v="7"/>
    <x v="0"/>
    <x v="1"/>
    <x v="12"/>
    <m/>
    <s v="YADIRA CECILIA ROMAN PATIÑO"/>
    <m/>
    <n v="703492413"/>
    <m/>
    <m/>
    <m/>
    <m/>
    <m/>
    <x v="11"/>
    <s v="PLAN 70"/>
    <m/>
    <n v="41.76"/>
    <m/>
    <n v="498.62686567164184"/>
    <m/>
    <m/>
    <m/>
    <m/>
    <m/>
    <m/>
    <m/>
    <m/>
    <m/>
  </r>
  <r>
    <x v="147"/>
    <d v="2024-09-04T00:00:00"/>
    <x v="8"/>
    <x v="0"/>
    <x v="2"/>
    <x v="36"/>
    <n v="46287"/>
    <s v="MARIA ABIGAIL COLINA VILLENA"/>
    <m/>
    <n v="966948572"/>
    <m/>
    <m/>
    <m/>
    <m/>
    <m/>
    <x v="7"/>
    <s v="CONFIPLUS"/>
    <m/>
    <n v="64.58"/>
    <m/>
    <n v="771.10447761194041"/>
    <m/>
    <m/>
    <m/>
    <m/>
    <m/>
    <m/>
    <m/>
    <m/>
    <m/>
  </r>
  <r>
    <x v="147"/>
    <m/>
    <x v="8"/>
    <x v="0"/>
    <x v="0"/>
    <x v="34"/>
    <m/>
    <s v="TORRES LOPEZ MARTHA ELISA"/>
    <m/>
    <m/>
    <m/>
    <m/>
    <m/>
    <m/>
    <m/>
    <x v="2"/>
    <s v="GMM"/>
    <m/>
    <m/>
    <m/>
    <n v="964.67"/>
    <m/>
    <m/>
    <m/>
    <m/>
    <m/>
    <m/>
    <m/>
    <m/>
    <m/>
  </r>
  <r>
    <x v="148"/>
    <m/>
    <x v="8"/>
    <x v="0"/>
    <x v="0"/>
    <x v="13"/>
    <m/>
    <s v="RUIZ CARDENAS DIEGO ERNESTO"/>
    <m/>
    <m/>
    <m/>
    <m/>
    <m/>
    <m/>
    <m/>
    <x v="3"/>
    <s v="PLAN SENIOR 45.000"/>
    <m/>
    <m/>
    <m/>
    <n v="900.28"/>
    <m/>
    <m/>
    <m/>
    <m/>
    <m/>
    <m/>
    <m/>
    <m/>
    <m/>
  </r>
  <r>
    <x v="148"/>
    <m/>
    <x v="8"/>
    <x v="0"/>
    <x v="0"/>
    <x v="11"/>
    <m/>
    <s v="PEREZ RAMOS WILBERT ARTURO"/>
    <m/>
    <m/>
    <m/>
    <m/>
    <m/>
    <m/>
    <m/>
    <x v="1"/>
    <s v="RESPALDO TOTAL PLUS"/>
    <m/>
    <m/>
    <m/>
    <n v="1093.92"/>
    <m/>
    <m/>
    <m/>
    <m/>
    <m/>
    <m/>
    <m/>
    <m/>
    <m/>
  </r>
  <r>
    <x v="148"/>
    <d v="2024-03-01T00:00:00"/>
    <x v="8"/>
    <x v="0"/>
    <x v="1"/>
    <x v="29"/>
    <m/>
    <s v="VANON S.A."/>
    <m/>
    <m/>
    <m/>
    <m/>
    <m/>
    <s v="WENDY JAZMINE ALVARADO SALAS"/>
    <m/>
    <x v="1"/>
    <s v="POOL"/>
    <m/>
    <m/>
    <m/>
    <n v="5468.6"/>
    <m/>
    <m/>
    <m/>
    <m/>
    <m/>
    <m/>
    <m/>
    <m/>
    <m/>
  </r>
  <r>
    <x v="149"/>
    <d v="2024-09-16T00:00:00"/>
    <x v="8"/>
    <x v="0"/>
    <x v="1"/>
    <x v="29"/>
    <n v="4198736"/>
    <s v="ADRIANA CRISTINA JARRIN ASPIAZU"/>
    <m/>
    <m/>
    <m/>
    <m/>
    <m/>
    <m/>
    <m/>
    <x v="1"/>
    <s v="5D"/>
    <m/>
    <n v="78.5"/>
    <m/>
    <n v="942"/>
    <m/>
    <m/>
    <m/>
    <m/>
    <m/>
    <m/>
    <m/>
    <m/>
    <m/>
  </r>
  <r>
    <x v="149"/>
    <d v="2024-09-09T00:00:00"/>
    <x v="8"/>
    <x v="0"/>
    <x v="1"/>
    <x v="37"/>
    <n v="4198721"/>
    <s v="WENDY JAZMIN ALVARADO SALAS"/>
    <m/>
    <m/>
    <m/>
    <m/>
    <m/>
    <m/>
    <m/>
    <x v="1"/>
    <s v="DENTAL MASTER"/>
    <m/>
    <n v="13.86"/>
    <m/>
    <n v="166.32"/>
    <m/>
    <m/>
    <m/>
    <m/>
    <m/>
    <m/>
    <m/>
    <m/>
    <m/>
  </r>
  <r>
    <x v="149"/>
    <m/>
    <x v="8"/>
    <x v="0"/>
    <x v="1"/>
    <x v="23"/>
    <m/>
    <s v="ANDREA STEFANIA DUEÑAS CABEZAS"/>
    <s v="EMMA GUILLEN DUEÑAS"/>
    <n v="923597009"/>
    <m/>
    <m/>
    <m/>
    <m/>
    <m/>
    <x v="3"/>
    <s v="SUPREMO"/>
    <m/>
    <n v="228.57"/>
    <m/>
    <n v="2729.1940298507466"/>
    <m/>
    <m/>
    <m/>
    <m/>
    <m/>
    <m/>
    <m/>
    <m/>
    <m/>
  </r>
  <r>
    <x v="149"/>
    <m/>
    <x v="8"/>
    <x v="0"/>
    <x v="1"/>
    <x v="19"/>
    <m/>
    <s v="IRMA ITATI CARBO BERMUDEZ"/>
    <m/>
    <n v="931537419"/>
    <m/>
    <m/>
    <m/>
    <m/>
    <m/>
    <x v="3"/>
    <m/>
    <m/>
    <n v="86"/>
    <m/>
    <n v="1026.8656716417911"/>
    <m/>
    <m/>
    <m/>
    <m/>
    <m/>
    <m/>
    <m/>
    <m/>
    <m/>
  </r>
  <r>
    <x v="149"/>
    <m/>
    <x v="8"/>
    <x v="0"/>
    <x v="1"/>
    <x v="19"/>
    <m/>
    <s v="IRMA ITATI CARBO BERMUDEZ"/>
    <m/>
    <n v="931537419"/>
    <m/>
    <m/>
    <m/>
    <m/>
    <m/>
    <x v="2"/>
    <m/>
    <m/>
    <m/>
    <n v="312.12"/>
    <n v="245.56716417910451"/>
    <m/>
    <m/>
    <m/>
    <m/>
    <m/>
    <m/>
    <m/>
    <m/>
    <m/>
  </r>
  <r>
    <x v="150"/>
    <d v="2024-09-10T00:00:00"/>
    <x v="8"/>
    <x v="0"/>
    <x v="2"/>
    <x v="36"/>
    <n v="46348"/>
    <s v="REBECA APOLONIA PEREZ RIZO"/>
    <s v="MIA RAPHAELA CEDEÑO PEREZ"/>
    <n v="1206184580"/>
    <m/>
    <m/>
    <m/>
    <m/>
    <m/>
    <x v="7"/>
    <s v="CONFIPLUS"/>
    <m/>
    <n v="76.89"/>
    <m/>
    <n v="918.08955223880616"/>
    <m/>
    <m/>
    <m/>
    <m/>
    <m/>
    <m/>
    <m/>
    <m/>
    <m/>
  </r>
  <r>
    <x v="150"/>
    <d v="2024-09-10T00:00:00"/>
    <x v="8"/>
    <x v="0"/>
    <x v="1"/>
    <x v="14"/>
    <n v="4198826"/>
    <s v="GINO EDUARDO LASCANO VERA"/>
    <m/>
    <m/>
    <m/>
    <m/>
    <m/>
    <m/>
    <m/>
    <x v="1"/>
    <s v="PRO 150K - 150"/>
    <m/>
    <n v="269.27999999999997"/>
    <m/>
    <n v="3231.3599999999997"/>
    <m/>
    <m/>
    <m/>
    <m/>
    <m/>
    <m/>
    <m/>
    <m/>
    <m/>
  </r>
  <r>
    <x v="151"/>
    <m/>
    <x v="8"/>
    <x v="0"/>
    <x v="0"/>
    <x v="18"/>
    <m/>
    <s v="HEIDY JOCKSABELL ALVAREZ CABELLO"/>
    <m/>
    <m/>
    <m/>
    <m/>
    <m/>
    <m/>
    <m/>
    <x v="7"/>
    <m/>
    <m/>
    <m/>
    <m/>
    <n v="1540.45"/>
    <m/>
    <m/>
    <m/>
    <m/>
    <m/>
    <m/>
    <m/>
    <m/>
    <m/>
  </r>
  <r>
    <x v="151"/>
    <m/>
    <x v="8"/>
    <x v="0"/>
    <x v="0"/>
    <x v="32"/>
    <m/>
    <s v="SANCHEZ MANTILLA OMAR EUCLIDES"/>
    <m/>
    <m/>
    <m/>
    <m/>
    <m/>
    <m/>
    <m/>
    <x v="1"/>
    <m/>
    <m/>
    <m/>
    <m/>
    <n v="7540.57"/>
    <m/>
    <m/>
    <m/>
    <m/>
    <m/>
    <m/>
    <m/>
    <m/>
    <m/>
  </r>
  <r>
    <x v="152"/>
    <m/>
    <x v="8"/>
    <x v="0"/>
    <x v="0"/>
    <x v="13"/>
    <m/>
    <s v="DIAZ MEZA KAREN ELVIRA"/>
    <m/>
    <m/>
    <m/>
    <m/>
    <m/>
    <m/>
    <m/>
    <x v="1"/>
    <s v="STAR 30K - 90"/>
    <m/>
    <m/>
    <m/>
    <n v="1219.05"/>
    <m/>
    <m/>
    <m/>
    <m/>
    <m/>
    <m/>
    <m/>
    <m/>
    <m/>
  </r>
  <r>
    <x v="152"/>
    <m/>
    <x v="8"/>
    <x v="0"/>
    <x v="0"/>
    <x v="10"/>
    <m/>
    <s v="MENDOZA EUGENIO JOEL ROGELIO"/>
    <m/>
    <m/>
    <m/>
    <m/>
    <m/>
    <m/>
    <m/>
    <x v="5"/>
    <s v="ASISPRO 50"/>
    <m/>
    <m/>
    <m/>
    <n v="925.76"/>
    <m/>
    <m/>
    <m/>
    <m/>
    <m/>
    <m/>
    <m/>
    <m/>
    <m/>
  </r>
  <r>
    <x v="152"/>
    <m/>
    <x v="8"/>
    <x v="0"/>
    <x v="0"/>
    <x v="2"/>
    <m/>
    <s v="ASPIAZU FRANCO PIERINA STEPHANIA"/>
    <m/>
    <m/>
    <m/>
    <m/>
    <m/>
    <m/>
    <m/>
    <x v="1"/>
    <s v="STAR 15K LITE"/>
    <m/>
    <m/>
    <m/>
    <n v="559.25"/>
    <m/>
    <m/>
    <m/>
    <m/>
    <m/>
    <m/>
    <m/>
    <m/>
    <m/>
  </r>
  <r>
    <x v="152"/>
    <m/>
    <x v="8"/>
    <x v="0"/>
    <x v="1"/>
    <x v="29"/>
    <n v="34810"/>
    <s v="MARIA FERNANDA CEVALLOS ROSERO"/>
    <s v="TITULAR +1"/>
    <n v="924869001"/>
    <m/>
    <m/>
    <m/>
    <m/>
    <m/>
    <x v="5"/>
    <s v="ASISPRO 20"/>
    <m/>
    <n v="171.97"/>
    <m/>
    <n v="1893.2477064220182"/>
    <m/>
    <m/>
    <m/>
    <m/>
    <m/>
    <m/>
    <m/>
    <m/>
    <m/>
  </r>
  <r>
    <x v="153"/>
    <m/>
    <x v="8"/>
    <x v="0"/>
    <x v="0"/>
    <x v="11"/>
    <m/>
    <s v="EVA BETHSABE ARCE ICAZA "/>
    <m/>
    <m/>
    <m/>
    <m/>
    <m/>
    <m/>
    <m/>
    <x v="6"/>
    <m/>
    <m/>
    <m/>
    <m/>
    <n v="75"/>
    <m/>
    <m/>
    <m/>
    <m/>
    <m/>
    <m/>
    <m/>
    <m/>
    <m/>
  </r>
  <r>
    <x v="154"/>
    <m/>
    <x v="8"/>
    <x v="0"/>
    <x v="0"/>
    <x v="18"/>
    <m/>
    <s v="VANEGAS ANASTACIO VILMA PETITA"/>
    <m/>
    <m/>
    <m/>
    <m/>
    <m/>
    <m/>
    <m/>
    <x v="1"/>
    <s v="STAR 15K LITE"/>
    <m/>
    <m/>
    <m/>
    <n v="1048.67"/>
    <m/>
    <m/>
    <m/>
    <m/>
    <m/>
    <m/>
    <m/>
    <m/>
    <m/>
  </r>
  <r>
    <x v="154"/>
    <m/>
    <x v="8"/>
    <x v="0"/>
    <x v="0"/>
    <x v="4"/>
    <m/>
    <s v="LEON PACHECO XAVIER RAFAEL"/>
    <m/>
    <m/>
    <m/>
    <m/>
    <m/>
    <m/>
    <m/>
    <x v="1"/>
    <s v="SKY 50K PLUS - 100"/>
    <m/>
    <m/>
    <m/>
    <n v="3769.2"/>
    <m/>
    <m/>
    <m/>
    <m/>
    <m/>
    <m/>
    <m/>
    <m/>
    <m/>
  </r>
  <r>
    <x v="154"/>
    <d v="2024-09-16T00:00:00"/>
    <x v="8"/>
    <x v="0"/>
    <x v="1"/>
    <x v="29"/>
    <m/>
    <s v="JULIO CESAR FERNANDEZ ALAVA"/>
    <m/>
    <m/>
    <m/>
    <m/>
    <m/>
    <m/>
    <m/>
    <x v="2"/>
    <s v="GMM"/>
    <m/>
    <n v="42.15"/>
    <m/>
    <n v="503.28358208955223"/>
    <m/>
    <m/>
    <m/>
    <m/>
    <m/>
    <m/>
    <m/>
    <m/>
    <m/>
  </r>
  <r>
    <x v="155"/>
    <m/>
    <x v="8"/>
    <x v="0"/>
    <x v="1"/>
    <x v="24"/>
    <n v="4199267"/>
    <s v="JOSE LUIS HANNA GONZALEZ"/>
    <m/>
    <m/>
    <m/>
    <m/>
    <m/>
    <m/>
    <m/>
    <x v="1"/>
    <s v="EXPERIENCE WORD"/>
    <m/>
    <n v="959.66"/>
    <m/>
    <n v="11515.92"/>
    <m/>
    <m/>
    <m/>
    <m/>
    <m/>
    <m/>
    <m/>
    <m/>
    <m/>
  </r>
  <r>
    <x v="156"/>
    <m/>
    <x v="8"/>
    <x v="0"/>
    <x v="0"/>
    <x v="13"/>
    <m/>
    <s v="GARCIA FLORES ALLAN WIMPER"/>
    <m/>
    <m/>
    <m/>
    <m/>
    <m/>
    <m/>
    <m/>
    <x v="1"/>
    <s v="SKY 50K PLUS - 100"/>
    <m/>
    <m/>
    <m/>
    <n v="1275.4100000000001"/>
    <m/>
    <m/>
    <m/>
    <m/>
    <m/>
    <m/>
    <m/>
    <m/>
    <m/>
  </r>
  <r>
    <x v="156"/>
    <m/>
    <x v="8"/>
    <x v="0"/>
    <x v="1"/>
    <x v="24"/>
    <m/>
    <s v="DIANA ELIZABETH DOMINGUEZ GARZON"/>
    <m/>
    <n v="1203922933"/>
    <m/>
    <m/>
    <m/>
    <m/>
    <m/>
    <x v="2"/>
    <m/>
    <m/>
    <n v="48.33"/>
    <m/>
    <n v="512.07462686567169"/>
    <m/>
    <m/>
    <m/>
    <m/>
    <m/>
    <m/>
    <m/>
    <m/>
    <m/>
  </r>
  <r>
    <x v="156"/>
    <m/>
    <x v="8"/>
    <x v="0"/>
    <x v="1"/>
    <x v="24"/>
    <m/>
    <s v="XAVIR RAUL CASTRO CONTRERAS"/>
    <m/>
    <n v="909004269"/>
    <m/>
    <m/>
    <m/>
    <m/>
    <m/>
    <x v="5"/>
    <s v="ASISKARE 500"/>
    <m/>
    <n v="101.24"/>
    <m/>
    <n v="1114.5688073394494"/>
    <m/>
    <m/>
    <m/>
    <m/>
    <m/>
    <m/>
    <m/>
    <m/>
    <m/>
  </r>
  <r>
    <x v="156"/>
    <m/>
    <x v="8"/>
    <x v="0"/>
    <x v="1"/>
    <x v="25"/>
    <m/>
    <s v="ROSA DELFINA CHEREZ OJEADA"/>
    <m/>
    <m/>
    <m/>
    <m/>
    <m/>
    <m/>
    <m/>
    <x v="6"/>
    <m/>
    <m/>
    <m/>
    <m/>
    <n v="66"/>
    <m/>
    <m/>
    <m/>
    <m/>
    <m/>
    <m/>
    <m/>
    <m/>
    <m/>
  </r>
  <r>
    <x v="157"/>
    <m/>
    <x v="8"/>
    <x v="0"/>
    <x v="0"/>
    <x v="2"/>
    <m/>
    <s v="VELEZ MOREIRA MARIUXI BELEN"/>
    <m/>
    <m/>
    <m/>
    <m/>
    <m/>
    <m/>
    <m/>
    <x v="3"/>
    <s v="PLAN MASTER 75.000"/>
    <m/>
    <m/>
    <m/>
    <n v="714.01"/>
    <m/>
    <m/>
    <m/>
    <m/>
    <m/>
    <m/>
    <m/>
    <m/>
    <m/>
  </r>
  <r>
    <x v="157"/>
    <m/>
    <x v="8"/>
    <x v="0"/>
    <x v="1"/>
    <x v="3"/>
    <m/>
    <s v="FANNY JUDTH ALARCON CANDELARIO"/>
    <m/>
    <m/>
    <m/>
    <m/>
    <m/>
    <m/>
    <m/>
    <x v="6"/>
    <m/>
    <m/>
    <m/>
    <m/>
    <n v="800"/>
    <m/>
    <m/>
    <m/>
    <m/>
    <m/>
    <m/>
    <m/>
    <m/>
    <m/>
  </r>
  <r>
    <x v="157"/>
    <m/>
    <x v="8"/>
    <x v="0"/>
    <x v="1"/>
    <x v="3"/>
    <m/>
    <s v="MANUEL DE JESUS MORENO ALARCON"/>
    <m/>
    <m/>
    <m/>
    <m/>
    <m/>
    <m/>
    <m/>
    <x v="6"/>
    <m/>
    <m/>
    <m/>
    <m/>
    <n v="77"/>
    <m/>
    <m/>
    <m/>
    <m/>
    <m/>
    <m/>
    <m/>
    <m/>
    <m/>
  </r>
  <r>
    <x v="158"/>
    <m/>
    <x v="8"/>
    <x v="0"/>
    <x v="0"/>
    <x v="13"/>
    <m/>
    <s v="CORONEL SUAREZ VICTOR HUGO"/>
    <m/>
    <m/>
    <m/>
    <m/>
    <m/>
    <m/>
    <m/>
    <x v="3"/>
    <s v="PLAN PREMIUM 30.000"/>
    <m/>
    <m/>
    <m/>
    <n v="907.68"/>
    <m/>
    <m/>
    <m/>
    <m/>
    <m/>
    <m/>
    <m/>
    <m/>
    <m/>
  </r>
  <r>
    <x v="159"/>
    <d v="2024-09-30T00:00:00"/>
    <x v="8"/>
    <x v="0"/>
    <x v="1"/>
    <x v="30"/>
    <m/>
    <s v="JEFFERSON ANDRES PALMA MENDOZA"/>
    <m/>
    <n v="940514169"/>
    <n v="967715523"/>
    <s v="DEBITO BANCARIO"/>
    <s v="MENSUAL"/>
    <s v="JEFFERSON ANDRES PALAMA MENDOZA"/>
    <m/>
    <x v="5"/>
    <s v="ASISKARE 500"/>
    <m/>
    <n v="27.05"/>
    <m/>
    <n v="297.79816513761466"/>
    <m/>
    <m/>
    <m/>
    <m/>
    <m/>
    <m/>
    <m/>
    <m/>
    <m/>
  </r>
  <r>
    <x v="159"/>
    <d v="2024-09-30T00:00:00"/>
    <x v="8"/>
    <x v="0"/>
    <x v="1"/>
    <x v="30"/>
    <m/>
    <s v="SONNIA CAROLINA MACIAS CARRERA"/>
    <m/>
    <n v="953820354"/>
    <n v="967715523"/>
    <s v="DEBITO BANCARIO"/>
    <s v="MENSUAL"/>
    <s v="JEFFERSON ANDRES PALAMA MENDOZA"/>
    <m/>
    <x v="5"/>
    <s v="ASISKARE 500"/>
    <m/>
    <n v="27.05"/>
    <m/>
    <n v="297.79816513761466"/>
    <m/>
    <m/>
    <m/>
    <m/>
    <m/>
    <m/>
    <m/>
    <m/>
    <m/>
  </r>
  <r>
    <x v="159"/>
    <m/>
    <x v="8"/>
    <x v="0"/>
    <x v="1"/>
    <x v="3"/>
    <m/>
    <s v="ELENA LEOPOLDINA ABARCA STRONG"/>
    <m/>
    <n v="903407302"/>
    <n v="999484209"/>
    <s v="CUENTA CORRIENTE"/>
    <s v="MENSUAL"/>
    <s v="ELENA LEOPOLDINA ABARCA STRONG"/>
    <m/>
    <x v="7"/>
    <s v="CONFIPLUS"/>
    <m/>
    <n v="392.81"/>
    <m/>
    <n v="4690.2686567164183"/>
    <m/>
    <m/>
    <m/>
    <m/>
    <m/>
    <m/>
    <m/>
    <m/>
    <m/>
  </r>
  <r>
    <x v="160"/>
    <m/>
    <x v="8"/>
    <x v="0"/>
    <x v="0"/>
    <x v="2"/>
    <m/>
    <s v="BAZURTO PARRALES NANCY MAGALI"/>
    <m/>
    <m/>
    <m/>
    <m/>
    <m/>
    <m/>
    <m/>
    <x v="1"/>
    <s v="5D"/>
    <m/>
    <m/>
    <m/>
    <n v="2407.3200000000002"/>
    <m/>
    <m/>
    <m/>
    <m/>
    <m/>
    <m/>
    <m/>
    <m/>
    <m/>
  </r>
  <r>
    <x v="161"/>
    <m/>
    <x v="8"/>
    <x v="0"/>
    <x v="0"/>
    <x v="11"/>
    <m/>
    <s v="AYALA CADENA IVONNE ALEXANDRA"/>
    <m/>
    <m/>
    <m/>
    <m/>
    <m/>
    <m/>
    <m/>
    <x v="5"/>
    <s v="Asispro 30"/>
    <m/>
    <m/>
    <m/>
    <n v="1651.14"/>
    <m/>
    <m/>
    <m/>
    <m/>
    <m/>
    <m/>
    <m/>
    <m/>
    <m/>
  </r>
  <r>
    <x v="161"/>
    <m/>
    <x v="8"/>
    <x v="0"/>
    <x v="1"/>
    <x v="14"/>
    <m/>
    <s v="CARLOS ANDRES ANDRADE NAVARRETE"/>
    <m/>
    <n v="1716565484"/>
    <n v="989272061"/>
    <s v="DEBITO BANCARIO"/>
    <s v="MENSUAL"/>
    <s v="XIMENA CECILIA NAVARRETE ABAD"/>
    <s v="NO"/>
    <x v="7"/>
    <s v="CONFIPLUS"/>
    <m/>
    <n v="96.44"/>
    <m/>
    <n v="1151.5223880597016"/>
    <m/>
    <m/>
    <m/>
    <m/>
    <m/>
    <m/>
    <m/>
    <m/>
    <m/>
  </r>
  <r>
    <x v="161"/>
    <m/>
    <x v="8"/>
    <x v="0"/>
    <x v="1"/>
    <x v="14"/>
    <m/>
    <s v="MONICA MONTENEGRO ARAGUNDI"/>
    <m/>
    <m/>
    <m/>
    <m/>
    <m/>
    <m/>
    <m/>
    <x v="13"/>
    <s v="OPTIMO"/>
    <m/>
    <n v="302.54000000000002"/>
    <m/>
    <n v="3473.4787600459249"/>
    <m/>
    <m/>
    <m/>
    <m/>
    <m/>
    <m/>
    <m/>
    <m/>
    <m/>
  </r>
  <r>
    <x v="161"/>
    <m/>
    <x v="8"/>
    <x v="0"/>
    <x v="1"/>
    <x v="30"/>
    <m/>
    <s v="MARIA PAOLA GARCIA OCHOA"/>
    <m/>
    <n v="912110608"/>
    <n v="991017907"/>
    <s v="TARJETA DE CREDITO"/>
    <s v="MENSUAL"/>
    <s v="MARIA PAOLA GARCIA OCHOA"/>
    <m/>
    <x v="3"/>
    <s v="JR 20K"/>
    <m/>
    <n v="233.79"/>
    <m/>
    <n v="2791.5223880597018"/>
    <m/>
    <m/>
    <m/>
    <m/>
    <m/>
    <m/>
    <m/>
    <m/>
    <m/>
  </r>
  <r>
    <x v="161"/>
    <m/>
    <x v="8"/>
    <x v="0"/>
    <x v="1"/>
    <x v="30"/>
    <m/>
    <s v="JUAN JOSE PIGUAVE CHALEN"/>
    <m/>
    <m/>
    <m/>
    <m/>
    <m/>
    <m/>
    <m/>
    <x v="14"/>
    <s v="100K"/>
    <m/>
    <m/>
    <m/>
    <n v="732"/>
    <m/>
    <m/>
    <m/>
    <m/>
    <m/>
    <m/>
    <m/>
    <m/>
    <m/>
  </r>
  <r>
    <x v="162"/>
    <m/>
    <x v="9"/>
    <x v="0"/>
    <x v="0"/>
    <x v="1"/>
    <n v="4300430"/>
    <s v="GARCIA BURGOS RITA NICOLLE"/>
    <m/>
    <m/>
    <m/>
    <m/>
    <m/>
    <m/>
    <m/>
    <x v="1"/>
    <s v="STAR 15K - 70"/>
    <m/>
    <m/>
    <m/>
    <n v="690.47"/>
    <m/>
    <m/>
    <m/>
    <m/>
    <m/>
    <m/>
    <m/>
    <m/>
    <m/>
  </r>
  <r>
    <x v="162"/>
    <m/>
    <x v="9"/>
    <x v="0"/>
    <x v="0"/>
    <x v="38"/>
    <m/>
    <s v="CABRERA HENRIQUEZ VIANKA CAROLINA"/>
    <m/>
    <m/>
    <m/>
    <m/>
    <m/>
    <m/>
    <m/>
    <x v="3"/>
    <s v="PLAN JUNIOR 20.000"/>
    <m/>
    <m/>
    <m/>
    <n v="1614.53"/>
    <m/>
    <m/>
    <m/>
    <m/>
    <m/>
    <m/>
    <m/>
    <m/>
    <m/>
  </r>
  <r>
    <x v="163"/>
    <m/>
    <x v="9"/>
    <x v="0"/>
    <x v="0"/>
    <x v="39"/>
    <s v="GM24G49238"/>
    <s v="COELLO RECALDE MARIA CRISTINA"/>
    <m/>
    <m/>
    <m/>
    <m/>
    <m/>
    <m/>
    <m/>
    <x v="2"/>
    <s v="GMM"/>
    <m/>
    <m/>
    <m/>
    <n v="331.62"/>
    <m/>
    <m/>
    <m/>
    <m/>
    <m/>
    <m/>
    <m/>
    <m/>
    <m/>
  </r>
  <r>
    <x v="164"/>
    <m/>
    <x v="9"/>
    <x v="0"/>
    <x v="0"/>
    <x v="11"/>
    <n v="4300658"/>
    <s v="URRESTO MARTINEZ LINDA JENIFFER"/>
    <m/>
    <m/>
    <m/>
    <m/>
    <m/>
    <m/>
    <m/>
    <x v="1"/>
    <s v="3D"/>
    <m/>
    <m/>
    <m/>
    <n v="862.28"/>
    <m/>
    <m/>
    <m/>
    <m/>
    <m/>
    <m/>
    <m/>
    <m/>
    <m/>
  </r>
  <r>
    <x v="165"/>
    <m/>
    <x v="9"/>
    <x v="0"/>
    <x v="0"/>
    <x v="18"/>
    <n v="4300558"/>
    <s v="ALVEAR FERRIN HAROL ALEXANDRO"/>
    <m/>
    <m/>
    <m/>
    <m/>
    <m/>
    <m/>
    <m/>
    <x v="1"/>
    <s v="3D"/>
    <m/>
    <m/>
    <m/>
    <n v="4720.82"/>
    <m/>
    <m/>
    <m/>
    <m/>
    <m/>
    <m/>
    <m/>
    <m/>
    <m/>
  </r>
  <r>
    <x v="165"/>
    <m/>
    <x v="9"/>
    <x v="0"/>
    <x v="1"/>
    <x v="12"/>
    <m/>
    <s v="CLARA EMPERATRIZ ANZULEZ CEDEÑO"/>
    <m/>
    <n v="905506663"/>
    <n v="994830334"/>
    <s v="DEBITO BANCARIO"/>
    <s v="MENSUAL"/>
    <s v="PEDRO ALEXANDER ESPINOZA ANZULES"/>
    <s v="NO"/>
    <x v="7"/>
    <s v="CONFIPLUS"/>
    <m/>
    <n v="142.96"/>
    <m/>
    <n v="1706.9850746268658"/>
    <m/>
    <m/>
    <m/>
    <m/>
    <m/>
    <m/>
    <m/>
    <m/>
    <m/>
  </r>
  <r>
    <x v="166"/>
    <m/>
    <x v="9"/>
    <x v="0"/>
    <x v="1"/>
    <x v="40"/>
    <n v="35030"/>
    <s v="DOLORES VANESSA MANZABA CEDEÑO"/>
    <m/>
    <m/>
    <m/>
    <m/>
    <m/>
    <m/>
    <m/>
    <x v="5"/>
    <s v="ASISPRO 20"/>
    <m/>
    <n v="159.22"/>
    <m/>
    <n v="1752.8807339449538"/>
    <m/>
    <m/>
    <m/>
    <m/>
    <m/>
    <m/>
    <m/>
    <m/>
    <m/>
  </r>
  <r>
    <x v="167"/>
    <m/>
    <x v="9"/>
    <x v="0"/>
    <x v="0"/>
    <x v="18"/>
    <n v="4300798"/>
    <s v="ORTIZ ELJURI JUAN SEBASTIAN"/>
    <m/>
    <m/>
    <m/>
    <m/>
    <m/>
    <m/>
    <m/>
    <x v="1"/>
    <s v="RT plus"/>
    <m/>
    <m/>
    <m/>
    <n v="222.78"/>
    <m/>
    <m/>
    <m/>
    <m/>
    <m/>
    <m/>
    <m/>
    <m/>
    <m/>
  </r>
  <r>
    <x v="167"/>
    <m/>
    <x v="9"/>
    <x v="0"/>
    <x v="0"/>
    <x v="11"/>
    <m/>
    <s v="LUCIO ARAGUNDY LISSETTE DANIELA"/>
    <m/>
    <m/>
    <m/>
    <m/>
    <m/>
    <m/>
    <m/>
    <x v="5"/>
    <s v="Asispro 20"/>
    <m/>
    <m/>
    <m/>
    <n v="2545.7600000000002"/>
    <m/>
    <m/>
    <m/>
    <m/>
    <m/>
    <m/>
    <m/>
    <m/>
    <m/>
  </r>
  <r>
    <x v="167"/>
    <m/>
    <x v="9"/>
    <x v="0"/>
    <x v="1"/>
    <x v="41"/>
    <n v="35039"/>
    <s v="LISSETTE DANIELA LUCIO ARAGUNDY"/>
    <m/>
    <m/>
    <m/>
    <m/>
    <m/>
    <m/>
    <m/>
    <x v="5"/>
    <m/>
    <m/>
    <m/>
    <m/>
    <n v="0"/>
    <m/>
    <m/>
    <m/>
    <m/>
    <m/>
    <m/>
    <m/>
    <m/>
    <m/>
  </r>
  <r>
    <x v="167"/>
    <m/>
    <x v="9"/>
    <x v="0"/>
    <x v="1"/>
    <x v="3"/>
    <n v="35055"/>
    <s v="MARIA JOSE GRANDA CASTILLO"/>
    <m/>
    <m/>
    <m/>
    <m/>
    <m/>
    <m/>
    <m/>
    <x v="5"/>
    <m/>
    <m/>
    <m/>
    <m/>
    <n v="0"/>
    <m/>
    <m/>
    <m/>
    <m/>
    <m/>
    <m/>
    <m/>
    <m/>
    <m/>
  </r>
  <r>
    <x v="168"/>
    <m/>
    <x v="9"/>
    <x v="0"/>
    <x v="0"/>
    <x v="42"/>
    <n v="4301039"/>
    <s v="RODRIGUEZ SAETEROS LISSETT GEOSSELINE"/>
    <m/>
    <m/>
    <m/>
    <m/>
    <m/>
    <m/>
    <m/>
    <x v="1"/>
    <m/>
    <m/>
    <m/>
    <m/>
    <n v="1742.62"/>
    <m/>
    <m/>
    <m/>
    <m/>
    <m/>
    <m/>
    <m/>
    <m/>
    <m/>
  </r>
  <r>
    <x v="168"/>
    <m/>
    <x v="9"/>
    <x v="0"/>
    <x v="0"/>
    <x v="2"/>
    <n v="4300994"/>
    <s v="SORIA BRIONES LISSETH MERCEDES"/>
    <m/>
    <m/>
    <m/>
    <m/>
    <m/>
    <m/>
    <m/>
    <x v="1"/>
    <s v="SKY 70 PLUS - 100"/>
    <m/>
    <m/>
    <m/>
    <n v="4006.56"/>
    <m/>
    <m/>
    <m/>
    <m/>
    <m/>
    <m/>
    <m/>
    <m/>
    <m/>
  </r>
  <r>
    <x v="168"/>
    <m/>
    <x v="9"/>
    <x v="0"/>
    <x v="1"/>
    <x v="43"/>
    <m/>
    <s v="ARGENTINA DEL ROSARIO TAPIA GONZALEZ"/>
    <m/>
    <n v="923070841"/>
    <n v="985470425"/>
    <s v="DEBITO BANCARIO"/>
    <s v="MENSUAL"/>
    <s v="ARGENTINA DEL ROSARIO TAPIA GONZALEZ"/>
    <m/>
    <x v="3"/>
    <s v="SENIOR 45000"/>
    <m/>
    <n v="180.92"/>
    <m/>
    <n v="2160.2388059701493"/>
    <m/>
    <m/>
    <m/>
    <m/>
    <m/>
    <m/>
    <m/>
    <m/>
    <m/>
  </r>
  <r>
    <x v="168"/>
    <d v="2024-10-16T00:00:00"/>
    <x v="9"/>
    <x v="0"/>
    <x v="1"/>
    <x v="19"/>
    <s v="GM24G49859"/>
    <s v="ISAAC DAVID LALAMA VANEGAS"/>
    <m/>
    <m/>
    <m/>
    <m/>
    <m/>
    <m/>
    <m/>
    <x v="2"/>
    <s v="GMM"/>
    <m/>
    <n v="36.020000000000003"/>
    <m/>
    <n v="365.08955223880605"/>
    <m/>
    <m/>
    <m/>
    <m/>
    <m/>
    <m/>
    <m/>
    <m/>
    <m/>
  </r>
  <r>
    <x v="169"/>
    <m/>
    <x v="9"/>
    <x v="0"/>
    <x v="0"/>
    <x v="0"/>
    <n v="4301662"/>
    <s v="GARCIA RIVAS VALERIA ESTEFANIA"/>
    <m/>
    <m/>
    <m/>
    <m/>
    <m/>
    <m/>
    <m/>
    <x v="1"/>
    <s v="PRO 150 K - 150"/>
    <m/>
    <m/>
    <m/>
    <n v="2613.52"/>
    <m/>
    <m/>
    <m/>
    <m/>
    <m/>
    <m/>
    <m/>
    <m/>
    <m/>
  </r>
  <r>
    <x v="169"/>
    <m/>
    <x v="9"/>
    <x v="0"/>
    <x v="0"/>
    <x v="4"/>
    <n v="4301233"/>
    <s v="VITERI VILLON TERESA DE JESUS"/>
    <m/>
    <m/>
    <m/>
    <m/>
    <m/>
    <m/>
    <m/>
    <x v="1"/>
    <s v="STAR 15K LITE"/>
    <m/>
    <m/>
    <m/>
    <n v="764.38"/>
    <m/>
    <m/>
    <m/>
    <m/>
    <m/>
    <m/>
    <m/>
    <m/>
    <m/>
  </r>
  <r>
    <x v="169"/>
    <m/>
    <x v="8"/>
    <x v="0"/>
    <x v="1"/>
    <x v="14"/>
    <m/>
    <s v="MONICA DEL ROCIO MONTENEGRO ARAGUNDI"/>
    <m/>
    <m/>
    <m/>
    <m/>
    <m/>
    <m/>
    <m/>
    <x v="13"/>
    <m/>
    <m/>
    <n v="253.05"/>
    <m/>
    <n v="3021.4925373134333"/>
    <m/>
    <m/>
    <m/>
    <m/>
    <m/>
    <m/>
    <m/>
    <m/>
    <m/>
  </r>
  <r>
    <x v="169"/>
    <d v="2024-10-16T00:00:00"/>
    <x v="9"/>
    <x v="0"/>
    <x v="1"/>
    <x v="25"/>
    <s v="GM24Q49883"/>
    <s v="FABIOLA ALEXANDRA ANDRADE RODRIGUEZ"/>
    <m/>
    <m/>
    <m/>
    <m/>
    <m/>
    <m/>
    <m/>
    <x v="2"/>
    <s v="GMM"/>
    <m/>
    <n v="59.169999999999995"/>
    <m/>
    <n v="641.50746268656724"/>
    <m/>
    <m/>
    <m/>
    <m/>
    <m/>
    <m/>
    <m/>
    <m/>
    <m/>
  </r>
  <r>
    <x v="170"/>
    <m/>
    <x v="9"/>
    <x v="0"/>
    <x v="0"/>
    <x v="18"/>
    <n v="4301148"/>
    <s v="BARRETO ZAMBRANO MERLI LUCIA"/>
    <m/>
    <m/>
    <m/>
    <m/>
    <m/>
    <m/>
    <m/>
    <x v="1"/>
    <s v="3D"/>
    <m/>
    <m/>
    <m/>
    <n v="3136.14"/>
    <m/>
    <m/>
    <m/>
    <m/>
    <m/>
    <m/>
    <m/>
    <m/>
    <m/>
  </r>
  <r>
    <x v="170"/>
    <m/>
    <x v="9"/>
    <x v="0"/>
    <x v="1"/>
    <x v="30"/>
    <m/>
    <s v="DIEGO FERNANDO RUPERTI LOOR"/>
    <m/>
    <n v="1305139642"/>
    <n v="994031356"/>
    <s v="DEBITO BANCARIO"/>
    <s v="MENSUAL"/>
    <s v="DIEGO FERNANDO RUPERTI LOOR"/>
    <s v="NO"/>
    <x v="3"/>
    <s v="JR 20K"/>
    <m/>
    <n v="90.91"/>
    <m/>
    <n v="1085.4925373134331"/>
    <m/>
    <m/>
    <m/>
    <m/>
    <m/>
    <m/>
    <m/>
    <m/>
    <m/>
  </r>
  <r>
    <x v="171"/>
    <d v="2024-11-01T00:00:00"/>
    <x v="9"/>
    <x v="0"/>
    <x v="1"/>
    <x v="43"/>
    <s v="GM24G49943"/>
    <s v="ESTHER KARINA BOMBON PEREZ"/>
    <m/>
    <m/>
    <m/>
    <m/>
    <m/>
    <m/>
    <m/>
    <x v="2"/>
    <s v="GMM"/>
    <m/>
    <n v="43.24"/>
    <m/>
    <n v="451.29850746268664"/>
    <m/>
    <m/>
    <m/>
    <m/>
    <m/>
    <m/>
    <m/>
    <m/>
    <m/>
  </r>
  <r>
    <x v="172"/>
    <m/>
    <x v="9"/>
    <x v="0"/>
    <x v="0"/>
    <x v="18"/>
    <n v="4301422"/>
    <s v="SANTOS LOPEZ ESTEBAN RAMIRO"/>
    <m/>
    <m/>
    <m/>
    <m/>
    <m/>
    <m/>
    <m/>
    <x v="1"/>
    <s v="SKY 50K PLUS - 100"/>
    <m/>
    <m/>
    <m/>
    <n v="1275.4100000000001"/>
    <m/>
    <m/>
    <m/>
    <m/>
    <m/>
    <m/>
    <m/>
    <m/>
    <m/>
  </r>
  <r>
    <x v="172"/>
    <m/>
    <x v="9"/>
    <x v="0"/>
    <x v="1"/>
    <x v="29"/>
    <m/>
    <s v="JUNIOR ALEXANDER RESTREPO RAMIREZ"/>
    <s v="DEREK RESTREPO ECHEVERRI"/>
    <n v="965787880"/>
    <n v="968228554"/>
    <s v="DEBITO BANCARIO"/>
    <s v="MENSUAL"/>
    <s v="JUNIOR ALEXANDER RESTREPO RAMIREZ"/>
    <m/>
    <x v="7"/>
    <s v="CONFIPLUS"/>
    <m/>
    <n v="109.07"/>
    <m/>
    <n v="1302.3283582089553"/>
    <m/>
    <m/>
    <m/>
    <m/>
    <m/>
    <m/>
    <m/>
    <m/>
    <m/>
  </r>
  <r>
    <x v="173"/>
    <m/>
    <x v="9"/>
    <x v="0"/>
    <x v="0"/>
    <x v="9"/>
    <n v="4301465"/>
    <s v="BASTIDAS ESPIN CRISTHIAN RAMIRO"/>
    <m/>
    <m/>
    <m/>
    <m/>
    <m/>
    <m/>
    <m/>
    <x v="1"/>
    <s v="5D"/>
    <m/>
    <m/>
    <m/>
    <n v="904.07"/>
    <m/>
    <m/>
    <m/>
    <m/>
    <m/>
    <m/>
    <m/>
    <m/>
    <m/>
  </r>
  <r>
    <x v="174"/>
    <m/>
    <x v="9"/>
    <x v="0"/>
    <x v="0"/>
    <x v="4"/>
    <n v="4301494"/>
    <s v="NARANJO ORDOÑEZ XAVIER ANIBAL"/>
    <m/>
    <m/>
    <m/>
    <m/>
    <m/>
    <m/>
    <m/>
    <x v="1"/>
    <s v="PRO 150 K - 150"/>
    <m/>
    <m/>
    <m/>
    <n v="3988.89"/>
    <m/>
    <m/>
    <m/>
    <m/>
    <m/>
    <m/>
    <m/>
    <m/>
    <m/>
  </r>
  <r>
    <x v="174"/>
    <d v="2024-11-01T00:00:00"/>
    <x v="9"/>
    <x v="0"/>
    <x v="1"/>
    <x v="33"/>
    <s v="GM24G50048"/>
    <s v="AXEL EMILIO JEREMIAS BARREZUETA"/>
    <m/>
    <m/>
    <m/>
    <m/>
    <m/>
    <m/>
    <m/>
    <x v="2"/>
    <s v="GMM"/>
    <m/>
    <n v="27.87"/>
    <m/>
    <n v="267.7761194029851"/>
    <m/>
    <m/>
    <m/>
    <m/>
    <m/>
    <m/>
    <m/>
    <m/>
    <m/>
  </r>
  <r>
    <x v="175"/>
    <m/>
    <x v="9"/>
    <x v="0"/>
    <x v="0"/>
    <x v="32"/>
    <s v="GM24G50050"/>
    <s v="ESPINOZA MOSQUERA JULIO ENRIQUE"/>
    <m/>
    <m/>
    <m/>
    <m/>
    <m/>
    <m/>
    <m/>
    <x v="2"/>
    <s v="GMM"/>
    <m/>
    <m/>
    <m/>
    <n v="2092.4"/>
    <m/>
    <m/>
    <m/>
    <m/>
    <m/>
    <m/>
    <m/>
    <m/>
    <m/>
  </r>
  <r>
    <x v="175"/>
    <m/>
    <x v="9"/>
    <x v="0"/>
    <x v="0"/>
    <x v="2"/>
    <n v="4301632"/>
    <s v="VIAMONTE TEJENA ZARIFE ANAYOJARATH"/>
    <m/>
    <m/>
    <m/>
    <m/>
    <m/>
    <m/>
    <m/>
    <x v="1"/>
    <s v="STAR 15K - 70"/>
    <m/>
    <m/>
    <m/>
    <n v="690.47"/>
    <m/>
    <m/>
    <m/>
    <m/>
    <m/>
    <m/>
    <m/>
    <m/>
    <m/>
  </r>
  <r>
    <x v="175"/>
    <m/>
    <x v="9"/>
    <x v="0"/>
    <x v="1"/>
    <x v="14"/>
    <m/>
    <s v="WILLIAM ALBERTO RODRIGUEZ ZURITA"/>
    <m/>
    <m/>
    <m/>
    <m/>
    <m/>
    <m/>
    <m/>
    <x v="3"/>
    <s v="SUPREMO"/>
    <m/>
    <n v="143.53"/>
    <m/>
    <n v="1713.7910447761196"/>
    <m/>
    <m/>
    <m/>
    <m/>
    <m/>
    <m/>
    <m/>
    <m/>
    <m/>
  </r>
  <r>
    <x v="176"/>
    <d v="2024-10-24T00:00:00"/>
    <x v="9"/>
    <x v="0"/>
    <x v="1"/>
    <x v="14"/>
    <n v="4301753"/>
    <s v="TITO ANDRES FERRIN CEDEÑO"/>
    <m/>
    <m/>
    <m/>
    <m/>
    <m/>
    <m/>
    <m/>
    <x v="1"/>
    <s v="PRO 150K - 150"/>
    <m/>
    <n v="126.28"/>
    <m/>
    <n v="1515.3600000000001"/>
    <m/>
    <m/>
    <m/>
    <m/>
    <m/>
    <m/>
    <m/>
    <m/>
    <m/>
  </r>
  <r>
    <x v="176"/>
    <m/>
    <x v="9"/>
    <x v="0"/>
    <x v="1"/>
    <x v="3"/>
    <m/>
    <s v="LAURA CECILIA DURAN"/>
    <m/>
    <m/>
    <m/>
    <m/>
    <m/>
    <m/>
    <m/>
    <x v="2"/>
    <s v="GMM"/>
    <m/>
    <n v="86.81"/>
    <m/>
    <n v="971.53731343283584"/>
    <m/>
    <m/>
    <m/>
    <m/>
    <m/>
    <m/>
    <m/>
    <m/>
    <m/>
  </r>
  <r>
    <x v="177"/>
    <m/>
    <x v="9"/>
    <x v="0"/>
    <x v="1"/>
    <x v="16"/>
    <m/>
    <s v="OSCAR GABRIEL MURILLO VASQUEZ"/>
    <m/>
    <m/>
    <m/>
    <m/>
    <m/>
    <m/>
    <m/>
    <x v="3"/>
    <s v="JR 20K"/>
    <m/>
    <n v="72.36"/>
    <m/>
    <n v="864"/>
    <m/>
    <m/>
    <m/>
    <m/>
    <m/>
    <m/>
    <m/>
    <m/>
    <m/>
  </r>
  <r>
    <x v="177"/>
    <m/>
    <x v="9"/>
    <x v="0"/>
    <x v="1"/>
    <x v="43"/>
    <n v="35175"/>
    <s v="BIUTY MICHELL TAMAYO CHASIN"/>
    <m/>
    <m/>
    <m/>
    <m/>
    <m/>
    <m/>
    <m/>
    <x v="5"/>
    <s v="ASISPRO 50"/>
    <m/>
    <n v="112.58"/>
    <m/>
    <n v="1239.4128440366972"/>
    <m/>
    <m/>
    <m/>
    <m/>
    <m/>
    <m/>
    <m/>
    <m/>
    <m/>
  </r>
  <r>
    <x v="178"/>
    <m/>
    <x v="9"/>
    <x v="0"/>
    <x v="1"/>
    <x v="14"/>
    <n v="35183"/>
    <s v="DANIEL ANTONIO PUMAYUGRA GAVILANEZ"/>
    <m/>
    <m/>
    <m/>
    <m/>
    <m/>
    <m/>
    <m/>
    <x v="5"/>
    <s v="ASISKARE 500"/>
    <m/>
    <n v="48.99"/>
    <m/>
    <n v="539.33944954128435"/>
    <m/>
    <m/>
    <m/>
    <m/>
    <m/>
    <m/>
    <m/>
    <m/>
    <m/>
  </r>
  <r>
    <x v="178"/>
    <m/>
    <x v="9"/>
    <x v="0"/>
    <x v="1"/>
    <x v="3"/>
    <m/>
    <s v="LAURA CECILIA DURAN"/>
    <m/>
    <m/>
    <m/>
    <m/>
    <m/>
    <m/>
    <m/>
    <x v="7"/>
    <s v="CONFIPLUS"/>
    <m/>
    <n v="186.12"/>
    <m/>
    <n v="2233.44"/>
    <m/>
    <m/>
    <m/>
    <m/>
    <m/>
    <m/>
    <m/>
    <m/>
    <m/>
  </r>
  <r>
    <x v="179"/>
    <m/>
    <x v="9"/>
    <x v="0"/>
    <x v="0"/>
    <x v="18"/>
    <n v="4301820"/>
    <s v="MAHAUAD LEON NATHALIA ESTHER"/>
    <m/>
    <m/>
    <m/>
    <m/>
    <m/>
    <m/>
    <m/>
    <x v="1"/>
    <s v="Oncocare"/>
    <m/>
    <m/>
    <m/>
    <n v="1751.22"/>
    <m/>
    <m/>
    <m/>
    <m/>
    <m/>
    <m/>
    <m/>
    <m/>
    <m/>
  </r>
  <r>
    <x v="179"/>
    <d v="2024-11-01T00:00:00"/>
    <x v="9"/>
    <x v="0"/>
    <x v="1"/>
    <x v="3"/>
    <m/>
    <s v="ERIKA MERCEDES MOREIRA ESPINOZA"/>
    <m/>
    <m/>
    <m/>
    <m/>
    <m/>
    <m/>
    <m/>
    <x v="11"/>
    <s v="PLAN 70"/>
    <m/>
    <n v="68.8"/>
    <m/>
    <n v="821.49253731343288"/>
    <m/>
    <m/>
    <m/>
    <m/>
    <m/>
    <m/>
    <m/>
    <m/>
    <m/>
  </r>
  <r>
    <x v="179"/>
    <m/>
    <x v="9"/>
    <x v="0"/>
    <x v="1"/>
    <x v="25"/>
    <n v="35201"/>
    <s v="PAULA RENATA BENITEZ PERALTA"/>
    <m/>
    <m/>
    <m/>
    <m/>
    <m/>
    <m/>
    <m/>
    <x v="5"/>
    <s v="CURAE SUMMA SOFT D-$250"/>
    <m/>
    <n v="123.62"/>
    <m/>
    <n v="1360.954128440367"/>
    <m/>
    <m/>
    <m/>
    <m/>
    <m/>
    <m/>
    <m/>
    <m/>
    <m/>
  </r>
  <r>
    <x v="179"/>
    <m/>
    <x v="9"/>
    <x v="0"/>
    <x v="1"/>
    <x v="25"/>
    <n v="35200"/>
    <s v="NICOLAS FERNANDO MARTINEZ PERALTA"/>
    <m/>
    <m/>
    <m/>
    <m/>
    <m/>
    <m/>
    <m/>
    <x v="5"/>
    <s v="ASISPRO 20"/>
    <m/>
    <n v="53.96"/>
    <m/>
    <n v="594.05504587155963"/>
    <m/>
    <m/>
    <m/>
    <m/>
    <m/>
    <m/>
    <m/>
    <m/>
    <m/>
  </r>
  <r>
    <x v="180"/>
    <m/>
    <x v="9"/>
    <x v="0"/>
    <x v="1"/>
    <x v="12"/>
    <m/>
    <s v="VERONICA YADIRA HIAUPATIN VELASCO"/>
    <m/>
    <m/>
    <m/>
    <m/>
    <m/>
    <m/>
    <m/>
    <x v="3"/>
    <s v="SENIOR 45000"/>
    <m/>
    <n v="134.71"/>
    <m/>
    <n v="1608.4776119402986"/>
    <m/>
    <m/>
    <m/>
    <m/>
    <m/>
    <m/>
    <m/>
    <m/>
    <m/>
  </r>
  <r>
    <x v="181"/>
    <m/>
    <x v="9"/>
    <x v="0"/>
    <x v="1"/>
    <x v="40"/>
    <n v="148972"/>
    <s v="ARMIJOS SARMIENTO MARCO ANTONIO "/>
    <m/>
    <m/>
    <m/>
    <m/>
    <m/>
    <m/>
    <m/>
    <x v="11"/>
    <s v="PLAN 70"/>
    <m/>
    <n v="185.19"/>
    <m/>
    <n v="2222.2799999999997"/>
    <m/>
    <m/>
    <m/>
    <m/>
    <m/>
    <m/>
    <m/>
    <m/>
    <m/>
  </r>
  <r>
    <x v="181"/>
    <m/>
    <x v="9"/>
    <x v="0"/>
    <x v="1"/>
    <x v="40"/>
    <n v="148973"/>
    <s v="SARMIENTO ANDINO CHRISTIAN ALFREDO "/>
    <m/>
    <m/>
    <m/>
    <m/>
    <m/>
    <m/>
    <m/>
    <x v="11"/>
    <s v="PLAN 70"/>
    <m/>
    <n v="156.44"/>
    <m/>
    <n v="1877.28"/>
    <m/>
    <m/>
    <m/>
    <m/>
    <m/>
    <m/>
    <m/>
    <m/>
    <m/>
  </r>
  <r>
    <x v="182"/>
    <m/>
    <x v="10"/>
    <x v="0"/>
    <x v="1"/>
    <x v="44"/>
    <m/>
    <s v="FREDDY SANTIAGO HIDALGO CASTRO"/>
    <m/>
    <m/>
    <m/>
    <m/>
    <m/>
    <m/>
    <m/>
    <x v="10"/>
    <s v="BEST INDEX"/>
    <m/>
    <m/>
    <m/>
    <n v="1572.5"/>
    <m/>
    <m/>
    <m/>
    <m/>
    <m/>
    <m/>
    <m/>
    <m/>
    <m/>
  </r>
  <r>
    <x v="183"/>
    <m/>
    <x v="10"/>
    <x v="0"/>
    <x v="0"/>
    <x v="2"/>
    <n v="4302122"/>
    <s v="VALDIVIEZO IÑIGUEZ JENNYPHER VIVIANA"/>
    <m/>
    <m/>
    <m/>
    <m/>
    <m/>
    <m/>
    <m/>
    <x v="1"/>
    <s v="STAR 15K - 70"/>
    <m/>
    <m/>
    <m/>
    <n v="840.34"/>
    <m/>
    <m/>
    <m/>
    <m/>
    <m/>
    <m/>
    <m/>
    <m/>
    <m/>
  </r>
  <r>
    <x v="184"/>
    <m/>
    <x v="10"/>
    <x v="0"/>
    <x v="0"/>
    <x v="2"/>
    <n v="4302116"/>
    <s v="CACERES AVECILLAS CARLA ANDREA"/>
    <m/>
    <m/>
    <m/>
    <m/>
    <m/>
    <m/>
    <m/>
    <x v="1"/>
    <s v="STAR 15K - 71"/>
    <m/>
    <m/>
    <m/>
    <n v="840.34"/>
    <m/>
    <m/>
    <m/>
    <m/>
    <m/>
    <m/>
    <m/>
    <m/>
    <m/>
  </r>
  <r>
    <x v="185"/>
    <m/>
    <x v="10"/>
    <x v="0"/>
    <x v="0"/>
    <x v="13"/>
    <n v="4302551"/>
    <s v="CARDENAS ASTUDILLO TAMARA VIOLETA"/>
    <m/>
    <m/>
    <m/>
    <m/>
    <m/>
    <m/>
    <m/>
    <x v="1"/>
    <s v="Oncocare"/>
    <m/>
    <m/>
    <m/>
    <n v="216.83"/>
    <m/>
    <m/>
    <m/>
    <m/>
    <m/>
    <m/>
    <m/>
    <m/>
    <m/>
  </r>
  <r>
    <x v="186"/>
    <m/>
    <x v="10"/>
    <x v="0"/>
    <x v="0"/>
    <x v="4"/>
    <n v="4302555"/>
    <s v="ANDRADE SANCHEZ TATIANA ESTEFANI"/>
    <m/>
    <m/>
    <m/>
    <m/>
    <m/>
    <m/>
    <m/>
    <x v="1"/>
    <s v="PRO 150K - 150"/>
    <m/>
    <m/>
    <m/>
    <n v="1288.0899999999999"/>
    <m/>
    <m/>
    <m/>
    <m/>
    <m/>
    <m/>
    <m/>
    <m/>
    <m/>
  </r>
  <r>
    <x v="186"/>
    <m/>
    <x v="10"/>
    <x v="0"/>
    <x v="0"/>
    <x v="8"/>
    <n v="4302687"/>
    <s v="LOPEZ PISCOCAMA MARCELO FERNANDO"/>
    <m/>
    <m/>
    <m/>
    <m/>
    <m/>
    <m/>
    <m/>
    <x v="1"/>
    <s v="3D"/>
    <m/>
    <m/>
    <m/>
    <n v="1202.1199999999999"/>
    <m/>
    <m/>
    <m/>
    <m/>
    <m/>
    <m/>
    <m/>
    <m/>
    <m/>
  </r>
  <r>
    <x v="186"/>
    <m/>
    <x v="10"/>
    <x v="0"/>
    <x v="0"/>
    <x v="18"/>
    <n v="4302647"/>
    <s v="GARCIA ENDERICA ANDREA CAROLINA"/>
    <m/>
    <m/>
    <m/>
    <m/>
    <m/>
    <m/>
    <m/>
    <x v="1"/>
    <s v="5D"/>
    <m/>
    <m/>
    <m/>
    <n v="1808.17"/>
    <m/>
    <m/>
    <m/>
    <m/>
    <m/>
    <m/>
    <m/>
    <m/>
    <m/>
  </r>
  <r>
    <x v="186"/>
    <m/>
    <x v="10"/>
    <x v="0"/>
    <x v="0"/>
    <x v="10"/>
    <m/>
    <s v="RAMIREZ NELY JUDITH"/>
    <m/>
    <m/>
    <m/>
    <m/>
    <m/>
    <m/>
    <m/>
    <x v="0"/>
    <s v="MH 50"/>
    <m/>
    <m/>
    <m/>
    <n v="4012.68"/>
    <m/>
    <m/>
    <m/>
    <m/>
    <m/>
    <m/>
    <m/>
    <m/>
    <m/>
  </r>
  <r>
    <x v="186"/>
    <m/>
    <x v="10"/>
    <x v="0"/>
    <x v="1"/>
    <x v="6"/>
    <m/>
    <s v="EMMA JOHANNA REYES PALMA"/>
    <m/>
    <m/>
    <m/>
    <m/>
    <m/>
    <m/>
    <m/>
    <x v="2"/>
    <s v="GMM"/>
    <m/>
    <n v="26.459999999999997"/>
    <m/>
    <n v="250.94029850746273"/>
    <m/>
    <m/>
    <m/>
    <m/>
    <m/>
    <m/>
    <m/>
    <m/>
    <m/>
  </r>
  <r>
    <x v="186"/>
    <d v="2024-12-01T00:00:00"/>
    <x v="10"/>
    <x v="3"/>
    <x v="1"/>
    <x v="29"/>
    <m/>
    <s v="AMINTA JESSENIA GUALOTE VERA"/>
    <m/>
    <m/>
    <m/>
    <m/>
    <m/>
    <m/>
    <m/>
    <x v="0"/>
    <s v="PH30"/>
    <m/>
    <n v="520.30999999999995"/>
    <m/>
    <n v="6212.6567164179105"/>
    <m/>
    <m/>
    <m/>
    <m/>
    <m/>
    <m/>
    <m/>
    <m/>
    <m/>
  </r>
  <r>
    <x v="187"/>
    <d v="2024-11-20T00:00:00"/>
    <x v="10"/>
    <x v="0"/>
    <x v="1"/>
    <x v="22"/>
    <n v="35429"/>
    <s v="CECILIA ELIZABETH HENRIQUEZ LUNA"/>
    <m/>
    <m/>
    <m/>
    <m/>
    <m/>
    <m/>
    <m/>
    <x v="5"/>
    <s v="ASISPRO 30"/>
    <m/>
    <n v="140.12"/>
    <m/>
    <n v="1542.6055045871558"/>
    <m/>
    <m/>
    <m/>
    <m/>
    <m/>
    <m/>
    <m/>
    <m/>
    <m/>
  </r>
  <r>
    <x v="188"/>
    <m/>
    <x v="11"/>
    <x v="0"/>
    <x v="1"/>
    <x v="3"/>
    <n v="47225"/>
    <s v="MONICA LETICIA SOLANO ITURBURU"/>
    <m/>
    <m/>
    <m/>
    <m/>
    <m/>
    <m/>
    <m/>
    <x v="7"/>
    <s v="CONFIPLUS"/>
    <m/>
    <n v="275.92250000000001"/>
    <m/>
    <n v="3294.5970149253735"/>
    <m/>
    <m/>
    <m/>
    <m/>
    <m/>
    <m/>
    <m/>
    <m/>
    <m/>
  </r>
  <r>
    <x v="189"/>
    <m/>
    <x v="10"/>
    <x v="0"/>
    <x v="0"/>
    <x v="32"/>
    <s v="GM24G50627"/>
    <s v="JIMENEZ MARTINEZ NAYIB ABRAHAN"/>
    <m/>
    <m/>
    <m/>
    <m/>
    <m/>
    <m/>
    <m/>
    <x v="2"/>
    <s v="GMM"/>
    <m/>
    <m/>
    <m/>
    <n v="400.11"/>
    <m/>
    <m/>
    <m/>
    <m/>
    <m/>
    <m/>
    <m/>
    <m/>
    <m/>
  </r>
  <r>
    <x v="189"/>
    <m/>
    <x v="10"/>
    <x v="0"/>
    <x v="0"/>
    <x v="2"/>
    <n v="4303400"/>
    <s v="ORTIZ GUEVARA OLGA CRISTINA"/>
    <m/>
    <m/>
    <m/>
    <m/>
    <m/>
    <m/>
    <m/>
    <x v="1"/>
    <s v="SKY 50K PLUS - 100"/>
    <m/>
    <m/>
    <m/>
    <n v="4209.66"/>
    <m/>
    <m/>
    <m/>
    <m/>
    <m/>
    <m/>
    <m/>
    <m/>
    <m/>
  </r>
  <r>
    <x v="190"/>
    <m/>
    <x v="10"/>
    <x v="0"/>
    <x v="0"/>
    <x v="8"/>
    <n v="4303124"/>
    <s v="SANTOS MARTINEZ NANCY GEOVANNA"/>
    <m/>
    <m/>
    <m/>
    <m/>
    <m/>
    <m/>
    <m/>
    <x v="1"/>
    <s v="3D"/>
    <m/>
    <m/>
    <m/>
    <n v="1003.42"/>
    <m/>
    <m/>
    <m/>
    <m/>
    <m/>
    <m/>
    <m/>
    <m/>
    <m/>
  </r>
  <r>
    <x v="191"/>
    <m/>
    <x v="10"/>
    <x v="0"/>
    <x v="0"/>
    <x v="10"/>
    <n v="4303622"/>
    <s v="ALVARADO LINO GLADYS PILAR"/>
    <m/>
    <m/>
    <m/>
    <m/>
    <m/>
    <m/>
    <m/>
    <x v="1"/>
    <s v="5D"/>
    <m/>
    <m/>
    <m/>
    <n v="904.07"/>
    <m/>
    <m/>
    <m/>
    <m/>
    <m/>
    <m/>
    <m/>
    <m/>
    <m/>
  </r>
  <r>
    <x v="191"/>
    <m/>
    <x v="10"/>
    <x v="0"/>
    <x v="1"/>
    <x v="24"/>
    <m/>
    <s v="ROSA HAYDEE ANDRADE ILLESCAS"/>
    <m/>
    <m/>
    <m/>
    <m/>
    <m/>
    <m/>
    <m/>
    <x v="3"/>
    <s v="JR 20K"/>
    <m/>
    <n v="98.62"/>
    <m/>
    <n v="1177.5522388059703"/>
    <m/>
    <m/>
    <m/>
    <m/>
    <m/>
    <m/>
    <m/>
    <m/>
    <m/>
  </r>
  <r>
    <x v="191"/>
    <m/>
    <x v="10"/>
    <x v="0"/>
    <x v="1"/>
    <x v="24"/>
    <m/>
    <s v="DENIZZE ELIANE PARRA ZUÑIGA"/>
    <m/>
    <m/>
    <m/>
    <m/>
    <m/>
    <m/>
    <m/>
    <x v="3"/>
    <s v="SUPREMO"/>
    <m/>
    <n v="72.13"/>
    <m/>
    <n v="861.25373134328368"/>
    <m/>
    <m/>
    <m/>
    <m/>
    <m/>
    <m/>
    <m/>
    <m/>
    <m/>
  </r>
  <r>
    <x v="192"/>
    <m/>
    <x v="10"/>
    <x v="0"/>
    <x v="0"/>
    <x v="13"/>
    <n v="4303557"/>
    <s v="FERNANDEZ ORTEGA EDUARDO PAUL"/>
    <m/>
    <m/>
    <m/>
    <m/>
    <m/>
    <m/>
    <m/>
    <x v="1"/>
    <s v="5D"/>
    <m/>
    <m/>
    <m/>
    <n v="904.07"/>
    <m/>
    <m/>
    <m/>
    <m/>
    <m/>
    <m/>
    <m/>
    <m/>
    <m/>
  </r>
  <r>
    <x v="192"/>
    <m/>
    <x v="10"/>
    <x v="0"/>
    <x v="0"/>
    <x v="9"/>
    <n v="4303652"/>
    <s v="TRIVIÑO ZAMBRANO OSWALDO FARITH"/>
    <m/>
    <m/>
    <m/>
    <m/>
    <m/>
    <m/>
    <m/>
    <x v="1"/>
    <s v="5D"/>
    <m/>
    <m/>
    <m/>
    <n v="904.07"/>
    <m/>
    <m/>
    <m/>
    <m/>
    <m/>
    <m/>
    <m/>
    <m/>
    <m/>
  </r>
  <r>
    <x v="192"/>
    <m/>
    <x v="10"/>
    <x v="0"/>
    <x v="0"/>
    <x v="10"/>
    <n v="4303617"/>
    <s v="ORTEGA PONCE WENDY JACQUELINE"/>
    <m/>
    <m/>
    <m/>
    <m/>
    <m/>
    <m/>
    <m/>
    <x v="1"/>
    <s v="SKY 15K - 70"/>
    <m/>
    <m/>
    <m/>
    <n v="690.47"/>
    <m/>
    <m/>
    <m/>
    <m/>
    <m/>
    <m/>
    <m/>
    <m/>
    <m/>
  </r>
  <r>
    <x v="192"/>
    <m/>
    <x v="10"/>
    <x v="0"/>
    <x v="0"/>
    <x v="38"/>
    <m/>
    <s v="ZAMBRANO PACHECO EMILLY THAIS"/>
    <m/>
    <m/>
    <m/>
    <m/>
    <m/>
    <m/>
    <m/>
    <x v="5"/>
    <s v="Pro 20"/>
    <m/>
    <m/>
    <m/>
    <n v="732.5"/>
    <m/>
    <m/>
    <m/>
    <m/>
    <m/>
    <m/>
    <m/>
    <m/>
    <m/>
  </r>
  <r>
    <x v="192"/>
    <m/>
    <x v="10"/>
    <x v="0"/>
    <x v="0"/>
    <x v="38"/>
    <m/>
    <s v="ZAMORA QUINAPALLO CINTHYA DANIELA"/>
    <m/>
    <m/>
    <m/>
    <m/>
    <m/>
    <m/>
    <m/>
    <x v="5"/>
    <s v="Pro 20"/>
    <m/>
    <m/>
    <m/>
    <n v="732.5"/>
    <m/>
    <m/>
    <m/>
    <m/>
    <m/>
    <m/>
    <m/>
    <m/>
    <m/>
  </r>
  <r>
    <x v="193"/>
    <m/>
    <x v="10"/>
    <x v="0"/>
    <x v="0"/>
    <x v="13"/>
    <s v="GM24G50570"/>
    <s v="OCHOA BRITO GLENDA MARIANA"/>
    <m/>
    <m/>
    <m/>
    <m/>
    <m/>
    <m/>
    <m/>
    <x v="2"/>
    <s v="GMM"/>
    <m/>
    <m/>
    <m/>
    <n v="828.3"/>
    <m/>
    <m/>
    <m/>
    <m/>
    <m/>
    <m/>
    <m/>
    <m/>
    <m/>
  </r>
  <r>
    <x v="193"/>
    <m/>
    <x v="10"/>
    <x v="0"/>
    <x v="0"/>
    <x v="4"/>
    <n v="4303886"/>
    <s v="CORDOVA LARA FREDDY EDISON"/>
    <m/>
    <m/>
    <m/>
    <m/>
    <m/>
    <m/>
    <m/>
    <x v="1"/>
    <s v="SKY 70 PLUS 100"/>
    <m/>
    <m/>
    <m/>
    <n v="1500.6"/>
    <m/>
    <m/>
    <m/>
    <m/>
    <m/>
    <m/>
    <m/>
    <m/>
    <m/>
  </r>
  <r>
    <x v="194"/>
    <d v="2024-11-25T00:00:00"/>
    <x v="10"/>
    <x v="0"/>
    <x v="1"/>
    <x v="29"/>
    <m/>
    <s v="KIARA JESEL MIÑANO CARMEN"/>
    <m/>
    <m/>
    <m/>
    <m/>
    <m/>
    <m/>
    <m/>
    <x v="1"/>
    <s v="STAR 15"/>
    <m/>
    <n v="103.42"/>
    <m/>
    <n v="1241.04"/>
    <m/>
    <m/>
    <m/>
    <m/>
    <m/>
    <m/>
    <m/>
    <m/>
    <m/>
  </r>
  <r>
    <x v="195"/>
    <d v="2024-12-02T00:00:00"/>
    <x v="10"/>
    <x v="0"/>
    <x v="1"/>
    <x v="14"/>
    <n v="4304141"/>
    <s v="MARIA DE FATIMA ICAZA GUEVARA"/>
    <m/>
    <n v="917473993"/>
    <m/>
    <m/>
    <m/>
    <m/>
    <m/>
    <x v="1"/>
    <s v="SKY 50 PLUS - 100"/>
    <m/>
    <n v="205.72"/>
    <m/>
    <n v="2468.64"/>
    <m/>
    <m/>
    <m/>
    <m/>
    <m/>
    <m/>
    <m/>
    <m/>
    <m/>
  </r>
  <r>
    <x v="196"/>
    <m/>
    <x v="10"/>
    <x v="0"/>
    <x v="1"/>
    <x v="33"/>
    <m/>
    <s v="ELENA SUSANA AGUILERA MONTES"/>
    <m/>
    <m/>
    <m/>
    <m/>
    <m/>
    <m/>
    <m/>
    <x v="3"/>
    <s v="MASTER 75000"/>
    <m/>
    <n v="106.21"/>
    <m/>
    <n v="1268.1791044776121"/>
    <m/>
    <m/>
    <m/>
    <m/>
    <m/>
    <m/>
    <m/>
    <m/>
    <m/>
  </r>
  <r>
    <x v="197"/>
    <m/>
    <x v="10"/>
    <x v="0"/>
    <x v="0"/>
    <x v="9"/>
    <n v="4303925"/>
    <s v="SACOTO LOOR GIOVANNI"/>
    <m/>
    <m/>
    <m/>
    <m/>
    <m/>
    <m/>
    <m/>
    <x v="1"/>
    <s v="SKY 70 PLUS - 100"/>
    <m/>
    <m/>
    <m/>
    <n v="2678.72"/>
    <m/>
    <m/>
    <m/>
    <m/>
    <m/>
    <m/>
    <m/>
    <m/>
    <m/>
  </r>
  <r>
    <x v="197"/>
    <m/>
    <x v="10"/>
    <x v="0"/>
    <x v="0"/>
    <x v="1"/>
    <n v="4304293"/>
    <s v="LOMBEIDA CASTRO KATHERINE LORENA"/>
    <m/>
    <m/>
    <m/>
    <m/>
    <m/>
    <m/>
    <m/>
    <x v="1"/>
    <s v="STAR 30K - 90"/>
    <m/>
    <m/>
    <m/>
    <n v="986.1"/>
    <m/>
    <m/>
    <m/>
    <m/>
    <m/>
    <m/>
    <m/>
    <m/>
    <m/>
  </r>
  <r>
    <x v="197"/>
    <m/>
    <x v="10"/>
    <x v="0"/>
    <x v="0"/>
    <x v="4"/>
    <n v="4304311"/>
    <s v="VALENCIA CHICA JENNY MARIA"/>
    <m/>
    <m/>
    <m/>
    <m/>
    <m/>
    <m/>
    <m/>
    <x v="1"/>
    <s v="SKY 70K PLUS - 100"/>
    <m/>
    <m/>
    <m/>
    <n v="1452.24"/>
    <m/>
    <m/>
    <m/>
    <m/>
    <m/>
    <m/>
    <m/>
    <m/>
    <m/>
  </r>
  <r>
    <x v="197"/>
    <m/>
    <x v="10"/>
    <x v="0"/>
    <x v="0"/>
    <x v="8"/>
    <n v="4304419"/>
    <s v="RONQUILLO ALVARADO RUTH LIBERTAD"/>
    <m/>
    <m/>
    <m/>
    <m/>
    <m/>
    <m/>
    <m/>
    <x v="1"/>
    <s v="SKY 50K PLUS - 100"/>
    <m/>
    <m/>
    <m/>
    <n v="1356.96"/>
    <m/>
    <m/>
    <m/>
    <m/>
    <m/>
    <m/>
    <m/>
    <m/>
    <m/>
  </r>
  <r>
    <x v="197"/>
    <m/>
    <x v="10"/>
    <x v="0"/>
    <x v="0"/>
    <x v="4"/>
    <n v="4304465"/>
    <s v="BRIONES REYES MARIANA DE JESUS"/>
    <m/>
    <m/>
    <m/>
    <m/>
    <m/>
    <m/>
    <m/>
    <x v="1"/>
    <s v="SKY 70K PLUS - 100"/>
    <m/>
    <m/>
    <m/>
    <n v="3424.85"/>
    <m/>
    <m/>
    <m/>
    <m/>
    <m/>
    <m/>
    <m/>
    <m/>
    <m/>
  </r>
  <r>
    <x v="197"/>
    <d v="2024-11-30T00:00:00"/>
    <x v="10"/>
    <x v="0"/>
    <x v="1"/>
    <x v="3"/>
    <n v="35557"/>
    <s v="LUIS ALCIDES MOREIRA ESPINOZA"/>
    <m/>
    <m/>
    <m/>
    <m/>
    <m/>
    <m/>
    <m/>
    <x v="5"/>
    <s v="ASISKARE 500"/>
    <m/>
    <n v="110.74"/>
    <m/>
    <n v="1219.1559633027521"/>
    <m/>
    <m/>
    <m/>
    <m/>
    <m/>
    <m/>
    <m/>
    <m/>
    <m/>
  </r>
  <r>
    <x v="197"/>
    <d v="2024-11-30T00:00:00"/>
    <x v="10"/>
    <x v="0"/>
    <x v="1"/>
    <x v="3"/>
    <n v="35534"/>
    <s v="NICOLAS JOAQUIN PRIETO ENDERICA"/>
    <m/>
    <m/>
    <m/>
    <m/>
    <m/>
    <m/>
    <m/>
    <x v="5"/>
    <s v="Asispro 20"/>
    <m/>
    <n v="67.319999999999993"/>
    <m/>
    <n v="741.1376146788989"/>
    <m/>
    <m/>
    <m/>
    <m/>
    <m/>
    <m/>
    <m/>
    <m/>
    <m/>
  </r>
  <r>
    <x v="197"/>
    <m/>
    <x v="10"/>
    <x v="0"/>
    <x v="1"/>
    <x v="29"/>
    <m/>
    <s v="JULIO GUTIERREZ CHAVEZ"/>
    <m/>
    <m/>
    <m/>
    <m/>
    <m/>
    <m/>
    <m/>
    <x v="1"/>
    <s v="DENTAL MASTER"/>
    <m/>
    <n v="16.38"/>
    <m/>
    <n v="196.56"/>
    <m/>
    <m/>
    <m/>
    <m/>
    <m/>
    <m/>
    <m/>
    <m/>
    <m/>
  </r>
  <r>
    <x v="198"/>
    <m/>
    <x v="10"/>
    <x v="0"/>
    <x v="0"/>
    <x v="2"/>
    <n v="4304394"/>
    <s v="MACIAS BRIONES JULIO UNIGENIO"/>
    <m/>
    <m/>
    <m/>
    <m/>
    <m/>
    <m/>
    <m/>
    <x v="1"/>
    <s v="3D"/>
    <m/>
    <m/>
    <m/>
    <n v="2193.36"/>
    <m/>
    <m/>
    <m/>
    <m/>
    <m/>
    <m/>
    <m/>
    <m/>
    <m/>
  </r>
  <r>
    <x v="198"/>
    <m/>
    <x v="10"/>
    <x v="0"/>
    <x v="0"/>
    <x v="2"/>
    <n v="4304449"/>
    <s v="AGUAYO CEDEÑO GENESIS YOLANDA"/>
    <m/>
    <m/>
    <m/>
    <m/>
    <m/>
    <m/>
    <m/>
    <x v="1"/>
    <s v="STAR 15K LITE"/>
    <m/>
    <m/>
    <m/>
    <n v="775.96"/>
    <m/>
    <m/>
    <m/>
    <m/>
    <m/>
    <m/>
    <m/>
    <m/>
    <m/>
  </r>
  <r>
    <x v="198"/>
    <m/>
    <x v="10"/>
    <x v="0"/>
    <x v="0"/>
    <x v="8"/>
    <n v="4304532"/>
    <s v="JIBAJA RIVADENEIRA MARIO EDUARDO"/>
    <m/>
    <m/>
    <m/>
    <m/>
    <m/>
    <m/>
    <m/>
    <x v="1"/>
    <s v="3D"/>
    <m/>
    <m/>
    <m/>
    <n v="1826.32"/>
    <m/>
    <m/>
    <m/>
    <m/>
    <m/>
    <m/>
    <m/>
    <m/>
    <m/>
  </r>
  <r>
    <x v="198"/>
    <m/>
    <x v="10"/>
    <x v="0"/>
    <x v="0"/>
    <x v="11"/>
    <m/>
    <s v="PAZ COLOMA BRYAN EMILIO"/>
    <m/>
    <m/>
    <m/>
    <m/>
    <m/>
    <m/>
    <m/>
    <x v="5"/>
    <s v="Asispro 50"/>
    <m/>
    <m/>
    <m/>
    <n v="998.3"/>
    <m/>
    <m/>
    <m/>
    <m/>
    <m/>
    <m/>
    <m/>
    <m/>
    <m/>
  </r>
  <r>
    <x v="198"/>
    <m/>
    <x v="10"/>
    <x v="0"/>
    <x v="0"/>
    <x v="39"/>
    <n v="15841"/>
    <s v="SALCEDO FIGUEROA MARIA WUESTHFALIA"/>
    <m/>
    <m/>
    <m/>
    <m/>
    <m/>
    <m/>
    <m/>
    <x v="3"/>
    <m/>
    <m/>
    <m/>
    <m/>
    <n v="0"/>
    <m/>
    <m/>
    <m/>
    <m/>
    <m/>
    <m/>
    <m/>
    <m/>
    <m/>
  </r>
  <r>
    <x v="198"/>
    <m/>
    <x v="10"/>
    <x v="0"/>
    <x v="0"/>
    <x v="39"/>
    <n v="15961"/>
    <s v="VIDAL ORDOÑEZ NICOLE DENNISSE"/>
    <m/>
    <m/>
    <m/>
    <m/>
    <m/>
    <m/>
    <m/>
    <x v="3"/>
    <m/>
    <m/>
    <m/>
    <m/>
    <n v="0"/>
    <m/>
    <m/>
    <m/>
    <m/>
    <m/>
    <m/>
    <m/>
    <m/>
    <m/>
  </r>
  <r>
    <x v="198"/>
    <m/>
    <x v="10"/>
    <x v="0"/>
    <x v="0"/>
    <x v="2"/>
    <n v="4304738"/>
    <s v="NARANJO ROMO MARIA FERNANDA"/>
    <m/>
    <m/>
    <m/>
    <m/>
    <m/>
    <m/>
    <m/>
    <x v="1"/>
    <s v="SKY 50K PLUS - 100"/>
    <m/>
    <m/>
    <m/>
    <n v="1653.19"/>
    <m/>
    <m/>
    <m/>
    <m/>
    <m/>
    <m/>
    <m/>
    <m/>
    <m/>
  </r>
  <r>
    <x v="198"/>
    <m/>
    <x v="10"/>
    <x v="0"/>
    <x v="0"/>
    <x v="11"/>
    <m/>
    <s v="RIVADENEIRA PAZ FRANCOISE FRAYLAS"/>
    <m/>
    <m/>
    <m/>
    <m/>
    <m/>
    <m/>
    <m/>
    <x v="5"/>
    <s v="Asispro 50"/>
    <m/>
    <m/>
    <m/>
    <n v="1036.03"/>
    <m/>
    <m/>
    <m/>
    <m/>
    <m/>
    <m/>
    <m/>
    <m/>
    <m/>
  </r>
  <r>
    <x v="198"/>
    <m/>
    <x v="10"/>
    <x v="0"/>
    <x v="0"/>
    <x v="2"/>
    <n v="4304747"/>
    <s v="ALAVA HERMIDA MARIA MILAGRO"/>
    <m/>
    <m/>
    <m/>
    <m/>
    <m/>
    <m/>
    <m/>
    <x v="1"/>
    <s v="SKY 50K PLUS - 100"/>
    <m/>
    <m/>
    <m/>
    <n v="1686.86"/>
    <m/>
    <m/>
    <m/>
    <m/>
    <m/>
    <m/>
    <m/>
    <m/>
    <m/>
  </r>
  <r>
    <x v="198"/>
    <d v="2024-11-30T00:00:00"/>
    <x v="10"/>
    <x v="0"/>
    <x v="1"/>
    <x v="40"/>
    <n v="35514"/>
    <s v="DIANA GABRIELA CARREÑO SORNOZA"/>
    <m/>
    <m/>
    <m/>
    <m/>
    <m/>
    <m/>
    <m/>
    <x v="5"/>
    <s v="ASISKARE 500"/>
    <m/>
    <n v="27.79"/>
    <m/>
    <n v="305.94495412844037"/>
    <m/>
    <m/>
    <m/>
    <m/>
    <m/>
    <m/>
    <m/>
    <m/>
    <m/>
  </r>
  <r>
    <x v="198"/>
    <d v="2024-11-30T00:00:00"/>
    <x v="10"/>
    <x v="0"/>
    <x v="1"/>
    <x v="14"/>
    <n v="35507"/>
    <s v="BETSY GIANNELLA HABLICH ORTEGA"/>
    <m/>
    <m/>
    <n v="984056279"/>
    <m/>
    <m/>
    <m/>
    <m/>
    <x v="5"/>
    <s v="Asispro 20"/>
    <m/>
    <n v="95.15"/>
    <m/>
    <n v="1047.5229357798166"/>
    <m/>
    <m/>
    <m/>
    <m/>
    <m/>
    <m/>
    <m/>
    <m/>
    <m/>
  </r>
  <r>
    <x v="198"/>
    <d v="2024-11-30T00:00:00"/>
    <x v="10"/>
    <x v="0"/>
    <x v="1"/>
    <x v="14"/>
    <n v="35506"/>
    <s v="JENNY ALEXANDRA VINCES OROZCO"/>
    <m/>
    <m/>
    <m/>
    <m/>
    <m/>
    <m/>
    <m/>
    <x v="5"/>
    <s v="Asispro 30"/>
    <m/>
    <n v="113.28"/>
    <m/>
    <n v="1247.119266055046"/>
    <m/>
    <m/>
    <m/>
    <m/>
    <m/>
    <m/>
    <m/>
    <m/>
    <m/>
  </r>
  <r>
    <x v="198"/>
    <m/>
    <x v="10"/>
    <x v="0"/>
    <x v="1"/>
    <x v="43"/>
    <m/>
    <s v="CAMILA CECILIA CARRION LASSO"/>
    <m/>
    <m/>
    <m/>
    <m/>
    <m/>
    <m/>
    <m/>
    <x v="3"/>
    <s v="SENIOR 45000"/>
    <m/>
    <n v="115.45"/>
    <m/>
    <n v="1378.5074626865674"/>
    <m/>
    <m/>
    <m/>
    <m/>
    <m/>
    <m/>
    <m/>
    <m/>
    <m/>
  </r>
  <r>
    <x v="198"/>
    <m/>
    <x v="10"/>
    <x v="0"/>
    <x v="1"/>
    <x v="30"/>
    <m/>
    <s v="ANA LUISA ERAZO DIAZ"/>
    <m/>
    <m/>
    <m/>
    <m/>
    <m/>
    <m/>
    <m/>
    <x v="2"/>
    <s v="GMM"/>
    <m/>
    <n v="64.709999999999994"/>
    <m/>
    <n v="707.6567164179105"/>
    <m/>
    <m/>
    <m/>
    <m/>
    <m/>
    <m/>
    <m/>
    <m/>
    <m/>
  </r>
  <r>
    <x v="198"/>
    <m/>
    <x v="10"/>
    <x v="0"/>
    <x v="1"/>
    <x v="30"/>
    <m/>
    <s v="PEDRO VICENTE MENDOZA ZAMBRANO"/>
    <m/>
    <m/>
    <m/>
    <m/>
    <m/>
    <m/>
    <m/>
    <x v="2"/>
    <s v="GMM"/>
    <m/>
    <n v="53.84"/>
    <m/>
    <n v="577.86567164179121"/>
    <m/>
    <m/>
    <m/>
    <m/>
    <m/>
    <m/>
    <m/>
    <m/>
    <m/>
  </r>
  <r>
    <x v="198"/>
    <m/>
    <x v="10"/>
    <x v="0"/>
    <x v="1"/>
    <x v="27"/>
    <m/>
    <s v="JUANA RAQUEL ALVARDO SALDAÑA"/>
    <m/>
    <m/>
    <m/>
    <m/>
    <m/>
    <m/>
    <m/>
    <x v="11"/>
    <s v="PLAN 80"/>
    <m/>
    <n v="63.27"/>
    <m/>
    <n v="755.46268656716427"/>
    <m/>
    <m/>
    <m/>
    <m/>
    <m/>
    <m/>
    <m/>
    <m/>
    <m/>
  </r>
  <r>
    <x v="199"/>
    <m/>
    <x v="11"/>
    <x v="0"/>
    <x v="1"/>
    <x v="6"/>
    <s v="GM24G51191"/>
    <s v="AURORA DEL CISNE ALVAREZ CASTILLO"/>
    <m/>
    <m/>
    <m/>
    <m/>
    <m/>
    <m/>
    <m/>
    <x v="2"/>
    <s v="GMM"/>
    <m/>
    <n v="88.279999999999987"/>
    <m/>
    <n v="989.08955223880594"/>
    <m/>
    <m/>
    <m/>
    <m/>
    <m/>
    <m/>
    <m/>
    <m/>
    <m/>
  </r>
  <r>
    <x v="200"/>
    <m/>
    <x v="11"/>
    <x v="0"/>
    <x v="0"/>
    <x v="2"/>
    <m/>
    <s v="HINOJOSA MURILLO BORYS MICHAEL"/>
    <m/>
    <m/>
    <m/>
    <m/>
    <m/>
    <m/>
    <m/>
    <x v="1"/>
    <s v="STAR 15K - 70"/>
    <m/>
    <m/>
    <m/>
    <n v="1362.57"/>
    <m/>
    <m/>
    <m/>
    <m/>
    <m/>
    <m/>
    <m/>
    <m/>
    <m/>
  </r>
  <r>
    <x v="200"/>
    <m/>
    <x v="11"/>
    <x v="3"/>
    <x v="0"/>
    <x v="39"/>
    <m/>
    <s v="PLAZA BOLAÑOS MARIA PATRICIA"/>
    <m/>
    <m/>
    <m/>
    <m/>
    <m/>
    <m/>
    <m/>
    <x v="2"/>
    <s v="GMM"/>
    <m/>
    <m/>
    <m/>
    <n v="0"/>
    <m/>
    <m/>
    <m/>
    <m/>
    <m/>
    <m/>
    <m/>
    <m/>
    <m/>
  </r>
  <r>
    <x v="201"/>
    <m/>
    <x v="11"/>
    <x v="0"/>
    <x v="1"/>
    <x v="6"/>
    <m/>
    <s v="LIGIA ANDREA FREIRE ACUÑA"/>
    <m/>
    <m/>
    <m/>
    <m/>
    <m/>
    <m/>
    <m/>
    <x v="12"/>
    <s v="SUPPORT"/>
    <m/>
    <n v="0"/>
    <n v="2793.05"/>
    <n v="2679.1542288557221"/>
    <m/>
    <m/>
    <m/>
    <m/>
    <m/>
    <m/>
    <m/>
    <m/>
    <m/>
  </r>
  <r>
    <x v="201"/>
    <m/>
    <x v="11"/>
    <x v="0"/>
    <x v="0"/>
    <x v="18"/>
    <m/>
    <s v="UGARTE EGUES CRISTINA DOMENICA"/>
    <m/>
    <m/>
    <m/>
    <m/>
    <m/>
    <m/>
    <m/>
    <x v="1"/>
    <s v="PRO 150K - 500 WALLET"/>
    <m/>
    <m/>
    <m/>
    <n v="2400.16"/>
    <m/>
    <m/>
    <m/>
    <m/>
    <m/>
    <m/>
    <m/>
    <m/>
    <m/>
  </r>
  <r>
    <x v="202"/>
    <m/>
    <x v="11"/>
    <x v="0"/>
    <x v="0"/>
    <x v="13"/>
    <m/>
    <s v="CEVALLOS BARRIGA JORGE EMILIO"/>
    <m/>
    <m/>
    <m/>
    <m/>
    <m/>
    <m/>
    <m/>
    <x v="2"/>
    <s v="GMM"/>
    <m/>
    <m/>
    <m/>
    <n v="779.73"/>
    <m/>
    <m/>
    <m/>
    <m/>
    <m/>
    <m/>
    <m/>
    <m/>
    <m/>
  </r>
  <r>
    <x v="202"/>
    <m/>
    <x v="11"/>
    <x v="0"/>
    <x v="0"/>
    <x v="13"/>
    <m/>
    <s v="OCHOA OCHOA MARIA PATRICIA"/>
    <m/>
    <m/>
    <m/>
    <m/>
    <m/>
    <m/>
    <m/>
    <x v="2"/>
    <s v="GMM"/>
    <m/>
    <m/>
    <m/>
    <n v="360.08"/>
    <m/>
    <m/>
    <m/>
    <m/>
    <m/>
    <m/>
    <m/>
    <m/>
    <m/>
  </r>
  <r>
    <x v="202"/>
    <m/>
    <x v="11"/>
    <x v="3"/>
    <x v="0"/>
    <x v="39"/>
    <m/>
    <s v="GALARZA GALARZA BLANCA LISENCI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GUERRERO YEPEZ ROSA ELIAN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PLUAS LUCIO MONICA SAYENK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PLAZA BOLAÑOS MARIA PATRICI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TIRCIO RODRIGUEZ MONICA EDITH"/>
    <m/>
    <m/>
    <m/>
    <m/>
    <m/>
    <m/>
    <m/>
    <x v="3"/>
    <m/>
    <m/>
    <m/>
    <m/>
    <n v="0"/>
    <m/>
    <m/>
    <m/>
    <m/>
    <m/>
    <m/>
    <m/>
    <m/>
    <m/>
  </r>
  <r>
    <x v="203"/>
    <d v="2024-12-10T00:00:00"/>
    <x v="11"/>
    <x v="0"/>
    <x v="1"/>
    <x v="43"/>
    <n v="35595"/>
    <s v="NATALIA CRISTINA NAVARRO ALVAREZ"/>
    <m/>
    <n v="931902530"/>
    <m/>
    <m/>
    <m/>
    <m/>
    <m/>
    <x v="5"/>
    <s v="Asispro 20"/>
    <m/>
    <n v="66.489999999999995"/>
    <m/>
    <n v="731.99999999999989"/>
    <m/>
    <m/>
    <m/>
    <m/>
    <m/>
    <m/>
    <m/>
    <m/>
    <m/>
  </r>
  <r>
    <x v="203"/>
    <m/>
    <x v="11"/>
    <x v="0"/>
    <x v="1"/>
    <x v="12"/>
    <m/>
    <s v="NATASHA ISABELLA ALVARADO ZAVALA"/>
    <m/>
    <m/>
    <m/>
    <m/>
    <m/>
    <m/>
    <m/>
    <x v="7"/>
    <s v="CONFIPLUS"/>
    <m/>
    <n v="84.29"/>
    <m/>
    <n v="1006.44776119403"/>
    <m/>
    <m/>
    <m/>
    <m/>
    <m/>
    <m/>
    <m/>
    <m/>
    <m/>
  </r>
  <r>
    <x v="203"/>
    <m/>
    <x v="11"/>
    <x v="0"/>
    <x v="1"/>
    <x v="21"/>
    <m/>
    <s v="MARCOS WILFRIDO VILLEGAS PILALOA"/>
    <m/>
    <m/>
    <m/>
    <m/>
    <m/>
    <m/>
    <m/>
    <x v="11"/>
    <s v="PLAN 70"/>
    <m/>
    <n v="53.09"/>
    <m/>
    <n v="633.91044776119418"/>
    <m/>
    <m/>
    <m/>
    <m/>
    <m/>
    <m/>
    <m/>
    <m/>
    <m/>
  </r>
  <r>
    <x v="203"/>
    <m/>
    <x v="11"/>
    <x v="0"/>
    <x v="1"/>
    <x v="21"/>
    <m/>
    <s v="MAGALI PATRICIA VILLEGAS PILALOA"/>
    <m/>
    <m/>
    <m/>
    <m/>
    <m/>
    <m/>
    <m/>
    <x v="11"/>
    <s v="PLAN 70"/>
    <m/>
    <n v="68.8"/>
    <m/>
    <n v="821.49253731343288"/>
    <m/>
    <m/>
    <m/>
    <m/>
    <m/>
    <m/>
    <m/>
    <m/>
    <m/>
  </r>
  <r>
    <x v="203"/>
    <m/>
    <x v="11"/>
    <x v="0"/>
    <x v="1"/>
    <x v="21"/>
    <m/>
    <s v="ANDREA PAULETJ UQUILLAS PILALOA"/>
    <m/>
    <m/>
    <m/>
    <m/>
    <m/>
    <m/>
    <m/>
    <x v="11"/>
    <s v="PLAN 70"/>
    <m/>
    <n v="41.76"/>
    <m/>
    <n v="498.62686567164184"/>
    <m/>
    <m/>
    <m/>
    <m/>
    <m/>
    <m/>
    <m/>
    <m/>
    <m/>
  </r>
  <r>
    <x v="203"/>
    <m/>
    <x v="11"/>
    <x v="0"/>
    <x v="0"/>
    <x v="1"/>
    <m/>
    <s v="BURGOS MUÑOZ RITA JACQUELINE"/>
    <m/>
    <m/>
    <m/>
    <m/>
    <m/>
    <m/>
    <m/>
    <x v="15"/>
    <m/>
    <m/>
    <m/>
    <m/>
    <n v="982.54"/>
    <m/>
    <m/>
    <m/>
    <m/>
    <m/>
    <m/>
    <m/>
    <m/>
    <m/>
  </r>
  <r>
    <x v="204"/>
    <m/>
    <x v="11"/>
    <x v="0"/>
    <x v="1"/>
    <x v="43"/>
    <m/>
    <s v="ERNESTO FEDERICO RAMIA ANTUNEZ"/>
    <m/>
    <m/>
    <m/>
    <m/>
    <m/>
    <m/>
    <m/>
    <x v="3"/>
    <s v="SENIOR 45000"/>
    <m/>
    <n v="75.91"/>
    <m/>
    <n v="906.38805970149258"/>
    <m/>
    <m/>
    <m/>
    <m/>
    <m/>
    <m/>
    <m/>
    <m/>
    <m/>
  </r>
  <r>
    <x v="205"/>
    <d v="2024-12-10T00:00:00"/>
    <x v="11"/>
    <x v="0"/>
    <x v="1"/>
    <x v="15"/>
    <n v="4305339"/>
    <s v="JAVIER SANTIAGO CASTAÑEDA REYES"/>
    <m/>
    <n v="915789796"/>
    <m/>
    <m/>
    <m/>
    <m/>
    <m/>
    <x v="1"/>
    <s v="DENTAL MASTER"/>
    <m/>
    <n v="13.83"/>
    <m/>
    <n v="165.96"/>
    <m/>
    <m/>
    <m/>
    <m/>
    <m/>
    <m/>
    <m/>
    <m/>
    <m/>
  </r>
  <r>
    <x v="205"/>
    <d v="2024-12-10T00:00:00"/>
    <x v="11"/>
    <x v="0"/>
    <x v="1"/>
    <x v="29"/>
    <n v="35632"/>
    <s v="ALEXANDRA ELIZABETH QUIÑONEZ CABEZAS"/>
    <m/>
    <m/>
    <m/>
    <m/>
    <m/>
    <m/>
    <m/>
    <x v="5"/>
    <s v="Asispro 20"/>
    <m/>
    <n v="80.08"/>
    <m/>
    <n v="881.61467889908249"/>
    <m/>
    <m/>
    <m/>
    <m/>
    <m/>
    <m/>
    <m/>
    <m/>
    <m/>
  </r>
  <r>
    <x v="205"/>
    <m/>
    <x v="11"/>
    <x v="0"/>
    <x v="0"/>
    <x v="18"/>
    <m/>
    <s v="FERNANDEZ MORETA ERICK JOEL"/>
    <m/>
    <m/>
    <m/>
    <m/>
    <m/>
    <m/>
    <m/>
    <x v="1"/>
    <s v="STAR 15K - 70"/>
    <m/>
    <m/>
    <m/>
    <n v="477.58"/>
    <m/>
    <m/>
    <m/>
    <m/>
    <m/>
    <m/>
    <m/>
    <m/>
    <m/>
  </r>
  <r>
    <x v="205"/>
    <m/>
    <x v="11"/>
    <x v="0"/>
    <x v="0"/>
    <x v="9"/>
    <m/>
    <s v="BRAVO OJEDA VICTOR ALBERTO"/>
    <m/>
    <m/>
    <m/>
    <m/>
    <m/>
    <m/>
    <m/>
    <x v="1"/>
    <s v="STAR 30K LITE"/>
    <m/>
    <m/>
    <m/>
    <n v="829.81"/>
    <m/>
    <m/>
    <m/>
    <m/>
    <m/>
    <m/>
    <m/>
    <m/>
    <s v="HOLA@DIB.COM"/>
  </r>
  <r>
    <x v="205"/>
    <m/>
    <x v="11"/>
    <x v="0"/>
    <x v="0"/>
    <x v="4"/>
    <m/>
    <s v="AGUILAR ARIAS MARIA DEL ROCIO"/>
    <m/>
    <m/>
    <m/>
    <m/>
    <m/>
    <m/>
    <m/>
    <x v="1"/>
    <s v="SKY 70 PLUS - 100"/>
    <m/>
    <m/>
    <m/>
    <n v="2722.89"/>
    <m/>
    <m/>
    <m/>
    <m/>
    <m/>
    <m/>
    <m/>
    <m/>
    <m/>
  </r>
  <r>
    <x v="206"/>
    <d v="2024-12-20T00:00:00"/>
    <x v="11"/>
    <x v="0"/>
    <x v="1"/>
    <x v="3"/>
    <n v="35641"/>
    <s v="MARIA ALEXANDRA CASTILLO MALO"/>
    <m/>
    <m/>
    <m/>
    <m/>
    <m/>
    <m/>
    <m/>
    <x v="5"/>
    <s v="ASISKARE 500"/>
    <m/>
    <n v="48.2"/>
    <m/>
    <n v="530.64220183486248"/>
    <m/>
    <m/>
    <m/>
    <m/>
    <m/>
    <m/>
    <m/>
    <m/>
    <s v="HOLA@DIB.COM"/>
  </r>
  <r>
    <x v="206"/>
    <d v="2024-12-16T00:00:00"/>
    <x v="11"/>
    <x v="0"/>
    <x v="1"/>
    <x v="3"/>
    <m/>
    <s v="RONALD GUSTAVO REESE RAMIREZ"/>
    <m/>
    <m/>
    <m/>
    <m/>
    <m/>
    <m/>
    <m/>
    <x v="7"/>
    <s v="CONFIPLUS"/>
    <m/>
    <n v="196.18"/>
    <m/>
    <n v="2342.4477611940301"/>
    <m/>
    <m/>
    <m/>
    <m/>
    <m/>
    <m/>
    <m/>
    <m/>
    <m/>
  </r>
  <r>
    <x v="206"/>
    <m/>
    <x v="11"/>
    <x v="0"/>
    <x v="1"/>
    <x v="12"/>
    <m/>
    <s v="KERLY NELITZA CAMCHONG PORTUGAL"/>
    <m/>
    <m/>
    <m/>
    <m/>
    <m/>
    <m/>
    <m/>
    <x v="11"/>
    <s v="PLAN 80"/>
    <m/>
    <n v="50.25"/>
    <m/>
    <n v="600.00000000000011"/>
    <m/>
    <m/>
    <m/>
    <m/>
    <m/>
    <m/>
    <m/>
    <m/>
    <m/>
  </r>
  <r>
    <x v="206"/>
    <m/>
    <x v="11"/>
    <x v="0"/>
    <x v="0"/>
    <x v="18"/>
    <m/>
    <s v="MOSCOSO SALAZAR RAUL MIGUEL"/>
    <m/>
    <m/>
    <m/>
    <m/>
    <m/>
    <m/>
    <m/>
    <x v="1"/>
    <s v="STAR 70K - 100 LITE"/>
    <m/>
    <m/>
    <m/>
    <n v="1231.23"/>
    <m/>
    <m/>
    <m/>
    <m/>
    <m/>
    <m/>
    <m/>
    <m/>
    <m/>
  </r>
  <r>
    <x v="207"/>
    <m/>
    <x v="11"/>
    <x v="1"/>
    <x v="1"/>
    <x v="14"/>
    <m/>
    <s v="ABEL ANDRES ROMAN PARRAGA"/>
    <m/>
    <m/>
    <m/>
    <m/>
    <m/>
    <m/>
    <m/>
    <x v="1"/>
    <s v="SKY 50"/>
    <m/>
    <n v="140.58000000000001"/>
    <m/>
    <n v="1686.96"/>
    <m/>
    <m/>
    <m/>
    <m/>
    <m/>
    <m/>
    <m/>
    <m/>
    <m/>
  </r>
  <r>
    <x v="207"/>
    <m/>
    <x v="11"/>
    <x v="0"/>
    <x v="1"/>
    <x v="14"/>
    <m/>
    <s v="ESDRAS FERNANDEZ JARA"/>
    <m/>
    <m/>
    <m/>
    <m/>
    <m/>
    <m/>
    <m/>
    <x v="10"/>
    <s v="TRAVEL"/>
    <m/>
    <n v="0"/>
    <m/>
    <n v="174.9"/>
    <m/>
    <m/>
    <m/>
    <m/>
    <m/>
    <m/>
    <m/>
    <m/>
    <m/>
  </r>
  <r>
    <x v="207"/>
    <m/>
    <x v="11"/>
    <x v="0"/>
    <x v="1"/>
    <x v="14"/>
    <m/>
    <s v="MARIUXI TORRES "/>
    <m/>
    <m/>
    <m/>
    <m/>
    <m/>
    <m/>
    <m/>
    <x v="1"/>
    <s v="STAR 15"/>
    <m/>
    <n v="71.88"/>
    <m/>
    <n v="862.56"/>
    <m/>
    <m/>
    <m/>
    <m/>
    <m/>
    <m/>
    <m/>
    <m/>
    <m/>
  </r>
  <r>
    <x v="207"/>
    <m/>
    <x v="11"/>
    <x v="0"/>
    <x v="1"/>
    <x v="14"/>
    <m/>
    <s v="MISHEL SALTOS CASTILLO"/>
    <m/>
    <m/>
    <m/>
    <m/>
    <m/>
    <m/>
    <m/>
    <x v="11"/>
    <s v="PLAN 80"/>
    <m/>
    <n v="80.77"/>
    <m/>
    <n v="964.4179104477613"/>
    <m/>
    <m/>
    <m/>
    <m/>
    <m/>
    <m/>
    <m/>
    <m/>
    <m/>
  </r>
  <r>
    <x v="208"/>
    <m/>
    <x v="0"/>
    <x v="0"/>
    <x v="0"/>
    <x v="11"/>
    <n v="4306535"/>
    <s v="ALEXI REINALDO PARRA MONSERRATE"/>
    <m/>
    <m/>
    <m/>
    <m/>
    <m/>
    <m/>
    <m/>
    <x v="1"/>
    <m/>
    <m/>
    <m/>
    <m/>
    <n v="2430.13"/>
    <m/>
    <m/>
    <m/>
    <m/>
    <m/>
    <m/>
    <m/>
    <m/>
    <m/>
  </r>
  <r>
    <x v="208"/>
    <m/>
    <x v="0"/>
    <x v="0"/>
    <x v="0"/>
    <x v="11"/>
    <n v="4306536"/>
    <s v="ALEXIS REINALDO PARRA MONSERRATE"/>
    <m/>
    <m/>
    <m/>
    <m/>
    <m/>
    <m/>
    <m/>
    <x v="1"/>
    <m/>
    <m/>
    <m/>
    <m/>
    <n v="1015.36"/>
    <m/>
    <s v="EMITIDO"/>
    <m/>
    <m/>
    <m/>
    <m/>
    <m/>
    <m/>
    <m/>
  </r>
  <r>
    <x v="208"/>
    <m/>
    <x v="0"/>
    <x v="0"/>
    <x v="3"/>
    <x v="2"/>
    <n v="4306684"/>
    <s v="SANTIAGO JAVIER CHERREZ PASTOR"/>
    <m/>
    <m/>
    <m/>
    <m/>
    <m/>
    <m/>
    <m/>
    <x v="1"/>
    <m/>
    <m/>
    <m/>
    <m/>
    <n v="1785.25"/>
    <m/>
    <s v="EMITIDO"/>
    <m/>
    <m/>
    <m/>
    <m/>
    <m/>
    <m/>
    <m/>
  </r>
  <r>
    <x v="209"/>
    <d v="2025-01-07T00:00:00"/>
    <x v="0"/>
    <x v="0"/>
    <x v="4"/>
    <x v="45"/>
    <m/>
    <s v="HENRY ALFREDO NORIOSHI FULLEDA GONZALEZ"/>
    <m/>
    <m/>
    <m/>
    <s v="TARJETA DE CREDITO"/>
    <m/>
    <s v="FITFLOW S.A."/>
    <m/>
    <x v="6"/>
    <s v="AC35"/>
    <m/>
    <m/>
    <m/>
    <n v="45"/>
    <m/>
    <s v="EMITIDO"/>
    <s v="SI"/>
    <s v="SI"/>
    <m/>
    <m/>
    <m/>
    <m/>
    <m/>
  </r>
  <r>
    <x v="210"/>
    <m/>
    <x v="0"/>
    <x v="0"/>
    <x v="1"/>
    <x v="15"/>
    <m/>
    <s v="STEFANY BRIGGITTE ANASTACIO VINUEZA"/>
    <m/>
    <m/>
    <m/>
    <m/>
    <m/>
    <m/>
    <m/>
    <x v="3"/>
    <s v="MASTER 75000"/>
    <m/>
    <n v="84.15"/>
    <m/>
    <n v="1009.8000000000001"/>
    <m/>
    <s v="EMITIDO"/>
    <m/>
    <m/>
    <m/>
    <m/>
    <m/>
    <m/>
    <m/>
  </r>
  <r>
    <x v="210"/>
    <m/>
    <x v="0"/>
    <x v="0"/>
    <x v="1"/>
    <x v="15"/>
    <m/>
    <s v="STEFANY BRIGGITTE ANASTACIO VINUEZA"/>
    <m/>
    <m/>
    <m/>
    <m/>
    <m/>
    <m/>
    <m/>
    <x v="2"/>
    <s v="GMM"/>
    <m/>
    <n v="24.57"/>
    <m/>
    <n v="229.84000000000003"/>
    <m/>
    <s v="EMITIDO"/>
    <m/>
    <m/>
    <m/>
    <m/>
    <m/>
    <m/>
    <m/>
  </r>
  <r>
    <x v="211"/>
    <m/>
    <x v="0"/>
    <x v="0"/>
    <x v="5"/>
    <x v="46"/>
    <n v="35903"/>
    <s v="GILBER BOSCAN"/>
    <m/>
    <m/>
    <m/>
    <m/>
    <m/>
    <m/>
    <m/>
    <x v="5"/>
    <s v="ASISKARE 500"/>
    <m/>
    <n v="55.998599999999996"/>
    <m/>
    <n v="671.9831999999999"/>
    <m/>
    <s v="EMITIDO"/>
    <m/>
    <m/>
    <m/>
    <m/>
    <m/>
    <m/>
    <m/>
  </r>
  <r>
    <x v="211"/>
    <m/>
    <x v="0"/>
    <x v="0"/>
    <x v="5"/>
    <x v="46"/>
    <n v="35904"/>
    <s v="GILBER BOSCAN"/>
    <m/>
    <m/>
    <m/>
    <m/>
    <m/>
    <m/>
    <m/>
    <x v="5"/>
    <s v="Asispro 30"/>
    <m/>
    <n v="257.37044999999995"/>
    <m/>
    <n v="3088.4453999999996"/>
    <m/>
    <s v="EMITIDO"/>
    <m/>
    <m/>
    <m/>
    <m/>
    <m/>
    <m/>
    <m/>
  </r>
  <r>
    <x v="211"/>
    <d v="2025-01-13T00:00:00"/>
    <x v="0"/>
    <x v="0"/>
    <x v="1"/>
    <x v="6"/>
    <n v="4307174"/>
    <s v="FABRICIO ERNESCO COBOS ARBELAEZ"/>
    <m/>
    <n v="916778749"/>
    <m/>
    <s v="DEBITO BANCARIO"/>
    <s v="SEMESTRAL"/>
    <m/>
    <m/>
    <x v="1"/>
    <s v="ELITE 5D"/>
    <m/>
    <n v="80.48"/>
    <m/>
    <n v="965.76"/>
    <m/>
    <s v="EMITIDO"/>
    <m/>
    <m/>
    <m/>
    <m/>
    <m/>
    <m/>
    <m/>
  </r>
  <r>
    <x v="212"/>
    <m/>
    <x v="0"/>
    <x v="0"/>
    <x v="0"/>
    <x v="9"/>
    <n v="4306646"/>
    <s v="MARIA JOSE FICHAMBA SALAZAR"/>
    <m/>
    <m/>
    <m/>
    <m/>
    <m/>
    <m/>
    <m/>
    <x v="1"/>
    <m/>
    <m/>
    <m/>
    <m/>
    <n v="2356.46"/>
    <m/>
    <s v="EMITIDO"/>
    <m/>
    <m/>
    <m/>
    <m/>
    <m/>
    <m/>
    <m/>
  </r>
  <r>
    <x v="212"/>
    <m/>
    <x v="0"/>
    <x v="0"/>
    <x v="3"/>
    <x v="47"/>
    <s v="GM25G52109"/>
    <s v="JUAN JOSE ARROBA FRANCO"/>
    <m/>
    <m/>
    <m/>
    <m/>
    <m/>
    <m/>
    <m/>
    <x v="2"/>
    <m/>
    <m/>
    <m/>
    <m/>
    <n v="425.1"/>
    <m/>
    <s v="EMITIDO"/>
    <m/>
    <m/>
    <m/>
    <m/>
    <m/>
    <m/>
    <m/>
  </r>
  <r>
    <x v="212"/>
    <m/>
    <x v="0"/>
    <x v="0"/>
    <x v="0"/>
    <x v="42"/>
    <n v="16578"/>
    <s v="JULIO CESAR DE LUNA"/>
    <m/>
    <m/>
    <m/>
    <m/>
    <m/>
    <m/>
    <m/>
    <x v="3"/>
    <m/>
    <m/>
    <m/>
    <m/>
    <n v="585.30999999999995"/>
    <m/>
    <s v="EMITIDO"/>
    <m/>
    <m/>
    <m/>
    <m/>
    <m/>
    <m/>
    <m/>
  </r>
  <r>
    <x v="212"/>
    <m/>
    <x v="0"/>
    <x v="0"/>
    <x v="3"/>
    <x v="2"/>
    <n v="16616"/>
    <s v="MARCELO ANDRES CORDOVA AGUILAR"/>
    <m/>
    <m/>
    <m/>
    <m/>
    <m/>
    <m/>
    <m/>
    <x v="3"/>
    <m/>
    <m/>
    <m/>
    <m/>
    <n v="761.53"/>
    <m/>
    <s v="EMITIDO"/>
    <m/>
    <m/>
    <m/>
    <m/>
    <m/>
    <m/>
    <m/>
  </r>
  <r>
    <x v="212"/>
    <m/>
    <x v="0"/>
    <x v="0"/>
    <x v="3"/>
    <x v="2"/>
    <n v="4307231"/>
    <s v="WILLIAMS ORTIZ VILLACRES"/>
    <m/>
    <m/>
    <m/>
    <m/>
    <m/>
    <m/>
    <m/>
    <x v="1"/>
    <m/>
    <m/>
    <m/>
    <m/>
    <n v="538.59"/>
    <m/>
    <s v="EMITIDO"/>
    <m/>
    <m/>
    <m/>
    <m/>
    <m/>
    <m/>
    <m/>
  </r>
  <r>
    <x v="212"/>
    <m/>
    <x v="0"/>
    <x v="0"/>
    <x v="1"/>
    <x v="30"/>
    <s v="AI25G22025"/>
    <s v="WILSON JAVIER VELEZ MOYANO"/>
    <m/>
    <m/>
    <m/>
    <m/>
    <m/>
    <m/>
    <m/>
    <x v="2"/>
    <m/>
    <m/>
    <n v="334.68"/>
    <m/>
    <n v="4016.16"/>
    <m/>
    <s v="EMITIDO"/>
    <m/>
    <m/>
    <m/>
    <m/>
    <m/>
    <m/>
    <m/>
  </r>
  <r>
    <x v="213"/>
    <m/>
    <x v="0"/>
    <x v="0"/>
    <x v="1"/>
    <x v="43"/>
    <n v="35926"/>
    <s v="MARISOL ORMEÑO O BRYEN"/>
    <m/>
    <m/>
    <m/>
    <m/>
    <m/>
    <m/>
    <m/>
    <x v="5"/>
    <m/>
    <m/>
    <n v="239.22014999999999"/>
    <m/>
    <n v="2870.6417999999999"/>
    <m/>
    <s v="EMITIDO"/>
    <m/>
    <m/>
    <m/>
    <m/>
    <m/>
    <m/>
    <m/>
  </r>
  <r>
    <x v="213"/>
    <m/>
    <x v="0"/>
    <x v="0"/>
    <x v="3"/>
    <x v="2"/>
    <n v="4307144"/>
    <s v="LUIS RIVADENERIRA BERRONE"/>
    <m/>
    <m/>
    <m/>
    <m/>
    <m/>
    <m/>
    <m/>
    <x v="1"/>
    <m/>
    <m/>
    <m/>
    <m/>
    <n v="549.58000000000004"/>
    <m/>
    <s v="EMITIDO"/>
    <m/>
    <m/>
    <m/>
    <m/>
    <m/>
    <m/>
    <m/>
  </r>
  <r>
    <x v="213"/>
    <m/>
    <x v="0"/>
    <x v="0"/>
    <x v="3"/>
    <x v="47"/>
    <s v="GM25Q52289"/>
    <s v="MARCOS DEMOSTENES SABANDO GARCIA"/>
    <m/>
    <m/>
    <m/>
    <m/>
    <m/>
    <m/>
    <m/>
    <x v="2"/>
    <m/>
    <m/>
    <m/>
    <m/>
    <n v="749.86"/>
    <m/>
    <s v="EMITIDO"/>
    <m/>
    <m/>
    <m/>
    <m/>
    <m/>
    <m/>
    <m/>
  </r>
  <r>
    <x v="213"/>
    <m/>
    <x v="0"/>
    <x v="0"/>
    <x v="3"/>
    <x v="47"/>
    <n v="16618"/>
    <s v="ROGER GEOVANNY AVILES ESPINAR"/>
    <m/>
    <m/>
    <m/>
    <m/>
    <m/>
    <m/>
    <m/>
    <x v="3"/>
    <m/>
    <m/>
    <m/>
    <m/>
    <n v="1116.72"/>
    <m/>
    <s v="EMITIDO"/>
    <m/>
    <m/>
    <m/>
    <m/>
    <m/>
    <m/>
    <m/>
  </r>
  <r>
    <x v="213"/>
    <m/>
    <x v="0"/>
    <x v="0"/>
    <x v="0"/>
    <x v="42"/>
    <n v="4307153"/>
    <s v="JONATHAN RAMIRO RAMIA ANZULEZ"/>
    <m/>
    <m/>
    <m/>
    <m/>
    <m/>
    <m/>
    <m/>
    <x v="1"/>
    <m/>
    <m/>
    <m/>
    <m/>
    <n v="821.21"/>
    <m/>
    <s v="EMITIDO"/>
    <m/>
    <m/>
    <m/>
    <m/>
    <m/>
    <m/>
    <m/>
  </r>
  <r>
    <x v="213"/>
    <m/>
    <x v="0"/>
    <x v="0"/>
    <x v="0"/>
    <x v="11"/>
    <n v="4307618"/>
    <s v="GIANCARLOS EMANUEL ZAMORA MUÑOZ"/>
    <m/>
    <m/>
    <m/>
    <m/>
    <m/>
    <m/>
    <m/>
    <x v="1"/>
    <m/>
    <m/>
    <m/>
    <m/>
    <n v="681.51"/>
    <m/>
    <s v="EMITIDO"/>
    <m/>
    <m/>
    <m/>
    <m/>
    <m/>
    <m/>
    <m/>
  </r>
  <r>
    <x v="213"/>
    <m/>
    <x v="0"/>
    <x v="0"/>
    <x v="0"/>
    <x v="42"/>
    <n v="4307594"/>
    <s v="ERCKA LORENA PLUAS ALVARADO"/>
    <m/>
    <m/>
    <m/>
    <m/>
    <m/>
    <m/>
    <m/>
    <x v="1"/>
    <m/>
    <m/>
    <m/>
    <m/>
    <n v="717.81"/>
    <m/>
    <s v="EMITIDO"/>
    <m/>
    <m/>
    <m/>
    <m/>
    <m/>
    <m/>
    <m/>
  </r>
  <r>
    <x v="213"/>
    <m/>
    <x v="0"/>
    <x v="0"/>
    <x v="0"/>
    <x v="18"/>
    <n v="4307621"/>
    <s v="DANIELA JACQUELINE GONZALEZ GUERRA"/>
    <m/>
    <m/>
    <m/>
    <m/>
    <m/>
    <m/>
    <m/>
    <x v="1"/>
    <m/>
    <m/>
    <m/>
    <m/>
    <n v="904.07"/>
    <m/>
    <s v="EMITIDO"/>
    <m/>
    <m/>
    <m/>
    <m/>
    <m/>
    <m/>
    <m/>
  </r>
  <r>
    <x v="213"/>
    <m/>
    <x v="0"/>
    <x v="0"/>
    <x v="0"/>
    <x v="18"/>
    <n v="4307493"/>
    <s v="ANDRES FERNANDO OÑATE CISNEROS"/>
    <m/>
    <m/>
    <m/>
    <m/>
    <m/>
    <m/>
    <m/>
    <x v="1"/>
    <m/>
    <m/>
    <m/>
    <m/>
    <n v="3164.32"/>
    <m/>
    <s v="EMITIDO"/>
    <m/>
    <m/>
    <m/>
    <m/>
    <m/>
    <m/>
    <m/>
  </r>
  <r>
    <x v="213"/>
    <m/>
    <x v="0"/>
    <x v="0"/>
    <x v="3"/>
    <x v="2"/>
    <m/>
    <s v="RUBEN DAVID APOLINARIO GUTIERREZ"/>
    <m/>
    <m/>
    <m/>
    <m/>
    <m/>
    <m/>
    <m/>
    <x v="3"/>
    <m/>
    <m/>
    <m/>
    <m/>
    <n v="3391.78"/>
    <m/>
    <s v="EMITIDO"/>
    <m/>
    <m/>
    <m/>
    <m/>
    <m/>
    <m/>
    <m/>
  </r>
  <r>
    <x v="213"/>
    <m/>
    <x v="0"/>
    <x v="0"/>
    <x v="3"/>
    <x v="47"/>
    <m/>
    <s v="MARIA DE LOS ANGELES AVILES DE LA CRUZ"/>
    <m/>
    <m/>
    <m/>
    <m/>
    <m/>
    <m/>
    <m/>
    <x v="3"/>
    <m/>
    <m/>
    <m/>
    <m/>
    <n v="653.6"/>
    <m/>
    <s v="EMITIDO"/>
    <m/>
    <m/>
    <m/>
    <m/>
    <m/>
    <m/>
    <m/>
  </r>
  <r>
    <x v="214"/>
    <d v="2025-02-01T00:00:00"/>
    <x v="0"/>
    <x v="0"/>
    <x v="1"/>
    <x v="23"/>
    <n v="16635"/>
    <s v="LIANA BETZABETH ZAMBRANO ZAMBRANO"/>
    <m/>
    <m/>
    <m/>
    <m/>
    <m/>
    <m/>
    <m/>
    <x v="3"/>
    <s v="SUPREMO"/>
    <m/>
    <n v="115.15"/>
    <m/>
    <n v="1381.8000000000002"/>
    <s v="60% PRIMERA CUOTA"/>
    <s v="EMITIDO"/>
    <m/>
    <m/>
    <m/>
    <m/>
    <m/>
    <m/>
    <m/>
  </r>
  <r>
    <x v="215"/>
    <m/>
    <x v="0"/>
    <x v="0"/>
    <x v="5"/>
    <x v="46"/>
    <n v="35960"/>
    <s v="FERNANDO JAVIER FABRE ARIAS"/>
    <m/>
    <m/>
    <m/>
    <m/>
    <m/>
    <m/>
    <m/>
    <x v="5"/>
    <s v="ASISPRO 20"/>
    <m/>
    <n v="234.16499999999996"/>
    <m/>
    <n v="2809.9799999999996"/>
    <s v="CARGADO POR EL PORTAL DEL DIRECTOR DE SALA"/>
    <s v="EMITIDO"/>
    <m/>
    <m/>
    <m/>
    <m/>
    <m/>
    <m/>
    <m/>
  </r>
  <r>
    <x v="215"/>
    <m/>
    <x v="0"/>
    <x v="0"/>
    <x v="1"/>
    <x v="48"/>
    <n v="4307757"/>
    <s v="ARIANA MISHAELL CORDERO VALDIVIESO"/>
    <m/>
    <m/>
    <m/>
    <m/>
    <m/>
    <m/>
    <m/>
    <x v="1"/>
    <s v="SKY 50 PLUS - 100"/>
    <m/>
    <n v="126.43"/>
    <m/>
    <n v="1517.16"/>
    <m/>
    <s v="EMITIDO"/>
    <m/>
    <m/>
    <m/>
    <m/>
    <m/>
    <m/>
    <m/>
  </r>
  <r>
    <x v="215"/>
    <m/>
    <x v="0"/>
    <x v="0"/>
    <x v="1"/>
    <x v="15"/>
    <n v="4307812"/>
    <s v="KARINA BETHSABE TAPIA FIGUEROA"/>
    <m/>
    <m/>
    <m/>
    <m/>
    <m/>
    <m/>
    <m/>
    <x v="1"/>
    <s v="SKY 70 PLUS"/>
    <m/>
    <n v="124"/>
    <m/>
    <n v="1488"/>
    <m/>
    <s v="EMITIDO"/>
    <m/>
    <m/>
    <m/>
    <m/>
    <m/>
    <m/>
    <m/>
  </r>
  <r>
    <x v="216"/>
    <m/>
    <x v="0"/>
    <x v="0"/>
    <x v="1"/>
    <x v="43"/>
    <n v="35968"/>
    <s v="ELIANA BETZABETH MERCHAN BAQUERIZO"/>
    <s v="SAUL MERCHAN BAQUERIZO"/>
    <m/>
    <m/>
    <m/>
    <m/>
    <m/>
    <m/>
    <x v="5"/>
    <s v="ASISPRO 20"/>
    <m/>
    <n v="113.88659999999999"/>
    <m/>
    <n v="1366.6391999999998"/>
    <m/>
    <s v="EMITIDO"/>
    <m/>
    <m/>
    <m/>
    <m/>
    <m/>
    <m/>
    <m/>
  </r>
  <r>
    <x v="216"/>
    <m/>
    <x v="0"/>
    <x v="0"/>
    <x v="3"/>
    <x v="2"/>
    <n v="16631"/>
    <s v="MELLISA PAOLA MARTINEZ MELENDEZ"/>
    <m/>
    <m/>
    <m/>
    <m/>
    <m/>
    <m/>
    <m/>
    <x v="3"/>
    <m/>
    <m/>
    <m/>
    <m/>
    <n v="1573.21"/>
    <m/>
    <s v="EMITIDO"/>
    <m/>
    <m/>
    <m/>
    <m/>
    <m/>
    <m/>
    <m/>
  </r>
  <r>
    <x v="217"/>
    <m/>
    <x v="0"/>
    <x v="0"/>
    <x v="6"/>
    <x v="14"/>
    <n v="35973"/>
    <s v="ALEXANDRA MALDONA"/>
    <m/>
    <m/>
    <m/>
    <m/>
    <m/>
    <m/>
    <m/>
    <x v="5"/>
    <s v="ASISPRO 50"/>
    <m/>
    <n v="173.24189999999999"/>
    <m/>
    <n v="2078.9027999999998"/>
    <m/>
    <s v="EMITIDO"/>
    <m/>
    <m/>
    <m/>
    <m/>
    <m/>
    <m/>
    <m/>
  </r>
  <r>
    <x v="217"/>
    <m/>
    <x v="0"/>
    <x v="0"/>
    <x v="0"/>
    <x v="0"/>
    <s v="GM25G52301"/>
    <s v="HIPOLITO RODIMIRO GONZALEZ GOMEZ"/>
    <m/>
    <m/>
    <m/>
    <m/>
    <m/>
    <m/>
    <m/>
    <x v="2"/>
    <m/>
    <m/>
    <m/>
    <m/>
    <n v="456.71"/>
    <m/>
    <s v="EMITIDO"/>
    <m/>
    <m/>
    <m/>
    <m/>
    <m/>
    <m/>
    <m/>
  </r>
  <r>
    <x v="217"/>
    <m/>
    <x v="0"/>
    <x v="0"/>
    <x v="3"/>
    <x v="2"/>
    <n v="4307645"/>
    <s v="STEPHANIE PALADINES BURGOS"/>
    <m/>
    <m/>
    <m/>
    <m/>
    <m/>
    <m/>
    <m/>
    <x v="1"/>
    <m/>
    <m/>
    <m/>
    <m/>
    <n v="890.94"/>
    <m/>
    <s v="EMITIDO"/>
    <m/>
    <m/>
    <m/>
    <m/>
    <m/>
    <m/>
    <m/>
  </r>
  <r>
    <x v="218"/>
    <m/>
    <x v="0"/>
    <x v="0"/>
    <x v="0"/>
    <x v="39"/>
    <s v="47974-1"/>
    <s v="JOSE AGUSTIN URUETA MARRIOT"/>
    <m/>
    <m/>
    <m/>
    <m/>
    <m/>
    <m/>
    <m/>
    <x v="7"/>
    <m/>
    <m/>
    <m/>
    <m/>
    <n v="4497.5600000000004"/>
    <m/>
    <s v="EMITIDO"/>
    <m/>
    <m/>
    <m/>
    <m/>
    <m/>
    <m/>
    <m/>
  </r>
  <r>
    <x v="218"/>
    <m/>
    <x v="0"/>
    <x v="0"/>
    <x v="0"/>
    <x v="18"/>
    <m/>
    <s v="FREDDY ABDON RODRIGUEZ EGAS"/>
    <m/>
    <m/>
    <m/>
    <m/>
    <m/>
    <m/>
    <m/>
    <x v="12"/>
    <m/>
    <m/>
    <m/>
    <m/>
    <n v="2070.39"/>
    <m/>
    <s v="EMITIDO"/>
    <m/>
    <m/>
    <m/>
    <m/>
    <m/>
    <m/>
    <m/>
  </r>
  <r>
    <x v="218"/>
    <m/>
    <x v="0"/>
    <x v="0"/>
    <x v="3"/>
    <x v="47"/>
    <n v="35938"/>
    <s v="ISABEL CAMILA ARZUBE DEL HIERRO"/>
    <m/>
    <m/>
    <m/>
    <m/>
    <m/>
    <m/>
    <m/>
    <x v="5"/>
    <m/>
    <m/>
    <m/>
    <m/>
    <n v="767.26"/>
    <m/>
    <s v="EMITIDO"/>
    <m/>
    <m/>
    <m/>
    <m/>
    <m/>
    <m/>
    <m/>
  </r>
  <r>
    <x v="218"/>
    <m/>
    <x v="0"/>
    <x v="0"/>
    <x v="0"/>
    <x v="1"/>
    <s v="GM25G52527"/>
    <s v="MAYA ISABEL BARRENO ZAMBRANO"/>
    <m/>
    <m/>
    <m/>
    <m/>
    <m/>
    <m/>
    <m/>
    <x v="2"/>
    <m/>
    <m/>
    <m/>
    <m/>
    <n v="602.74"/>
    <m/>
    <s v="EMITIDO"/>
    <m/>
    <m/>
    <m/>
    <m/>
    <m/>
    <m/>
    <m/>
  </r>
  <r>
    <x v="218"/>
    <m/>
    <x v="0"/>
    <x v="0"/>
    <x v="0"/>
    <x v="8"/>
    <n v="4306919"/>
    <s v="JACQUELINE JIMENEZ JIMENEZ"/>
    <m/>
    <m/>
    <m/>
    <m/>
    <m/>
    <m/>
    <m/>
    <x v="1"/>
    <m/>
    <m/>
    <m/>
    <m/>
    <n v="671.13"/>
    <m/>
    <s v="EMITIDO"/>
    <m/>
    <m/>
    <m/>
    <m/>
    <m/>
    <m/>
    <m/>
  </r>
  <r>
    <x v="218"/>
    <m/>
    <x v="0"/>
    <x v="0"/>
    <x v="7"/>
    <x v="49"/>
    <n v="4308118"/>
    <s v="ANA AYALA LOPEZ"/>
    <m/>
    <m/>
    <m/>
    <m/>
    <m/>
    <m/>
    <m/>
    <x v="1"/>
    <m/>
    <m/>
    <m/>
    <m/>
    <n v="2443.86"/>
    <m/>
    <s v="EMITIDO"/>
    <m/>
    <m/>
    <m/>
    <m/>
    <m/>
    <m/>
    <m/>
  </r>
  <r>
    <x v="218"/>
    <m/>
    <x v="0"/>
    <x v="0"/>
    <x v="7"/>
    <x v="49"/>
    <n v="4308157"/>
    <s v="ALONSO RODRIGO VALENCIA VILLACIS"/>
    <m/>
    <m/>
    <m/>
    <m/>
    <m/>
    <m/>
    <m/>
    <x v="1"/>
    <m/>
    <m/>
    <m/>
    <m/>
    <n v="2417.71"/>
    <m/>
    <s v="EMITIDO"/>
    <m/>
    <m/>
    <m/>
    <m/>
    <m/>
    <m/>
    <m/>
  </r>
  <r>
    <x v="219"/>
    <m/>
    <x v="0"/>
    <x v="0"/>
    <x v="0"/>
    <x v="8"/>
    <n v="4308299"/>
    <s v="JUAN PABLO ALARCON PERASSO"/>
    <m/>
    <m/>
    <m/>
    <m/>
    <m/>
    <m/>
    <m/>
    <x v="1"/>
    <m/>
    <m/>
    <m/>
    <m/>
    <n v="605.57000000000005"/>
    <m/>
    <s v="EMITIDO"/>
    <m/>
    <m/>
    <m/>
    <m/>
    <m/>
    <m/>
    <m/>
  </r>
  <r>
    <x v="219"/>
    <m/>
    <x v="0"/>
    <x v="0"/>
    <x v="0"/>
    <x v="8"/>
    <n v="4308206"/>
    <s v="GLADYS PAOLA JAIME ROBALINO"/>
    <m/>
    <m/>
    <m/>
    <m/>
    <m/>
    <m/>
    <m/>
    <x v="1"/>
    <m/>
    <m/>
    <m/>
    <m/>
    <n v="1003.42"/>
    <m/>
    <s v="EMITIDO"/>
    <m/>
    <m/>
    <m/>
    <m/>
    <m/>
    <m/>
    <m/>
  </r>
  <r>
    <x v="219"/>
    <m/>
    <x v="0"/>
    <x v="0"/>
    <x v="0"/>
    <x v="42"/>
    <n v="16634"/>
    <s v="ERICKA LORENA PLUAS ALVARADO"/>
    <m/>
    <m/>
    <m/>
    <m/>
    <m/>
    <m/>
    <m/>
    <x v="3"/>
    <m/>
    <m/>
    <m/>
    <m/>
    <n v="852.04"/>
    <m/>
    <s v="EMITIDO"/>
    <m/>
    <m/>
    <m/>
    <m/>
    <m/>
    <m/>
    <m/>
  </r>
  <r>
    <x v="219"/>
    <d v="2025-02-03T00:00:00"/>
    <x v="0"/>
    <x v="0"/>
    <x v="1"/>
    <x v="31"/>
    <m/>
    <s v="ANDREA STEPHANIE AVILES SALAZAR"/>
    <m/>
    <m/>
    <m/>
    <m/>
    <m/>
    <m/>
    <m/>
    <x v="12"/>
    <s v="AZURE"/>
    <m/>
    <m/>
    <m/>
    <n v="4216.17"/>
    <m/>
    <s v="EMITIDO"/>
    <m/>
    <m/>
    <m/>
    <m/>
    <m/>
    <m/>
    <m/>
  </r>
  <r>
    <x v="220"/>
    <m/>
    <x v="0"/>
    <x v="0"/>
    <x v="1"/>
    <x v="25"/>
    <n v="36013"/>
    <s v="DAVINA MARIA CONTRERAS SOTOMAYOR"/>
    <m/>
    <m/>
    <m/>
    <m/>
    <m/>
    <m/>
    <m/>
    <x v="5"/>
    <s v="ASISPRO 30"/>
    <m/>
    <n v="105.09284999999998"/>
    <m/>
    <n v="1261.1141999999998"/>
    <m/>
    <s v="EMITIDO"/>
    <m/>
    <m/>
    <m/>
    <m/>
    <m/>
    <m/>
    <m/>
  </r>
  <r>
    <x v="220"/>
    <m/>
    <x v="0"/>
    <x v="0"/>
    <x v="6"/>
    <x v="14"/>
    <n v="4308385"/>
    <s v="MARIUXI DEL ROCIO TORRES ROSADO"/>
    <m/>
    <m/>
    <m/>
    <m/>
    <m/>
    <m/>
    <m/>
    <x v="1"/>
    <s v="STAR 15K"/>
    <m/>
    <n v="71.77"/>
    <m/>
    <n v="861.24"/>
    <m/>
    <s v="EMITIDO"/>
    <m/>
    <m/>
    <m/>
    <m/>
    <m/>
    <m/>
    <m/>
  </r>
  <r>
    <x v="221"/>
    <m/>
    <x v="0"/>
    <x v="0"/>
    <x v="1"/>
    <x v="43"/>
    <n v="36029"/>
    <s v="FERNEY TRUJILLO VARGAS"/>
    <m/>
    <m/>
    <m/>
    <m/>
    <m/>
    <m/>
    <m/>
    <x v="5"/>
    <s v="ASISPRO 50"/>
    <m/>
    <n v="112.58009999999999"/>
    <m/>
    <n v="1350.9611999999997"/>
    <m/>
    <s v="EMITIDO"/>
    <m/>
    <m/>
    <m/>
    <m/>
    <m/>
    <m/>
    <m/>
  </r>
  <r>
    <x v="221"/>
    <m/>
    <x v="0"/>
    <x v="0"/>
    <x v="5"/>
    <x v="46"/>
    <m/>
    <s v="NORMA ALEXANDRA WINSON CONTRERAS"/>
    <m/>
    <m/>
    <m/>
    <m/>
    <m/>
    <m/>
    <m/>
    <x v="5"/>
    <s v="ZENCARE"/>
    <m/>
    <n v="58.35"/>
    <m/>
    <n v="700.2"/>
    <m/>
    <s v="EMITIDO"/>
    <m/>
    <m/>
    <m/>
    <m/>
    <m/>
    <m/>
    <m/>
  </r>
  <r>
    <x v="221"/>
    <m/>
    <x v="0"/>
    <x v="0"/>
    <x v="0"/>
    <x v="11"/>
    <n v="4308562"/>
    <s v="KESHYA ANTONELLA RAMIREZ HARO"/>
    <m/>
    <m/>
    <m/>
    <m/>
    <m/>
    <m/>
    <m/>
    <x v="1"/>
    <m/>
    <m/>
    <m/>
    <m/>
    <n v="1296.06"/>
    <m/>
    <s v="EMITIDO"/>
    <m/>
    <m/>
    <m/>
    <m/>
    <m/>
    <m/>
    <m/>
  </r>
  <r>
    <x v="221"/>
    <m/>
    <x v="0"/>
    <x v="0"/>
    <x v="0"/>
    <x v="34"/>
    <n v="47991"/>
    <s v="EINSTEIN ANIBAL SOLORZANO YEPEZ"/>
    <m/>
    <m/>
    <m/>
    <m/>
    <m/>
    <m/>
    <m/>
    <x v="7"/>
    <m/>
    <m/>
    <m/>
    <m/>
    <n v="4497.4399999999996"/>
    <m/>
    <s v="EMITIDO"/>
    <m/>
    <m/>
    <m/>
    <m/>
    <m/>
    <m/>
    <m/>
  </r>
  <r>
    <x v="221"/>
    <m/>
    <x v="0"/>
    <x v="0"/>
    <x v="0"/>
    <x v="18"/>
    <n v="4308484"/>
    <s v="LUIS FERNEY GIRALDO GOMEZ"/>
    <m/>
    <m/>
    <m/>
    <m/>
    <m/>
    <m/>
    <m/>
    <x v="1"/>
    <m/>
    <m/>
    <m/>
    <m/>
    <n v="1206.6300000000001"/>
    <m/>
    <s v="EMITIDO"/>
    <m/>
    <m/>
    <m/>
    <m/>
    <m/>
    <m/>
    <m/>
  </r>
  <r>
    <x v="221"/>
    <d v="2025-02-01T00:00:00"/>
    <x v="0"/>
    <x v="0"/>
    <x v="1"/>
    <x v="43"/>
    <n v="16639"/>
    <s v="ELIANA BETZABETH MERCHAN BAQUERIZO"/>
    <m/>
    <m/>
    <m/>
    <m/>
    <m/>
    <m/>
    <m/>
    <x v="3"/>
    <s v="SUPREMO"/>
    <m/>
    <n v="145.03"/>
    <m/>
    <n v="1740.3600000000001"/>
    <s v="60% PRIMERA CUOTA"/>
    <s v="EMITIDO"/>
    <m/>
    <m/>
    <m/>
    <m/>
    <m/>
    <m/>
    <m/>
  </r>
  <r>
    <x v="222"/>
    <m/>
    <x v="0"/>
    <x v="0"/>
    <x v="3"/>
    <x v="47"/>
    <n v="4308742"/>
    <s v="GLADYS DIANA ORTEGA MOLINA"/>
    <m/>
    <m/>
    <m/>
    <m/>
    <m/>
    <m/>
    <m/>
    <x v="1"/>
    <m/>
    <m/>
    <m/>
    <m/>
    <n v="1481.25"/>
    <m/>
    <s v="EMITIDO"/>
    <m/>
    <m/>
    <m/>
    <m/>
    <m/>
    <m/>
    <m/>
  </r>
  <r>
    <x v="222"/>
    <m/>
    <x v="0"/>
    <x v="0"/>
    <x v="3"/>
    <x v="2"/>
    <n v="4307093"/>
    <s v="ERIKA SHAFIA VILLA SALAS"/>
    <m/>
    <m/>
    <m/>
    <m/>
    <m/>
    <m/>
    <m/>
    <x v="1"/>
    <m/>
    <m/>
    <m/>
    <m/>
    <n v="690.47"/>
    <m/>
    <s v="EMITIDO"/>
    <m/>
    <m/>
    <m/>
    <m/>
    <m/>
    <m/>
    <m/>
  </r>
  <r>
    <x v="222"/>
    <d v="2025-01-31T00:00:00"/>
    <x v="0"/>
    <x v="0"/>
    <x v="1"/>
    <x v="16"/>
    <n v="4308908"/>
    <s v="KATTY PAOLA ROSALES ARMENDARIS"/>
    <m/>
    <m/>
    <m/>
    <m/>
    <m/>
    <m/>
    <m/>
    <x v="1"/>
    <s v="STAR 15"/>
    <m/>
    <n v="102.33"/>
    <m/>
    <n v="1227.96"/>
    <m/>
    <s v="EMITIDO"/>
    <m/>
    <m/>
    <m/>
    <m/>
    <m/>
    <m/>
    <m/>
  </r>
  <r>
    <x v="222"/>
    <d v="2025-02-04T00:00:00"/>
    <x v="0"/>
    <x v="0"/>
    <x v="6"/>
    <x v="14"/>
    <m/>
    <s v="BETSSY ELISA MONTESDEOCA CASTAÑEDA"/>
    <m/>
    <m/>
    <m/>
    <m/>
    <m/>
    <m/>
    <m/>
    <x v="1"/>
    <s v="ESENCIAL 3D"/>
    <m/>
    <n v="89.75"/>
    <m/>
    <n v="1077"/>
    <s v="INGRESADO POR EL PORTAL CDELPINO"/>
    <s v="PENDIENTE"/>
    <m/>
    <m/>
    <m/>
    <m/>
    <m/>
    <m/>
    <m/>
  </r>
  <r>
    <x v="223"/>
    <m/>
    <x v="0"/>
    <x v="0"/>
    <x v="5"/>
    <x v="46"/>
    <m/>
    <s v="DANIEL ANDRES MARTILLO ONOFA"/>
    <m/>
    <m/>
    <m/>
    <m/>
    <m/>
    <m/>
    <m/>
    <x v="5"/>
    <s v="ZENCARE"/>
    <m/>
    <m/>
    <m/>
    <n v="0"/>
    <m/>
    <s v="PENDIENTE"/>
    <m/>
    <m/>
    <m/>
    <m/>
    <m/>
    <m/>
    <m/>
  </r>
  <r>
    <x v="223"/>
    <m/>
    <x v="0"/>
    <x v="0"/>
    <x v="5"/>
    <x v="46"/>
    <m/>
    <s v="DANA BELEN PEREZ POSLIGUA"/>
    <m/>
    <m/>
    <m/>
    <m/>
    <m/>
    <m/>
    <m/>
    <x v="5"/>
    <s v="ZENCARE"/>
    <m/>
    <m/>
    <m/>
    <n v="0"/>
    <m/>
    <s v="PENDIENTE"/>
    <m/>
    <m/>
    <m/>
    <m/>
    <m/>
    <m/>
    <m/>
  </r>
  <r>
    <x v="223"/>
    <m/>
    <x v="0"/>
    <x v="0"/>
    <x v="6"/>
    <x v="14"/>
    <n v="36108"/>
    <s v="ANA MINA MEDINA"/>
    <s v="ANA LUZ MEDINA PERLAZA"/>
    <m/>
    <m/>
    <m/>
    <m/>
    <m/>
    <m/>
    <x v="5"/>
    <s v="ZENCARE"/>
    <m/>
    <n v="104.7"/>
    <m/>
    <n v="1256.4000000000001"/>
    <m/>
    <s v="PENDIENTE"/>
    <m/>
    <m/>
    <m/>
    <m/>
    <m/>
    <m/>
    <m/>
  </r>
  <r>
    <x v="223"/>
    <m/>
    <x v="0"/>
    <x v="0"/>
    <x v="1"/>
    <x v="23"/>
    <n v="48145"/>
    <s v="MARTHA NOEMI VERDESOTO SOLEDISPA"/>
    <m/>
    <m/>
    <m/>
    <m/>
    <m/>
    <m/>
    <m/>
    <x v="7"/>
    <s v="GMM"/>
    <m/>
    <n v="111.38416666666666"/>
    <m/>
    <n v="1336.61"/>
    <m/>
    <s v="PENDIENTE"/>
    <m/>
    <m/>
    <m/>
    <m/>
    <m/>
    <m/>
    <m/>
  </r>
  <r>
    <x v="223"/>
    <d v="2025-02-01T00:00:00"/>
    <x v="0"/>
    <x v="0"/>
    <x v="1"/>
    <x v="23"/>
    <n v="16668"/>
    <s v="KARLA MARITZA VALAREZO SARMIENTO"/>
    <m/>
    <m/>
    <m/>
    <m/>
    <m/>
    <m/>
    <m/>
    <x v="3"/>
    <s v="MASTER 75000"/>
    <m/>
    <n v="166.17"/>
    <m/>
    <n v="1994.04"/>
    <m/>
    <s v="PENDIENTE"/>
    <m/>
    <m/>
    <m/>
    <m/>
    <m/>
    <m/>
    <m/>
  </r>
  <r>
    <x v="223"/>
    <d v="2025-01-01T00:00:00"/>
    <x v="0"/>
    <x v="0"/>
    <x v="1"/>
    <x v="23"/>
    <n v="16655"/>
    <s v="TATIANA ELIZABETH CEVALLOS CARABAJO"/>
    <m/>
    <m/>
    <m/>
    <m/>
    <m/>
    <m/>
    <m/>
    <x v="3"/>
    <s v="JR 20K"/>
    <m/>
    <n v="71.36"/>
    <m/>
    <n v="856.31999999999994"/>
    <m/>
    <s v="PENDIENTE"/>
    <m/>
    <m/>
    <m/>
    <m/>
    <m/>
    <m/>
    <m/>
  </r>
  <r>
    <x v="223"/>
    <d v="2025-01-31T00:00:00"/>
    <x v="0"/>
    <x v="0"/>
    <x v="6"/>
    <x v="14"/>
    <n v="4309114"/>
    <s v="MARIA PAULA HORMAZA VINCES"/>
    <m/>
    <m/>
    <m/>
    <m/>
    <m/>
    <m/>
    <m/>
    <x v="1"/>
    <s v="PRACTICO 3D"/>
    <m/>
    <n v="68.180000000000007"/>
    <m/>
    <n v="818.16000000000008"/>
    <m/>
    <s v="PENDIENTE"/>
    <m/>
    <m/>
    <m/>
    <m/>
    <m/>
    <m/>
    <m/>
  </r>
  <r>
    <x v="223"/>
    <m/>
    <x v="0"/>
    <x v="0"/>
    <x v="0"/>
    <x v="8"/>
    <n v="43008696"/>
    <s v="ANDREA ESTEFANIA PICO WONG"/>
    <m/>
    <m/>
    <m/>
    <m/>
    <m/>
    <m/>
    <m/>
    <x v="1"/>
    <s v="SKY 50"/>
    <m/>
    <n v="61.82"/>
    <m/>
    <n v="741.84"/>
    <m/>
    <s v="PENDIENTE"/>
    <m/>
    <m/>
    <m/>
    <m/>
    <m/>
    <m/>
    <m/>
  </r>
  <r>
    <x v="223"/>
    <m/>
    <x v="0"/>
    <x v="0"/>
    <x v="7"/>
    <x v="4"/>
    <n v="16644"/>
    <s v="ANDRES EDUARDO NOBOA JORGGE"/>
    <m/>
    <m/>
    <m/>
    <m/>
    <m/>
    <m/>
    <m/>
    <x v="3"/>
    <s v="SENIOR 45000"/>
    <m/>
    <n v="128.15"/>
    <m/>
    <n v="1537.8000000000002"/>
    <m/>
    <s v="PENDIENTE"/>
    <m/>
    <m/>
    <m/>
    <m/>
    <m/>
    <m/>
    <m/>
  </r>
  <r>
    <x v="223"/>
    <m/>
    <x v="0"/>
    <x v="0"/>
    <x v="3"/>
    <x v="47"/>
    <n v="16645"/>
    <s v="EDEURIS CARIDAD LIRA MORENO"/>
    <m/>
    <m/>
    <m/>
    <m/>
    <m/>
    <m/>
    <m/>
    <x v="3"/>
    <s v="JR 20K"/>
    <m/>
    <n v="34.17"/>
    <m/>
    <n v="410.04"/>
    <m/>
    <s v="PENDIENTE"/>
    <m/>
    <m/>
    <m/>
    <m/>
    <m/>
    <m/>
    <m/>
  </r>
  <r>
    <x v="223"/>
    <m/>
    <x v="0"/>
    <x v="0"/>
    <x v="0"/>
    <x v="9"/>
    <n v="4308825"/>
    <s v="MILTON MANUEL LUZURIAGA AGUIRRE"/>
    <m/>
    <m/>
    <m/>
    <m/>
    <m/>
    <m/>
    <m/>
    <x v="1"/>
    <s v="PRO 150K"/>
    <m/>
    <n v="635"/>
    <m/>
    <n v="7620"/>
    <m/>
    <s v="PENDIENTE"/>
    <m/>
    <m/>
    <m/>
    <m/>
    <m/>
    <m/>
    <m/>
  </r>
  <r>
    <x v="223"/>
    <m/>
    <x v="0"/>
    <x v="0"/>
    <x v="3"/>
    <x v="47"/>
    <n v="4308865"/>
    <s v="RAUL ANDRES AVILES SABANDO"/>
    <m/>
    <m/>
    <m/>
    <m/>
    <m/>
    <m/>
    <m/>
    <x v="1"/>
    <s v="STAR 15"/>
    <m/>
    <n v="42.37"/>
    <m/>
    <n v="508.43999999999994"/>
    <m/>
    <s v="PENDIENTE"/>
    <m/>
    <m/>
    <m/>
    <m/>
    <m/>
    <m/>
    <m/>
  </r>
  <r>
    <x v="223"/>
    <m/>
    <x v="0"/>
    <x v="0"/>
    <x v="0"/>
    <x v="0"/>
    <n v="4309068"/>
    <s v="JULITZA JUDITH VELEZ MARQUINEZ"/>
    <m/>
    <m/>
    <m/>
    <m/>
    <m/>
    <m/>
    <m/>
    <x v="1"/>
    <s v="STAR 15"/>
    <m/>
    <n v="208.61"/>
    <m/>
    <n v="2503.3200000000002"/>
    <m/>
    <s v="PENDIENTE"/>
    <m/>
    <m/>
    <m/>
    <m/>
    <m/>
    <m/>
    <m/>
  </r>
  <r>
    <x v="223"/>
    <m/>
    <x v="0"/>
    <x v="0"/>
    <x v="3"/>
    <x v="47"/>
    <n v="25305061"/>
    <s v="NELLY ESPINAR QUIJIJE"/>
    <m/>
    <m/>
    <m/>
    <m/>
    <m/>
    <m/>
    <m/>
    <x v="13"/>
    <s v="OPTIMO"/>
    <m/>
    <n v="194.6"/>
    <m/>
    <n v="2335.1999999999998"/>
    <s v="INGRESADO EN PORTAL CDELPINO"/>
    <s v="EMITIDO"/>
    <m/>
    <m/>
    <m/>
    <m/>
    <m/>
    <m/>
    <m/>
  </r>
  <r>
    <x v="223"/>
    <d v="2025-02-14T00:00:00"/>
    <x v="0"/>
    <x v="0"/>
    <x v="1"/>
    <x v="43"/>
    <n v="16680"/>
    <s v="GLENDA VERONICA YAGUAL ESPINOZA"/>
    <m/>
    <m/>
    <m/>
    <m/>
    <m/>
    <m/>
    <m/>
    <x v="3"/>
    <s v="JR 20K"/>
    <m/>
    <n v="200.13"/>
    <m/>
    <n v="2401.56"/>
    <s v="INGRESADO CANAL TRADICIONAL"/>
    <s v="ENVIADO"/>
    <s v="SI"/>
    <s v="SI"/>
    <m/>
    <m/>
    <m/>
    <m/>
    <m/>
  </r>
  <r>
    <x v="224"/>
    <d v="2025-02-16T00:00:00"/>
    <x v="1"/>
    <x v="0"/>
    <x v="1"/>
    <x v="21"/>
    <s v="GM25G52855"/>
    <s v="DIANA DEL CONSUELO ESPINOZA MORA"/>
    <m/>
    <m/>
    <m/>
    <m/>
    <m/>
    <m/>
    <m/>
    <x v="2"/>
    <s v="GMM"/>
    <m/>
    <n v="55.34"/>
    <m/>
    <n v="599.08000000000004"/>
    <s v="INGRESADO POR CONECTED BROKERSA"/>
    <s v="ENVIADO"/>
    <s v="SI"/>
    <s v="SI"/>
    <m/>
    <m/>
    <m/>
    <m/>
    <m/>
  </r>
  <r>
    <x v="224"/>
    <d v="2025-02-14T00:00:00"/>
    <x v="1"/>
    <x v="0"/>
    <x v="1"/>
    <x v="21"/>
    <n v="16693"/>
    <s v="DIANA DEL CONSUELO ESPINOZA MORA"/>
    <m/>
    <m/>
    <m/>
    <m/>
    <m/>
    <m/>
    <m/>
    <x v="3"/>
    <s v="JR 20K"/>
    <s v="NO"/>
    <n v="64.45"/>
    <m/>
    <n v="773.40000000000009"/>
    <s v="ENVIADO CANAL TRADICIONAL"/>
    <s v="ENVIADO"/>
    <s v="SI"/>
    <s v="SI"/>
    <m/>
    <m/>
    <m/>
    <m/>
    <m/>
  </r>
  <r>
    <x v="224"/>
    <d v="2025-02-10T00:00:00"/>
    <x v="1"/>
    <x v="0"/>
    <x v="5"/>
    <x v="46"/>
    <n v="36088"/>
    <s v="EVELYN GAIBOR"/>
    <m/>
    <m/>
    <m/>
    <m/>
    <m/>
    <m/>
    <m/>
    <x v="5"/>
    <m/>
    <m/>
    <n v="68.739999999999995"/>
    <m/>
    <n v="824.87999999999988"/>
    <m/>
    <s v="PENDIENTE"/>
    <m/>
    <m/>
    <m/>
    <m/>
    <m/>
    <m/>
    <m/>
  </r>
  <r>
    <x v="225"/>
    <d v="2025-02-14T00:00:00"/>
    <x v="1"/>
    <x v="0"/>
    <x v="1"/>
    <x v="21"/>
    <n v="16690"/>
    <s v="ALEJANDRA PAULINA ALARCON RAMIREZ"/>
    <m/>
    <n v="202028965"/>
    <m/>
    <s v="DEBITO BANCARIO"/>
    <s v="MENSUAL"/>
    <m/>
    <m/>
    <x v="3"/>
    <s v="SUPREMO"/>
    <m/>
    <n v="209.28"/>
    <m/>
    <n v="2511.36"/>
    <s v="ENVIADO CANAL TRADICIONAL"/>
    <s v="ENVIADO"/>
    <s v="SI"/>
    <s v="SI"/>
    <m/>
    <m/>
    <m/>
    <m/>
    <s v="ladyamada30@hotmail.com"/>
  </r>
  <r>
    <x v="225"/>
    <m/>
    <x v="1"/>
    <x v="0"/>
    <x v="1"/>
    <x v="15"/>
    <m/>
    <s v="ANDREA BELEN MOLINA RAMOS"/>
    <m/>
    <m/>
    <m/>
    <m/>
    <m/>
    <m/>
    <m/>
    <x v="3"/>
    <s v="JR 20K"/>
    <m/>
    <n v="56.75"/>
    <m/>
    <n v="681"/>
    <s v="ENVIADO CANAL TRADICIONAL"/>
    <s v="ENVIADO"/>
    <m/>
    <m/>
    <m/>
    <m/>
    <m/>
    <m/>
    <m/>
  </r>
  <r>
    <x v="225"/>
    <m/>
    <x v="1"/>
    <x v="0"/>
    <x v="1"/>
    <x v="15"/>
    <s v="GM25G52930"/>
    <s v="ANDREA BELEN MOLINA RAMOS"/>
    <m/>
    <m/>
    <m/>
    <m/>
    <m/>
    <m/>
    <m/>
    <x v="2"/>
    <s v="GMM"/>
    <m/>
    <n v="17.98"/>
    <m/>
    <n v="215.76"/>
    <s v="ENVIADO CONECTED CDELPINO"/>
    <s v="ENVIADO"/>
    <m/>
    <m/>
    <m/>
    <m/>
    <m/>
    <m/>
    <m/>
  </r>
  <r>
    <x v="225"/>
    <m/>
    <x v="1"/>
    <x v="0"/>
    <x v="1"/>
    <x v="23"/>
    <n v="4309315"/>
    <s v="FANNY MICHELLE SOBERON MENA"/>
    <m/>
    <m/>
    <m/>
    <m/>
    <m/>
    <m/>
    <m/>
    <x v="1"/>
    <s v="ELITE 5D"/>
    <m/>
    <n v="153.81"/>
    <m/>
    <n v="1845.72"/>
    <s v="EMITIDO POR EL PORTAL CDELPINO"/>
    <s v="PENDIENTE"/>
    <s v="SI"/>
    <s v="SI"/>
    <m/>
    <m/>
    <m/>
    <m/>
    <m/>
  </r>
  <r>
    <x v="226"/>
    <m/>
    <x v="1"/>
    <x v="0"/>
    <x v="1"/>
    <x v="48"/>
    <n v="4309421"/>
    <s v="RENE ARMANDO MORALES HERRERA"/>
    <m/>
    <m/>
    <m/>
    <s v="DEBITO BANCARIO"/>
    <m/>
    <m/>
    <m/>
    <x v="1"/>
    <s v="SKY 50 PLUS - 100"/>
    <m/>
    <n v="365.01"/>
    <m/>
    <n v="4380.12"/>
    <s v="INGRESADO POR EL PORTAL DEL AGENTE"/>
    <s v="PENDIENTE"/>
    <s v="SI"/>
    <s v="SI"/>
    <m/>
    <m/>
    <m/>
    <m/>
    <m/>
  </r>
  <r>
    <x v="227"/>
    <m/>
    <x v="1"/>
    <x v="0"/>
    <x v="3"/>
    <x v="47"/>
    <n v="16700"/>
    <s v="MARIA PAULINA TAPIA NARANJO "/>
    <m/>
    <m/>
    <m/>
    <s v="DEBITO BANCARIO"/>
    <s v="MENSUAL"/>
    <m/>
    <m/>
    <x v="3"/>
    <s v="PREMIUN 30MIL"/>
    <m/>
    <n v="69.180000000000007"/>
    <m/>
    <n v="830.16000000000008"/>
    <s v="INGRESADO CANAL TRADICIONAL"/>
    <s v="PENDIENTE"/>
    <m/>
    <m/>
    <m/>
    <m/>
    <m/>
    <m/>
    <m/>
  </r>
  <r>
    <x v="227"/>
    <d v="2025-02-16T00:00:00"/>
    <x v="1"/>
    <x v="0"/>
    <x v="0"/>
    <x v="13"/>
    <s v="GM25Q53279"/>
    <s v="GLADYS ALINA SARMIENTO ZAMBRANO"/>
    <m/>
    <m/>
    <m/>
    <m/>
    <m/>
    <m/>
    <m/>
    <x v="2"/>
    <s v="GMM"/>
    <m/>
    <n v="332.34"/>
    <m/>
    <n v="3988.08"/>
    <s v="INGRESADO POR GYG TRADICIONAL"/>
    <s v="ENVIADO"/>
    <s v="SI"/>
    <s v="SI"/>
    <m/>
    <m/>
    <m/>
    <m/>
    <m/>
  </r>
  <r>
    <x v="227"/>
    <m/>
    <x v="1"/>
    <x v="0"/>
    <x v="1"/>
    <x v="8"/>
    <m/>
    <s v="ADRIANA VALENTINA DONOSO SANCHEZ"/>
    <m/>
    <m/>
    <m/>
    <m/>
    <m/>
    <m/>
    <m/>
    <x v="1"/>
    <s v="PRACTICO 3D"/>
    <m/>
    <n v="128.43"/>
    <m/>
    <n v="1541.16"/>
    <s v="INGRESADO POR EL PORTAL DEL AGENTE"/>
    <s v="ENVIADO"/>
    <s v="SI"/>
    <s v="SI"/>
    <m/>
    <m/>
    <m/>
    <m/>
    <m/>
  </r>
  <r>
    <x v="227"/>
    <m/>
    <x v="1"/>
    <x v="0"/>
    <x v="1"/>
    <x v="21"/>
    <s v="GM25G53039"/>
    <s v="EDWIN JAVIER ESPINOZA MORA"/>
    <m/>
    <m/>
    <m/>
    <m/>
    <m/>
    <m/>
    <m/>
    <x v="2"/>
    <s v="GMM"/>
    <m/>
    <n v="63.65"/>
    <m/>
    <n v="763.8"/>
    <s v="EMITIDO POR EL PORTAL CDELPINO"/>
    <s v="ENVIADO"/>
    <m/>
    <m/>
    <m/>
    <m/>
    <m/>
    <m/>
    <m/>
  </r>
  <r>
    <x v="227"/>
    <d v="2025-02-14T00:00:00"/>
    <x v="1"/>
    <x v="0"/>
    <x v="3"/>
    <x v="2"/>
    <n v="16692"/>
    <s v="SONIA MONSERRATE BRIONES BRAVO"/>
    <m/>
    <n v="930989488"/>
    <n v="968435996"/>
    <m/>
    <m/>
    <m/>
    <m/>
    <x v="3"/>
    <s v="MASTER 75000"/>
    <m/>
    <n v="58.95"/>
    <m/>
    <n v="707.40000000000009"/>
    <s v="INGRESADO CANAL TRADICIONAL"/>
    <s v="ENVIADO"/>
    <m/>
    <m/>
    <m/>
    <m/>
    <m/>
    <m/>
    <m/>
  </r>
  <r>
    <x v="227"/>
    <m/>
    <x v="1"/>
    <x v="0"/>
    <x v="1"/>
    <x v="48"/>
    <n v="48337"/>
    <s v="MAGDALENA DEL CARMEN HERRERA POZO"/>
    <m/>
    <m/>
    <m/>
    <s v="DEBITO BANCARIO"/>
    <s v="MENSUAL"/>
    <m/>
    <m/>
    <x v="7"/>
    <s v="CONFIPLUS"/>
    <m/>
    <n v="130.01666666666668"/>
    <m/>
    <n v="1560.2000000000003"/>
    <s v="INGRESADO CANAL TRADICIONAL"/>
    <s v="ENVIADO"/>
    <s v="SI"/>
    <s v="SI"/>
    <m/>
    <m/>
    <m/>
    <m/>
    <m/>
  </r>
  <r>
    <x v="227"/>
    <m/>
    <x v="1"/>
    <x v="0"/>
    <x v="1"/>
    <x v="48"/>
    <n v="48288"/>
    <s v="ELSA OLIVA HERRERA POZO"/>
    <m/>
    <m/>
    <m/>
    <s v="DEBITO BANCARIO"/>
    <s v="MENSUAL"/>
    <m/>
    <m/>
    <x v="7"/>
    <s v="CONFIPLUS"/>
    <m/>
    <n v="251.25"/>
    <m/>
    <n v="3015"/>
    <s v="INGRESADO CANAL TRADICIONAL"/>
    <s v="ENVIADO"/>
    <s v="SI"/>
    <s v="SI"/>
    <m/>
    <m/>
    <m/>
    <m/>
    <m/>
  </r>
  <r>
    <x v="227"/>
    <m/>
    <x v="1"/>
    <x v="0"/>
    <x v="1"/>
    <x v="48"/>
    <m/>
    <s v="pool salud"/>
    <m/>
    <m/>
    <m/>
    <m/>
    <m/>
    <m/>
    <m/>
    <x v="16"/>
    <m/>
    <m/>
    <m/>
    <m/>
    <n v="0"/>
    <m/>
    <s v="PENDIENTE"/>
    <m/>
    <m/>
    <m/>
    <m/>
    <m/>
    <m/>
    <m/>
  </r>
  <r>
    <x v="227"/>
    <m/>
    <x v="1"/>
    <x v="0"/>
    <x v="1"/>
    <x v="48"/>
    <m/>
    <s v="empresa"/>
    <m/>
    <m/>
    <m/>
    <m/>
    <m/>
    <m/>
    <m/>
    <x v="16"/>
    <m/>
    <m/>
    <m/>
    <m/>
    <n v="0"/>
    <m/>
    <s v="PENDIENTE"/>
    <m/>
    <m/>
    <m/>
    <m/>
    <m/>
    <m/>
    <m/>
  </r>
  <r>
    <x v="227"/>
    <d v="2025-03-01T00:00:00"/>
    <x v="1"/>
    <x v="0"/>
    <x v="1"/>
    <x v="30"/>
    <n v="16729"/>
    <s v="NATASHA NABILA CHONG QUI ESPINOZA"/>
    <m/>
    <m/>
    <m/>
    <s v="TARJETA DE CREDITO"/>
    <s v="MENSUAL"/>
    <m/>
    <m/>
    <x v="3"/>
    <s v="JR 20K"/>
    <m/>
    <n v="130.15"/>
    <m/>
    <n v="1561.8000000000002"/>
    <s v="INGRESADO CANAL TRADICIONAL"/>
    <s v="ENVIADO"/>
    <s v="SI"/>
    <s v="SI"/>
    <m/>
    <m/>
    <m/>
    <m/>
    <m/>
  </r>
  <r>
    <x v="228"/>
    <d v="2025-03-01T00:00:00"/>
    <x v="1"/>
    <x v="0"/>
    <x v="1"/>
    <x v="43"/>
    <n v="16699"/>
    <s v="CAROLINA MARITZA MENDOZA CARRILLO"/>
    <m/>
    <m/>
    <m/>
    <m/>
    <m/>
    <m/>
    <m/>
    <x v="3"/>
    <s v="SENIOR 45000"/>
    <m/>
    <n v="51.23"/>
    <m/>
    <n v="614.76"/>
    <s v="INGRESADO CANAL TRADICIONAL"/>
    <s v="PENDIENTE"/>
    <m/>
    <m/>
    <m/>
    <m/>
    <m/>
    <m/>
    <m/>
  </r>
  <r>
    <x v="228"/>
    <m/>
    <x v="1"/>
    <x v="0"/>
    <x v="1"/>
    <x v="19"/>
    <n v="4309806"/>
    <s v="PABLO GIOVANNY PAREDES AGUIRRE"/>
    <m/>
    <m/>
    <m/>
    <m/>
    <m/>
    <m/>
    <m/>
    <x v="1"/>
    <s v="SKY 50"/>
    <m/>
    <n v="64.17"/>
    <m/>
    <n v="770.04"/>
    <s v="INGRESADO POR EL PORTAL CDELPINO"/>
    <s v="ENVIADO"/>
    <s v="SI"/>
    <s v="SI"/>
    <m/>
    <m/>
    <m/>
    <m/>
    <m/>
  </r>
  <r>
    <x v="228"/>
    <m/>
    <x v="1"/>
    <x v="0"/>
    <x v="0"/>
    <x v="13"/>
    <n v="4309760"/>
    <s v="JOSE LUIS HOLGUIN YAGUAL"/>
    <m/>
    <n v="920469681"/>
    <n v="980415136"/>
    <s v="DEBITO BANCARIO"/>
    <s v="MENSUAL"/>
    <m/>
    <m/>
    <x v="1"/>
    <s v="SKY50 PLUS"/>
    <m/>
    <n v="66.19"/>
    <m/>
    <n v="794.28"/>
    <s v="INGRESADO POR EL PORTAL DEL AGENTE"/>
    <s v="ENVIADO"/>
    <s v="SI"/>
    <s v="SI"/>
    <m/>
    <m/>
    <m/>
    <m/>
    <s v="joseholguin1981@gmail.com"/>
  </r>
  <r>
    <x v="228"/>
    <d v="2025-03-01T00:00:00"/>
    <x v="1"/>
    <x v="0"/>
    <x v="0"/>
    <x v="9"/>
    <s v="GM25G53513"/>
    <s v=" ELSA ESPERANZA LAMA CHANG"/>
    <m/>
    <m/>
    <m/>
    <s v="DEBITO BANCARIO"/>
    <s v="MENSUAL"/>
    <m/>
    <m/>
    <x v="2"/>
    <s v="GMM"/>
    <m/>
    <n v="307.5"/>
    <m/>
    <n v="3690"/>
    <s v="INGRESADO CANAL TRADICIONAL"/>
    <s v="ENVIADO"/>
    <s v="SI"/>
    <s v="SI"/>
    <m/>
    <m/>
    <m/>
    <m/>
    <m/>
  </r>
  <r>
    <x v="229"/>
    <m/>
    <x v="1"/>
    <x v="0"/>
    <x v="0"/>
    <x v="8"/>
    <n v="4309907"/>
    <s v="EMILY FERNANDA VELASQUEZ TORRES"/>
    <m/>
    <m/>
    <m/>
    <m/>
    <m/>
    <m/>
    <m/>
    <x v="1"/>
    <s v="SKY 50"/>
    <m/>
    <n v="155.6"/>
    <m/>
    <n v="1867.1999999999998"/>
    <s v="INGRESADO POR EL PORTAL DEL AGENTE"/>
    <s v="ENVIADO"/>
    <m/>
    <m/>
    <m/>
    <m/>
    <m/>
    <m/>
    <m/>
  </r>
  <r>
    <x v="229"/>
    <m/>
    <x v="1"/>
    <x v="0"/>
    <x v="3"/>
    <x v="2"/>
    <n v="4309832"/>
    <s v="MARCOS LENIN VITERI PINCAY"/>
    <m/>
    <m/>
    <m/>
    <m/>
    <m/>
    <m/>
    <m/>
    <x v="1"/>
    <s v="STAR 15K"/>
    <m/>
    <n v="55.95"/>
    <m/>
    <n v="671.40000000000009"/>
    <s v="INGRESADO POR EL PORTAL DEL AGENTE"/>
    <s v="ENVIADO"/>
    <m/>
    <m/>
    <m/>
    <m/>
    <m/>
    <m/>
    <m/>
  </r>
  <r>
    <x v="229"/>
    <m/>
    <x v="1"/>
    <x v="0"/>
    <x v="5"/>
    <x v="29"/>
    <n v="48476"/>
    <s v="CONSUELO MARIA CHAFLA JARAMA"/>
    <m/>
    <m/>
    <m/>
    <s v="DEBITO BANCARIO"/>
    <s v="MENSUAL"/>
    <m/>
    <m/>
    <x v="7"/>
    <s v="CONFIPLUS"/>
    <m/>
    <n v="186.19666666666669"/>
    <m/>
    <n v="2234.36"/>
    <s v="INGRESADO CANAL TRADICIONAL"/>
    <s v="ENVIADO"/>
    <s v="SI"/>
    <m/>
    <m/>
    <m/>
    <m/>
    <m/>
    <m/>
  </r>
  <r>
    <x v="230"/>
    <m/>
    <x v="1"/>
    <x v="0"/>
    <x v="3"/>
    <x v="2"/>
    <n v="4309940"/>
    <s v="MARCELA KATHERINE ESQUIVEL MENDEZ"/>
    <m/>
    <n v="930615604"/>
    <n v="999977371"/>
    <s v="DEBITO BANCARIO"/>
    <s v="MENSUAL"/>
    <m/>
    <m/>
    <x v="1"/>
    <s v="STAR 15K"/>
    <m/>
    <n v="109.4"/>
    <m/>
    <n v="1312.8000000000002"/>
    <s v="INGRESADO POR EL PORTAL DEL AGENTE"/>
    <s v="ENVIADO"/>
    <m/>
    <m/>
    <m/>
    <m/>
    <m/>
    <m/>
    <m/>
  </r>
  <r>
    <x v="231"/>
    <m/>
    <x v="1"/>
    <x v="0"/>
    <x v="0"/>
    <x v="13"/>
    <n v="4310004"/>
    <s v="GONZALO ALFREDO GONZALEZ CRUZ"/>
    <m/>
    <n v="914190368"/>
    <n v="999137041"/>
    <s v="DEBITO BANCARIO"/>
    <s v="MENSUAL"/>
    <m/>
    <m/>
    <x v="1"/>
    <s v="STAR 30K LITE"/>
    <m/>
    <n v="272.01"/>
    <m/>
    <n v="3264.12"/>
    <s v="INGRESADO POR EL PORTAL DEL AGENTE"/>
    <s v="ENVIADO"/>
    <s v="SI"/>
    <s v="SI"/>
    <m/>
    <m/>
    <m/>
    <m/>
    <s v="carbonestra@gmail.com"/>
  </r>
  <r>
    <x v="231"/>
    <m/>
    <x v="1"/>
    <x v="0"/>
    <x v="1"/>
    <x v="17"/>
    <n v="4310061"/>
    <s v="OSCAR IVAN NAVARRETE ESPINOZA"/>
    <m/>
    <n v="1312278268"/>
    <n v="990940328"/>
    <s v="DEBITO BANCARIO"/>
    <s v="MENSUAL"/>
    <m/>
    <m/>
    <x v="1"/>
    <s v="STAR 15 "/>
    <m/>
    <n v="65.72"/>
    <m/>
    <n v="788.64"/>
    <s v="INGRESADO EN PORTAL CDELPINO"/>
    <s v="ENVIADO"/>
    <s v="SI"/>
    <s v="SI"/>
    <m/>
    <m/>
    <m/>
    <m/>
    <s v="oskrivan25@gmail.com"/>
  </r>
  <r>
    <x v="231"/>
    <m/>
    <x v="1"/>
    <x v="0"/>
    <x v="1"/>
    <x v="17"/>
    <m/>
    <s v="OSCAR IVAN NAVARRETE ESPINOZA"/>
    <m/>
    <n v="1312278268"/>
    <n v="990940328"/>
    <s v="DEBITO BANCARIO"/>
    <s v="MENSUAL"/>
    <m/>
    <m/>
    <x v="9"/>
    <s v="VIDA BASICO"/>
    <m/>
    <n v="25"/>
    <m/>
    <n v="300"/>
    <s v="INGRESADO EN PORTAL CDELPINO"/>
    <s v="ENVIADO"/>
    <s v="SI"/>
    <s v="SI"/>
    <m/>
    <m/>
    <m/>
    <m/>
    <s v="oskrivan25@gmail.com"/>
  </r>
  <r>
    <x v="232"/>
    <m/>
    <x v="1"/>
    <x v="0"/>
    <x v="3"/>
    <x v="2"/>
    <n v="4309951"/>
    <s v="IGNACION DE ARRUABARRENA FERNANDEZ"/>
    <m/>
    <s v="D311581"/>
    <n v="924019912"/>
    <s v="DEBITO BANCARIO"/>
    <s v="ANUAL"/>
    <m/>
    <m/>
    <x v="1"/>
    <s v="PRO 150K"/>
    <m/>
    <n v="516.25"/>
    <m/>
    <n v="6195"/>
    <s v="INGRESADO POR EL PORTAL DEL AGENTE"/>
    <s v="ENVIADO"/>
    <s v="SI"/>
    <s v="SI"/>
    <m/>
    <m/>
    <m/>
    <m/>
    <s v="ignaciodearruabarrena@gmail.com"/>
  </r>
  <r>
    <x v="233"/>
    <m/>
    <x v="1"/>
    <x v="0"/>
    <x v="7"/>
    <x v="4"/>
    <n v="4310314"/>
    <s v="GUSTAVO ADRIAN MORALES CHAVES"/>
    <m/>
    <m/>
    <m/>
    <s v="DEBITO BANCARIO"/>
    <s v="MENSUAL"/>
    <m/>
    <m/>
    <x v="1"/>
    <s v="STAR 15 LITE"/>
    <m/>
    <n v="53.68"/>
    <m/>
    <n v="644.16"/>
    <s v="INGRESADO POR EL PORTAL DEL AGENTE"/>
    <s v="ENVIADO"/>
    <s v="SI"/>
    <s v="SI"/>
    <m/>
    <m/>
    <m/>
    <m/>
    <s v="rosa19801987@gmail.com"/>
  </r>
  <r>
    <x v="233"/>
    <m/>
    <x v="1"/>
    <x v="0"/>
    <x v="7"/>
    <x v="4"/>
    <n v="4310312"/>
    <s v="ROSA ELVIRA MUÑOZ AUCAPIÑA"/>
    <m/>
    <m/>
    <m/>
    <s v="DEBITO BANCARIO"/>
    <s v="MENSUAL"/>
    <m/>
    <m/>
    <x v="1"/>
    <s v="STAR 15 LITE"/>
    <m/>
    <n v="61.95"/>
    <m/>
    <n v="743.40000000000009"/>
    <s v="INGRESADO POR EL PORTAL DEL AGENTE"/>
    <s v="ENVIADO"/>
    <s v="SI"/>
    <s v="SI"/>
    <m/>
    <m/>
    <m/>
    <m/>
    <s v="rosa19801987@gmail.com"/>
  </r>
  <r>
    <x v="233"/>
    <m/>
    <x v="1"/>
    <x v="0"/>
    <x v="1"/>
    <x v="24"/>
    <n v="36267"/>
    <s v="ELITA ARMENIA MICHUY MENDOZA"/>
    <m/>
    <m/>
    <m/>
    <s v="TARJETA DE CREDITO"/>
    <s v="MENSUAL"/>
    <m/>
    <m/>
    <x v="5"/>
    <s v="ASISPRO 50"/>
    <m/>
    <n v="153.09"/>
    <m/>
    <n v="1837.08"/>
    <s v="INGRESADO POR EL PORTAL CDELPINO"/>
    <s v="PENDIENTE"/>
    <m/>
    <m/>
    <m/>
    <m/>
    <m/>
    <m/>
    <m/>
  </r>
  <r>
    <x v="233"/>
    <m/>
    <x v="1"/>
    <x v="0"/>
    <x v="1"/>
    <x v="24"/>
    <n v="36268"/>
    <s v="CARLOS ADAN MICHUY MENDOZA"/>
    <m/>
    <m/>
    <m/>
    <s v="TARJETA DE CREDITO"/>
    <s v="MENSUAL"/>
    <m/>
    <m/>
    <x v="5"/>
    <s v="ASISPRO 30"/>
    <m/>
    <n v="150.59"/>
    <m/>
    <n v="1807.08"/>
    <s v="INGRESADO POR EL PORTAL CDELPINO"/>
    <s v="PENDIENTE"/>
    <m/>
    <m/>
    <m/>
    <m/>
    <m/>
    <m/>
    <m/>
  </r>
  <r>
    <x v="234"/>
    <m/>
    <x v="1"/>
    <x v="0"/>
    <x v="1"/>
    <x v="31"/>
    <n v="7582162"/>
    <s v="SHIRLEY MARLENE MORENO RODRIGUEZ"/>
    <m/>
    <m/>
    <m/>
    <m/>
    <m/>
    <m/>
    <m/>
    <x v="6"/>
    <m/>
    <m/>
    <n v="168"/>
    <m/>
    <n v="168"/>
    <s v="INGRESADO POR EL PORTAL CDELPINO"/>
    <s v="PENDIENTE"/>
    <m/>
    <m/>
    <m/>
    <m/>
    <m/>
    <m/>
    <m/>
  </r>
  <r>
    <x v="235"/>
    <m/>
    <x v="1"/>
    <x v="0"/>
    <x v="0"/>
    <x v="13"/>
    <n v="4310478"/>
    <s v="FRANCISCO JAVIER RENJIFO LATORRE"/>
    <m/>
    <m/>
    <m/>
    <s v="DEBITO BANCARIO"/>
    <s v="MENSUAL"/>
    <m/>
    <m/>
    <x v="1"/>
    <s v="SKY 50+"/>
    <m/>
    <n v="61.34"/>
    <m/>
    <n v="736.08"/>
    <s v="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89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"/>
    <s v="ENVIADO"/>
    <s v="SI"/>
    <s v="SI"/>
    <m/>
    <m/>
    <m/>
    <m/>
    <s v="FRANCISCORENGIFO1994@GMAIL.COM"/>
  </r>
  <r>
    <x v="235"/>
    <m/>
    <x v="1"/>
    <x v="0"/>
    <x v="8"/>
    <x v="3"/>
    <m/>
    <s v="TIAGO CARRERA"/>
    <m/>
    <m/>
    <m/>
    <m/>
    <m/>
    <m/>
    <m/>
    <x v="5"/>
    <m/>
    <m/>
    <m/>
    <m/>
    <n v="0"/>
    <m/>
    <s v="PENDIENTE"/>
    <m/>
    <m/>
    <m/>
    <m/>
    <m/>
    <m/>
    <m/>
  </r>
  <r>
    <x v="235"/>
    <m/>
    <x v="1"/>
    <x v="0"/>
    <x v="0"/>
    <x v="8"/>
    <n v="4310443"/>
    <s v="CHINTYA ESTEFANIA FLOR MOSQUERA"/>
    <m/>
    <n v="922464680"/>
    <n v="969728303"/>
    <s v="DEBITO BANCARIO"/>
    <s v="MENSUAL"/>
    <m/>
    <m/>
    <x v="1"/>
    <s v="SKY 50 PLUS - 100"/>
    <m/>
    <n v="170.59"/>
    <m/>
    <n v="2047.08"/>
    <s v="INGRESADO POR EL PORTAL DEL AGENTE"/>
    <s v="ENVIADO"/>
    <s v="SI"/>
    <s v="SI"/>
    <m/>
    <m/>
    <m/>
    <m/>
    <s v="estefy15772@hotmail.com"/>
  </r>
  <r>
    <x v="235"/>
    <m/>
    <x v="1"/>
    <x v="0"/>
    <x v="1"/>
    <x v="17"/>
    <n v="77232"/>
    <s v="MIKAELA HEREDIA VERA"/>
    <m/>
    <m/>
    <n v="962000758"/>
    <s v="TARJETA DE CREDITO"/>
    <s v="MENSUAL"/>
    <m/>
    <m/>
    <x v="9"/>
    <s v="VIDA BASICO"/>
    <m/>
    <n v="25"/>
    <m/>
    <n v="300"/>
    <s v="INGRESADO POR EL AGENTE"/>
    <s v="ENVIADO"/>
    <s v="SI"/>
    <m/>
    <m/>
    <m/>
    <m/>
    <m/>
    <s v="mkhrvr@hotmail.com"/>
  </r>
  <r>
    <x v="235"/>
    <m/>
    <x v="1"/>
    <x v="0"/>
    <x v="0"/>
    <x v="1"/>
    <n v="4310596"/>
    <s v="MARIUXI KARLA LLIVISACA ORTEGA"/>
    <m/>
    <n v="926392077"/>
    <m/>
    <s v="DEBITO BANCARIO"/>
    <s v="MENSUAL"/>
    <m/>
    <m/>
    <x v="1"/>
    <s v="STAR 30"/>
    <m/>
    <n v="88.17"/>
    <m/>
    <n v="1058.04"/>
    <s v="INGRESADO POR EL AGENTE"/>
    <s v="ENVIADO"/>
    <s v="SI"/>
    <s v="SI"/>
    <m/>
    <m/>
    <m/>
    <m/>
    <s v="MKLLIVISACA@GMAIL.COM"/>
  </r>
  <r>
    <x v="235"/>
    <d v="2025-03-01T00:00:00"/>
    <x v="1"/>
    <x v="0"/>
    <x v="0"/>
    <x v="1"/>
    <s v="GM25G53503"/>
    <s v=" MARIUXI KARLA LLIVISACA ORTEGA"/>
    <m/>
    <n v="926392077"/>
    <m/>
    <s v="DEBITO BANCARIO"/>
    <s v="MENSUAL"/>
    <m/>
    <m/>
    <x v="2"/>
    <s v="GMM"/>
    <m/>
    <n v="22.209999999999997"/>
    <m/>
    <n v="266.52"/>
    <s v="INGRESADO CONNECTED GYG"/>
    <s v="ENVIADO"/>
    <s v="SI"/>
    <s v="SI"/>
    <m/>
    <m/>
    <m/>
    <m/>
    <m/>
  </r>
  <r>
    <x v="235"/>
    <m/>
    <x v="1"/>
    <x v="0"/>
    <x v="0"/>
    <x v="13"/>
    <n v="112014659"/>
    <s v="GONZALO ALBERTO BALLADARES COSTALES"/>
    <m/>
    <m/>
    <m/>
    <s v="TARJETA DE CREDITO"/>
    <s v="ANUAL"/>
    <m/>
    <m/>
    <x v="17"/>
    <m/>
    <m/>
    <n v="1975"/>
    <m/>
    <n v="1975"/>
    <s v="INGRESADO POR MEDIO DE AXIS"/>
    <s v="E"/>
    <m/>
    <m/>
    <m/>
    <m/>
    <m/>
    <m/>
    <m/>
  </r>
  <r>
    <x v="236"/>
    <m/>
    <x v="1"/>
    <x v="0"/>
    <x v="1"/>
    <x v="24"/>
    <m/>
    <s v="ELITA ARMENIA MICHUY MENDOZA"/>
    <m/>
    <m/>
    <m/>
    <s v="TARJETA DE CREDITO"/>
    <s v="MENSUAL"/>
    <m/>
    <m/>
    <x v="2"/>
    <s v="GMM"/>
    <m/>
    <n v="30.113333333333333"/>
    <m/>
    <n v="361.36"/>
    <s v="INGRESADO POR EL PORTAL CDELPINO"/>
    <s v="PENDIENTE"/>
    <m/>
    <m/>
    <m/>
    <m/>
    <m/>
    <m/>
    <m/>
  </r>
  <r>
    <x v="236"/>
    <m/>
    <x v="1"/>
    <x v="0"/>
    <x v="1"/>
    <x v="24"/>
    <m/>
    <s v="CARLOS ADAN MICHUY MENDOZA"/>
    <m/>
    <m/>
    <m/>
    <s v="TARJETA DE CREDITO"/>
    <s v="MENSUAL"/>
    <m/>
    <m/>
    <x v="2"/>
    <s v="GMM"/>
    <m/>
    <n v="44.883333333333333"/>
    <m/>
    <n v="538.6"/>
    <s v="INGRESADO POR EL PORTAL CDELPINO"/>
    <s v="PENDIENTE"/>
    <m/>
    <m/>
    <m/>
    <m/>
    <m/>
    <m/>
    <m/>
  </r>
  <r>
    <x v="237"/>
    <m/>
    <x v="1"/>
    <x v="0"/>
    <x v="1"/>
    <x v="23"/>
    <n v="16744"/>
    <s v="JOSE LUIS PILOZO HABLICH"/>
    <m/>
    <m/>
    <m/>
    <s v="DEBITO BANCARIO"/>
    <s v="MENSUAL"/>
    <m/>
    <m/>
    <x v="3"/>
    <s v="JR 20K"/>
    <m/>
    <n v="52.52"/>
    <m/>
    <n v="630.24"/>
    <s v="50% DESCUENTO PRIMERA CUOTA"/>
    <s v="ENVIADO"/>
    <s v="SI"/>
    <s v="SI"/>
    <m/>
    <m/>
    <m/>
    <m/>
    <m/>
  </r>
  <r>
    <x v="237"/>
    <d v="2025-03-01T00:00:00"/>
    <x v="1"/>
    <x v="0"/>
    <x v="3"/>
    <x v="47"/>
    <n v="16739"/>
    <s v="MARIA AUXILIADORA JARAMILLO GARCIA"/>
    <m/>
    <m/>
    <m/>
    <s v="DEBITO BANCARIO"/>
    <s v="MENSUAL"/>
    <m/>
    <m/>
    <x v="3"/>
    <s v="SENIOR 45000"/>
    <m/>
    <n v="147.66999999999999"/>
    <m/>
    <n v="1772.04"/>
    <s v="INGRESADO CANAL TRADICIONAL"/>
    <s v="ENVIADO"/>
    <s v="SI"/>
    <s v="SI"/>
    <m/>
    <m/>
    <m/>
    <m/>
    <m/>
  </r>
  <r>
    <x v="237"/>
    <d v="2025-03-01T00:00:00"/>
    <x v="1"/>
    <x v="0"/>
    <x v="3"/>
    <x v="47"/>
    <n v="16743"/>
    <s v="MARIA AUXILIADORA JARAMILLO GARCIA"/>
    <m/>
    <m/>
    <m/>
    <s v="DEBITO BANCARIO"/>
    <s v="MENSUAL"/>
    <m/>
    <m/>
    <x v="3"/>
    <s v="JR 20K"/>
    <m/>
    <n v="64.45"/>
    <m/>
    <n v="773.40000000000009"/>
    <s v="INGRESADO CANAL TRADICIONAL"/>
    <s v="ENVIADO"/>
    <s v="SI"/>
    <s v="SI"/>
    <m/>
    <m/>
    <m/>
    <m/>
    <m/>
  </r>
  <r>
    <x v="238"/>
    <m/>
    <x v="1"/>
    <x v="0"/>
    <x v="1"/>
    <x v="3"/>
    <n v="36339"/>
    <s v="JOSELINE GIANELA GALLARDO MACIAS"/>
    <m/>
    <m/>
    <m/>
    <s v="DEBITO BANCARIO"/>
    <s v="MENSUAL"/>
    <m/>
    <m/>
    <x v="5"/>
    <s v="ASISKARE 500"/>
    <m/>
    <n v="17.88"/>
    <m/>
    <n v="214.56"/>
    <s v="INGRESADO POR EL PORTAL CDELPINO"/>
    <s v="PENDIENTE"/>
    <m/>
    <m/>
    <m/>
    <m/>
    <m/>
    <m/>
    <m/>
  </r>
  <r>
    <x v="238"/>
    <d v="2025-03-01T00:00:00"/>
    <x v="1"/>
    <x v="0"/>
    <x v="1"/>
    <x v="6"/>
    <m/>
    <m/>
    <m/>
    <m/>
    <m/>
    <m/>
    <m/>
    <m/>
    <m/>
    <x v="2"/>
    <m/>
    <m/>
    <m/>
    <m/>
    <n v="0"/>
    <m/>
    <s v="PENDIENTE"/>
    <m/>
    <m/>
    <m/>
    <m/>
    <m/>
    <m/>
    <m/>
  </r>
  <r>
    <x v="238"/>
    <d v="2025-03-01T00:00:00"/>
    <x v="1"/>
    <x v="0"/>
    <x v="0"/>
    <x v="50"/>
    <s v="SI25G45279"/>
    <s v="SELENA ALEJANDRA TAPIA BERMEO"/>
    <m/>
    <m/>
    <m/>
    <s v="DEBITO BANCARIO"/>
    <s v="MENSUAL"/>
    <m/>
    <m/>
    <x v="18"/>
    <s v="SIGMA 500"/>
    <m/>
    <n v="290.26"/>
    <m/>
    <n v="3483.12"/>
    <s v="ENVIADO A MARSEGUROS CON REGESTION DE CAMBIO DE VIGENCIA Y DEVOLUCION DE CUOTA"/>
    <s v="ENVIADO"/>
    <s v="SI"/>
    <s v="SI"/>
    <m/>
    <m/>
    <m/>
    <m/>
    <m/>
  </r>
  <r>
    <x v="238"/>
    <m/>
    <x v="1"/>
    <x v="0"/>
    <x v="7"/>
    <x v="4"/>
    <n v="4311158"/>
    <s v="DONALD DANIEL ARIZA ROSALES"/>
    <m/>
    <m/>
    <m/>
    <s v="DEBITO BANCARIO"/>
    <s v="MENSUAL"/>
    <m/>
    <m/>
    <x v="1"/>
    <s v="STAR 15K"/>
    <m/>
    <n v="36.71"/>
    <m/>
    <n v="440.52"/>
    <s v="INGRESADO POR EL PORTAL DEL AGENTE"/>
    <s v="ENVIADO"/>
    <s v="SI"/>
    <s v="SI"/>
    <m/>
    <m/>
    <m/>
    <m/>
    <m/>
  </r>
  <r>
    <x v="238"/>
    <m/>
    <x v="1"/>
    <x v="0"/>
    <x v="3"/>
    <x v="47"/>
    <n v="16754"/>
    <s v="PUBLIO ANTONIO ORTEGA LANATA"/>
    <m/>
    <m/>
    <m/>
    <s v="DEBITO BANCARIO"/>
    <s v="MENSUAL"/>
    <m/>
    <m/>
    <x v="3"/>
    <s v="JR 20K"/>
    <m/>
    <n v="68.31"/>
    <m/>
    <n v="819.72"/>
    <s v="60% DESCUENTO EN PRIMERA CUOTA"/>
    <s v="ENVIADO"/>
    <s v="SI"/>
    <s v="SI"/>
    <m/>
    <m/>
    <m/>
    <m/>
    <m/>
  </r>
  <r>
    <x v="238"/>
    <d v="2025-03-01T00:00:00"/>
    <x v="1"/>
    <x v="0"/>
    <x v="1"/>
    <x v="31"/>
    <n v="16760"/>
    <s v="JESSICA MARIETA MORALES ZUÑIGA"/>
    <m/>
    <m/>
    <m/>
    <s v="DEBITO BANCARIO"/>
    <s v="MENSUAL"/>
    <m/>
    <m/>
    <x v="3"/>
    <s v="JR 20K"/>
    <m/>
    <n v="66.459999999999994"/>
    <m/>
    <n v="797.52"/>
    <s v="INGRESADO CANAL TRADICIONAL"/>
    <s v="ENVIADO"/>
    <s v="SI"/>
    <s v="SI"/>
    <m/>
    <m/>
    <m/>
    <m/>
    <m/>
  </r>
  <r>
    <x v="238"/>
    <m/>
    <x v="1"/>
    <x v="0"/>
    <x v="1"/>
    <x v="23"/>
    <n v="16751"/>
    <s v="CARLOS CESAR FERRIN ELIZALDE"/>
    <m/>
    <m/>
    <m/>
    <s v="DEBITO BANCARIO"/>
    <s v="ANUAL"/>
    <m/>
    <m/>
    <x v="3"/>
    <s v="JR 20K"/>
    <m/>
    <n v="525.57000000000005"/>
    <m/>
    <n v="525.57000000000005"/>
    <s v="INGRESADO CANAL TRADICIONAL"/>
    <s v="ENVIADO"/>
    <m/>
    <m/>
    <m/>
    <m/>
    <m/>
    <m/>
    <m/>
  </r>
  <r>
    <x v="238"/>
    <m/>
    <x v="1"/>
    <x v="0"/>
    <x v="1"/>
    <x v="23"/>
    <n v="16753"/>
    <s v="DANIEL ANDRES FERRIN ELIZALDE"/>
    <m/>
    <m/>
    <m/>
    <s v="DEBITO BANCARIO"/>
    <s v="ANUAL"/>
    <m/>
    <m/>
    <x v="3"/>
    <s v="JR 20K"/>
    <m/>
    <n v="525.57000000000005"/>
    <m/>
    <n v="525.57000000000005"/>
    <s v="INGRESADO CANAL TRADICIONAL"/>
    <s v="ENVIADO"/>
    <m/>
    <m/>
    <m/>
    <m/>
    <m/>
    <m/>
    <m/>
  </r>
  <r>
    <x v="239"/>
    <m/>
    <x v="3"/>
    <x v="0"/>
    <x v="7"/>
    <x v="4"/>
    <n v="4311187"/>
    <s v="ALONSO RIGOBERTO VALENCIA CHICA"/>
    <m/>
    <m/>
    <m/>
    <s v="DEBITO BANCARIO"/>
    <s v="MENSUAL"/>
    <m/>
    <m/>
    <x v="1"/>
    <s v="sky 70+"/>
    <m/>
    <n v="214.46"/>
    <m/>
    <n v="2573.52"/>
    <s v="INGRESADO CANAL TRADICIONAL"/>
    <s v="ENVIADO"/>
    <s v="SI"/>
    <s v="SI"/>
    <m/>
    <m/>
    <m/>
    <m/>
    <s v="contable@lacasadelfrio.com.ec"/>
  </r>
  <r>
    <x v="239"/>
    <d v="2025-03-01T00:00:00"/>
    <x v="3"/>
    <x v="0"/>
    <x v="3"/>
    <x v="47"/>
    <s v="GM25G53684"/>
    <s v="ADRIANA DANIELA TERAN VILLAFUERTE"/>
    <m/>
    <m/>
    <m/>
    <s v="TARJETA DE CREDITO"/>
    <s v="MENSUAL"/>
    <m/>
    <m/>
    <x v="2"/>
    <s v="GMM"/>
    <m/>
    <n v="32.323333333333331"/>
    <m/>
    <n v="387.88"/>
    <s v="INGRESADO CONNECTED GYG"/>
    <s v="ENVIADO"/>
    <s v="SI"/>
    <s v="SI"/>
    <m/>
    <m/>
    <m/>
    <m/>
    <m/>
  </r>
  <r>
    <x v="240"/>
    <m/>
    <x v="3"/>
    <x v="0"/>
    <x v="1"/>
    <x v="24"/>
    <n v="4311326"/>
    <s v="EVELING ZORAIDA REYES ALAY"/>
    <m/>
    <m/>
    <m/>
    <s v="DEBITO BANCARIO"/>
    <s v="MENSUAL"/>
    <m/>
    <m/>
    <x v="1"/>
    <s v="STAR15 K"/>
    <m/>
    <n v="194.31"/>
    <m/>
    <n v="2331.7200000000003"/>
    <s v="INGRESADO POR EL PORTAL CDELPINO"/>
    <s v="ENVIADO"/>
    <s v="SI"/>
    <m/>
    <m/>
    <m/>
    <m/>
    <m/>
    <s v="evelingreyes28@hotmail.com"/>
  </r>
  <r>
    <x v="240"/>
    <m/>
    <x v="3"/>
    <x v="0"/>
    <x v="1"/>
    <x v="43"/>
    <m/>
    <s v="KATHERINE GENOVEVA SAN LUCAS ARCE"/>
    <m/>
    <m/>
    <m/>
    <s v="DEBITO BANCARIO"/>
    <s v="MENSUAL"/>
    <m/>
    <m/>
    <x v="3"/>
    <s v="MASTER 75000"/>
    <m/>
    <n v="117.91"/>
    <m/>
    <n v="1414.92"/>
    <s v="INGRESADO CANAL TRADICIONAL"/>
    <s v="PENDIENTE"/>
    <s v="SI"/>
    <m/>
    <m/>
    <m/>
    <m/>
    <m/>
    <s v="miliksan@gmail.com"/>
  </r>
  <r>
    <x v="240"/>
    <m/>
    <x v="3"/>
    <x v="0"/>
    <x v="0"/>
    <x v="13"/>
    <n v="4311325"/>
    <s v="MIGUEL ANGEL BALDEON TAPIA"/>
    <m/>
    <m/>
    <m/>
    <s v="DEBITO BANCARIO"/>
    <s v="MENSUAL"/>
    <m/>
    <m/>
    <x v="1"/>
    <s v="STAR15 K"/>
    <m/>
    <n v="69.27"/>
    <m/>
    <n v="831.24"/>
    <s v="INGRESADO POR EL PORTAL DEL AGENTE"/>
    <s v="ENVIADO"/>
    <s v="SI"/>
    <s v="SI"/>
    <m/>
    <m/>
    <m/>
    <m/>
    <m/>
  </r>
  <r>
    <x v="240"/>
    <d v="2025-03-10T00:00:00"/>
    <x v="3"/>
    <x v="0"/>
    <x v="9"/>
    <x v="11"/>
    <n v="7584557"/>
    <s v="EVA BETHSABE TRONCOSO VELEZ "/>
    <m/>
    <m/>
    <m/>
    <s v="TARJETA DE CREDITO"/>
    <m/>
    <m/>
    <m/>
    <x v="6"/>
    <s v="AC 35"/>
    <m/>
    <n v="135"/>
    <m/>
    <n v="135"/>
    <s v="INGRESADO POR EL PORTAL CDELPINO"/>
    <s v="ENVIADO"/>
    <s v="SI"/>
    <s v="SI"/>
    <m/>
    <m/>
    <m/>
    <m/>
    <m/>
  </r>
  <r>
    <x v="240"/>
    <d v="2025-03-10T00:00:00"/>
    <x v="3"/>
    <x v="0"/>
    <x v="0"/>
    <x v="50"/>
    <n v="36393"/>
    <s v="CHRISTHEL SOLANGE CEVALLOS FALCONES"/>
    <m/>
    <m/>
    <m/>
    <s v="DEBITO BANCARIO"/>
    <s v="MENSUAL"/>
    <m/>
    <m/>
    <x v="5"/>
    <s v="ASISPRO 20"/>
    <m/>
    <n v="71.7"/>
    <m/>
    <n v="860.40000000000009"/>
    <s v="INGRESADO POR EL PORTAL CDELPINO"/>
    <s v="ENVIADO"/>
    <s v="SI"/>
    <s v="SI"/>
    <m/>
    <m/>
    <m/>
    <m/>
    <m/>
  </r>
  <r>
    <x v="240"/>
    <m/>
    <x v="3"/>
    <x v="0"/>
    <x v="0"/>
    <x v="13"/>
    <s v="GM25G54175"/>
    <s v="MIGUEL ANGEL BALDEON TAPIA"/>
    <m/>
    <m/>
    <m/>
    <s v="DEBITO BANCARIO"/>
    <s v="MENSUAL"/>
    <m/>
    <m/>
    <x v="2"/>
    <s v="GMM"/>
    <m/>
    <n v="69.27"/>
    <m/>
    <n v="831.24"/>
    <s v="INGRESADO POR EL PORTAL DEL AGENTE"/>
    <s v="ENVIADO"/>
    <s v="SI"/>
    <s v="SI"/>
    <m/>
    <m/>
    <m/>
    <m/>
    <m/>
  </r>
  <r>
    <x v="241"/>
    <d v="2025-03-07T00:00:00"/>
    <x v="3"/>
    <x v="0"/>
    <x v="3"/>
    <x v="47"/>
    <s v="GM25G53785"/>
    <s v="CARMEN DE LOURDES CHAVEZ VILLAFUERTE"/>
    <m/>
    <m/>
    <m/>
    <s v="TARJETA DE CREDITO"/>
    <s v="MENSUAL"/>
    <m/>
    <m/>
    <x v="2"/>
    <s v="GMM"/>
    <m/>
    <n v="141.75"/>
    <m/>
    <n v="1701"/>
    <s v="INGRESADO CONNECTED GYG"/>
    <s v="ENVIADO"/>
    <s v="SI"/>
    <s v="SI"/>
    <m/>
    <m/>
    <m/>
    <m/>
    <m/>
  </r>
  <r>
    <x v="242"/>
    <m/>
    <x v="3"/>
    <x v="0"/>
    <x v="1"/>
    <x v="40"/>
    <m/>
    <s v="MARIA RODRIGUEZ NUQUEZ"/>
    <m/>
    <m/>
    <m/>
    <m/>
    <m/>
    <m/>
    <m/>
    <x v="13"/>
    <s v="OPTIMO"/>
    <m/>
    <m/>
    <m/>
    <n v="0"/>
    <s v="INGRESADO PORTAL CDELPINO"/>
    <s v="PENDIENTE"/>
    <m/>
    <m/>
    <m/>
    <m/>
    <m/>
    <m/>
    <m/>
  </r>
  <r>
    <x v="242"/>
    <m/>
    <x v="3"/>
    <x v="0"/>
    <x v="1"/>
    <x v="40"/>
    <m/>
    <s v="MARIA HUERTA HINOJOSA"/>
    <m/>
    <m/>
    <m/>
    <m/>
    <m/>
    <m/>
    <m/>
    <x v="13"/>
    <s v="OPTIMO"/>
    <m/>
    <m/>
    <m/>
    <n v="0"/>
    <s v="INGRESADO PORTAL CDELPINO"/>
    <s v="PENDIENTE"/>
    <m/>
    <m/>
    <m/>
    <m/>
    <m/>
    <m/>
    <m/>
  </r>
  <r>
    <x v="242"/>
    <m/>
    <x v="3"/>
    <x v="0"/>
    <x v="1"/>
    <x v="28"/>
    <m/>
    <s v="JOSE UBALDO CRESPIN CASTRO"/>
    <m/>
    <m/>
    <m/>
    <m/>
    <m/>
    <m/>
    <m/>
    <x v="7"/>
    <s v="CONFIPLUS"/>
    <m/>
    <n v="216.9"/>
    <m/>
    <n v="2602.8000000000002"/>
    <s v="INGRESADO POR EL AGENTE"/>
    <s v="PENDIENTE"/>
    <m/>
    <m/>
    <m/>
    <m/>
    <m/>
    <m/>
    <m/>
  </r>
  <r>
    <x v="243"/>
    <m/>
    <x v="2"/>
    <x v="0"/>
    <x v="0"/>
    <x v="39"/>
    <m/>
    <s v="MARIA ELENA OCHOA AZUERO"/>
    <m/>
    <m/>
    <m/>
    <s v="TARJETA DE CREDITO"/>
    <s v="ANUAL"/>
    <m/>
    <m/>
    <x v="10"/>
    <s v="BEST INDEX"/>
    <m/>
    <n v="1655"/>
    <m/>
    <n v="19860"/>
    <s v="INGRESADO POR AXIS"/>
    <s v="ENVIADO"/>
    <m/>
    <m/>
    <m/>
    <m/>
    <m/>
    <m/>
    <m/>
  </r>
  <r>
    <x v="244"/>
    <m/>
    <x v="3"/>
    <x v="0"/>
    <x v="3"/>
    <x v="47"/>
    <n v="4311436"/>
    <s v="AARON DE JESUS MORAL RODRIGUEZ"/>
    <m/>
    <m/>
    <m/>
    <s v="DEBITO BANCARIO"/>
    <s v="MENSUAL"/>
    <m/>
    <m/>
    <x v="1"/>
    <s v="SKY 50"/>
    <m/>
    <n v="78.16"/>
    <m/>
    <n v="937.92"/>
    <s v="INGRESADO POR EL PORTAL DEL AGENTE"/>
    <s v="ENVIADO"/>
    <s v="SI"/>
    <s v="SI"/>
    <m/>
    <m/>
    <m/>
    <m/>
    <m/>
  </r>
  <r>
    <x v="244"/>
    <m/>
    <x v="3"/>
    <x v="0"/>
    <x v="3"/>
    <x v="47"/>
    <n v="4311437"/>
    <s v="AARON DE JESUS MORAL RODRIGUEZ"/>
    <s v="LUCILA CONSUELO RODRIGUEZ OLIVERO"/>
    <n v="950796219"/>
    <m/>
    <s v="DEBITO BANCARIO"/>
    <s v="MENSUAL"/>
    <m/>
    <m/>
    <x v="1"/>
    <s v="STAR 15K"/>
    <m/>
    <n v="86.41"/>
    <m/>
    <n v="1036.92"/>
    <s v="INGRESADO POR EL PORTAL DEL AGENTE"/>
    <s v="ENVIADO"/>
    <s v="SI"/>
    <s v="SI"/>
    <m/>
    <m/>
    <m/>
    <m/>
    <m/>
  </r>
  <r>
    <x v="244"/>
    <d v="2025-03-15T00:00:00"/>
    <x v="3"/>
    <x v="0"/>
    <x v="0"/>
    <x v="1"/>
    <m/>
    <s v="TAMARA ELIZABETH MERCHAN ARREAGA"/>
    <m/>
    <m/>
    <m/>
    <s v="TARJETA DE CREDITO"/>
    <s v="MENSUAL"/>
    <m/>
    <m/>
    <x v="3"/>
    <s v="MASTER 75000"/>
    <m/>
    <n v="117.91"/>
    <m/>
    <n v="1414.92"/>
    <s v="INGRESADO CANAL TRADICIONAL"/>
    <s v="ENVIADO"/>
    <m/>
    <m/>
    <m/>
    <m/>
    <m/>
    <m/>
    <m/>
  </r>
  <r>
    <x v="244"/>
    <m/>
    <x v="3"/>
    <x v="0"/>
    <x v="8"/>
    <x v="12"/>
    <m/>
    <s v="CARMEN SABANDO VARELA"/>
    <m/>
    <m/>
    <m/>
    <m/>
    <m/>
    <m/>
    <m/>
    <x v="13"/>
    <s v="OPTIMO"/>
    <m/>
    <m/>
    <m/>
    <n v="0"/>
    <s v="INGRESADO PORTAL CDELPINO"/>
    <s v="PENDIENTE"/>
    <m/>
    <m/>
    <m/>
    <m/>
    <m/>
    <m/>
    <m/>
  </r>
  <r>
    <x v="245"/>
    <m/>
    <x v="3"/>
    <x v="0"/>
    <x v="9"/>
    <x v="11"/>
    <n v="16775"/>
    <s v="MARIA YAQUELIN CHICHANDE QUINTERO"/>
    <m/>
    <m/>
    <m/>
    <m/>
    <m/>
    <m/>
    <m/>
    <x v="3"/>
    <s v="SENIOR 45000"/>
    <m/>
    <n v="84.48"/>
    <m/>
    <n v="1013.76"/>
    <s v="INGRESADO "/>
    <s v="ENVIADO"/>
    <s v="SI"/>
    <s v="SI"/>
    <m/>
    <m/>
    <m/>
    <m/>
    <m/>
  </r>
  <r>
    <x v="245"/>
    <m/>
    <x v="3"/>
    <x v="0"/>
    <x v="3"/>
    <x v="47"/>
    <n v="16776"/>
    <s v="NAOMY ARIANA ROSAS MUÑOZ"/>
    <m/>
    <m/>
    <m/>
    <s v="DEBITO BANCARIO"/>
    <s v="MENSUAL"/>
    <m/>
    <m/>
    <x v="3"/>
    <s v="SENIOR 45000"/>
    <m/>
    <n v="84.48"/>
    <m/>
    <n v="1013.76"/>
    <s v="60% DESCUENTO EN PRIMERA CUOTA"/>
    <s v="ENVIADO"/>
    <m/>
    <m/>
    <m/>
    <m/>
    <m/>
    <m/>
    <m/>
  </r>
  <r>
    <x v="246"/>
    <m/>
    <x v="3"/>
    <x v="0"/>
    <x v="1"/>
    <x v="23"/>
    <s v="GM25G53887"/>
    <s v="RENE DIERS"/>
    <m/>
    <m/>
    <m/>
    <m/>
    <m/>
    <m/>
    <m/>
    <x v="2"/>
    <s v="GMM"/>
    <m/>
    <n v="34.833333333333336"/>
    <m/>
    <n v="418"/>
    <s v="INGRESADO PORTAL CDELPINO"/>
    <s v="ENVIADO"/>
    <m/>
    <m/>
    <m/>
    <m/>
    <m/>
    <m/>
    <m/>
  </r>
  <r>
    <x v="246"/>
    <m/>
    <x v="3"/>
    <x v="0"/>
    <x v="1"/>
    <x v="23"/>
    <n v="306269"/>
    <s v="RENE DIERS"/>
    <m/>
    <m/>
    <m/>
    <m/>
    <m/>
    <m/>
    <m/>
    <x v="13"/>
    <s v="OPTIMO"/>
    <m/>
    <n v="138.88"/>
    <m/>
    <n v="1666.56"/>
    <s v="INGRESADO PORTAL CDELPINO"/>
    <s v="ENVIADO"/>
    <m/>
    <m/>
    <m/>
    <m/>
    <m/>
    <m/>
    <m/>
  </r>
  <r>
    <x v="246"/>
    <m/>
    <x v="3"/>
    <x v="0"/>
    <x v="1"/>
    <x v="23"/>
    <n v="4311761"/>
    <s v="LAURA CRISTINA REDIN QUITO"/>
    <m/>
    <m/>
    <m/>
    <m/>
    <s v="MENSUAL"/>
    <m/>
    <m/>
    <x v="1"/>
    <s v="PRACTICO 3D"/>
    <m/>
    <n v="94.81"/>
    <m/>
    <n v="1137.72"/>
    <s v="INGRESADO PORTAL CDELPINO"/>
    <s v="ENVIADO"/>
    <m/>
    <m/>
    <m/>
    <m/>
    <m/>
    <m/>
    <m/>
  </r>
  <r>
    <x v="246"/>
    <m/>
    <x v="3"/>
    <x v="0"/>
    <x v="3"/>
    <x v="47"/>
    <n v="16802"/>
    <s v="MIGUEL AGUSTIN MEJIA MONROY"/>
    <m/>
    <m/>
    <m/>
    <s v="DEBITO BANCARIO"/>
    <s v="MENSUAL"/>
    <m/>
    <m/>
    <x v="3"/>
    <s v="MASTER 75000"/>
    <m/>
    <n v="85.38"/>
    <m/>
    <n v="1024.56"/>
    <s v="60% DESCUENTO EN PRIMERA CUOTA"/>
    <s v="ENVIADO"/>
    <m/>
    <m/>
    <m/>
    <m/>
    <m/>
    <m/>
    <m/>
  </r>
  <r>
    <x v="246"/>
    <m/>
    <x v="3"/>
    <x v="0"/>
    <x v="8"/>
    <x v="48"/>
    <m/>
    <m/>
    <m/>
    <m/>
    <m/>
    <m/>
    <m/>
    <m/>
    <m/>
    <x v="1"/>
    <m/>
    <m/>
    <m/>
    <m/>
    <n v="0"/>
    <m/>
    <s v="PENDIENTE"/>
    <m/>
    <m/>
    <m/>
    <m/>
    <m/>
    <m/>
    <m/>
  </r>
  <r>
    <x v="247"/>
    <m/>
    <x v="3"/>
    <x v="0"/>
    <x v="3"/>
    <x v="2"/>
    <n v="4311713"/>
    <s v="LIDIA AZUCENA TOLEDO BRAVO"/>
    <m/>
    <m/>
    <m/>
    <m/>
    <m/>
    <m/>
    <m/>
    <x v="1"/>
    <s v="ELITE 5D"/>
    <m/>
    <n v="165.76"/>
    <m/>
    <n v="1989.12"/>
    <s v="INGRESADO POR EL PORTAL DEL AGENTE"/>
    <s v="ENVIADO"/>
    <s v="SI"/>
    <s v="SI"/>
    <m/>
    <m/>
    <m/>
    <m/>
    <m/>
  </r>
  <r>
    <x v="247"/>
    <m/>
    <x v="3"/>
    <x v="0"/>
    <x v="3"/>
    <x v="2"/>
    <n v="4311822"/>
    <s v="CATALINA BETZABE MORA MUÑOZ"/>
    <m/>
    <m/>
    <m/>
    <m/>
    <m/>
    <m/>
    <m/>
    <x v="1"/>
    <s v="ELITE 5D"/>
    <m/>
    <n v="85.67"/>
    <m/>
    <n v="1028.04"/>
    <s v="INGRESADO POR EL PORTAL DEL AGENTE"/>
    <s v="ENVIADO"/>
    <s v="SI"/>
    <s v="SI"/>
    <m/>
    <m/>
    <m/>
    <m/>
    <m/>
  </r>
  <r>
    <x v="247"/>
    <m/>
    <x v="3"/>
    <x v="0"/>
    <x v="0"/>
    <x v="9"/>
    <n v="4311733"/>
    <s v="KATHERINE MISHEL SAMANIEGO ZAVALA"/>
    <m/>
    <m/>
    <m/>
    <m/>
    <m/>
    <m/>
    <m/>
    <x v="1"/>
    <s v="SKY 50"/>
    <m/>
    <n v="158.52000000000001"/>
    <m/>
    <n v="1902.2400000000002"/>
    <s v="INGRESADO POR EL PORTAL DEL AGENTE"/>
    <s v="ENVIADO"/>
    <m/>
    <m/>
    <m/>
    <m/>
    <m/>
    <m/>
    <m/>
  </r>
  <r>
    <x v="248"/>
    <m/>
    <x v="3"/>
    <x v="0"/>
    <x v="1"/>
    <x v="24"/>
    <n v="4311884"/>
    <s v="JOSE LEONARDO CARRION PACHECO"/>
    <m/>
    <m/>
    <m/>
    <m/>
    <m/>
    <m/>
    <m/>
    <x v="1"/>
    <s v="SKY70"/>
    <m/>
    <n v="91.55"/>
    <m/>
    <n v="1098.5999999999999"/>
    <s v="INGRESADO PORTAL CDELPINO"/>
    <s v="PENDIENTE"/>
    <m/>
    <m/>
    <m/>
    <m/>
    <m/>
    <m/>
    <m/>
  </r>
  <r>
    <x v="248"/>
    <m/>
    <x v="3"/>
    <x v="0"/>
    <x v="3"/>
    <x v="47"/>
    <n v="16787"/>
    <s v="ARIANA DOLORES CEDEÑO SUAREZ"/>
    <m/>
    <m/>
    <m/>
    <s v="DEBITO BANCARIO"/>
    <s v="MENSUAL"/>
    <m/>
    <m/>
    <x v="3"/>
    <s v="JR 20K"/>
    <m/>
    <n v="54.74"/>
    <m/>
    <n v="656.88"/>
    <s v="60% DESCUENTO EN PRIMERA CUOTA"/>
    <s v="ENVIADO"/>
    <m/>
    <m/>
    <m/>
    <m/>
    <m/>
    <m/>
    <m/>
  </r>
  <r>
    <x v="248"/>
    <m/>
    <x v="3"/>
    <x v="0"/>
    <x v="1"/>
    <x v="24"/>
    <n v="16785"/>
    <s v="JEFFREY XAVIER CHASIN ORTEGA"/>
    <m/>
    <m/>
    <m/>
    <s v="DEBITO BANCARIO"/>
    <s v="MENSUAL"/>
    <m/>
    <m/>
    <x v="3"/>
    <s v="JR 20K"/>
    <m/>
    <n v="207.51"/>
    <m/>
    <n v="2490.12"/>
    <s v="60% DESCUENTO EN PRIMERA CUOTA"/>
    <s v="ENVIADO"/>
    <s v="SI"/>
    <s v="SI"/>
    <m/>
    <m/>
    <m/>
    <m/>
    <m/>
  </r>
  <r>
    <x v="248"/>
    <m/>
    <x v="3"/>
    <x v="0"/>
    <x v="1"/>
    <x v="6"/>
    <n v="16803"/>
    <s v="BETSY MADELLINE ORDOÑEZ URBANO"/>
    <m/>
    <m/>
    <m/>
    <s v="DEBITO BANCARIO"/>
    <s v="MENSUAL"/>
    <m/>
    <m/>
    <x v="3"/>
    <s v="MASTER 75000"/>
    <m/>
    <n v="120.92"/>
    <m/>
    <n v="1451.04"/>
    <s v="60% DESCUENTO EN PRIMERA CUOTA"/>
    <s v="PENDIENTE"/>
    <m/>
    <m/>
    <m/>
    <m/>
    <m/>
    <m/>
    <m/>
  </r>
  <r>
    <x v="248"/>
    <m/>
    <x v="3"/>
    <x v="0"/>
    <x v="1"/>
    <x v="21"/>
    <n v="16788"/>
    <s v="PAMELA DEL CARMEN ARIAS BARBA"/>
    <m/>
    <m/>
    <m/>
    <s v="DEBITO BANCARIO"/>
    <s v="MENSUAL"/>
    <m/>
    <m/>
    <x v="3"/>
    <s v="JR 20K"/>
    <m/>
    <n v="64.45"/>
    <m/>
    <n v="773.40000000000009"/>
    <s v="60% DESCUENTO EN PRIMERA CUOTA"/>
    <s v="ENVIADO"/>
    <m/>
    <m/>
    <m/>
    <m/>
    <m/>
    <m/>
    <m/>
  </r>
  <r>
    <x v="249"/>
    <d v="2025-04-01T00:00:00"/>
    <x v="3"/>
    <x v="0"/>
    <x v="0"/>
    <x v="9"/>
    <s v="GM25G54496"/>
    <s v="JULIANA LEY YEN LAMA CHANG"/>
    <m/>
    <m/>
    <m/>
    <s v="DEBITO BANCARIO"/>
    <s v="MENSUAL"/>
    <m/>
    <m/>
    <x v="2"/>
    <s v="GMM"/>
    <m/>
    <n v="97.19"/>
    <m/>
    <n v="1166.28"/>
    <s v="INGRESADO POR EL CANAL TRADICIONAL"/>
    <s v="ENVIADO"/>
    <s v="SI"/>
    <s v="SI"/>
    <m/>
    <m/>
    <m/>
    <m/>
    <m/>
  </r>
  <r>
    <x v="250"/>
    <m/>
    <x v="3"/>
    <x v="0"/>
    <x v="1"/>
    <x v="21"/>
    <s v="GM25G53971"/>
    <s v="PAMELA DEL CARMEN ARIAS BARBA"/>
    <m/>
    <m/>
    <m/>
    <m/>
    <m/>
    <m/>
    <m/>
    <x v="2"/>
    <s v="GMM"/>
    <m/>
    <n v="69.78"/>
    <m/>
    <n v="837.36"/>
    <m/>
    <s v="PENDIENTE"/>
    <m/>
    <m/>
    <m/>
    <m/>
    <m/>
    <m/>
    <m/>
  </r>
  <r>
    <x v="251"/>
    <m/>
    <x v="3"/>
    <x v="0"/>
    <x v="6"/>
    <x v="14"/>
    <n v="4311976"/>
    <s v="SONIA CATALINA BARROS PAZMIÑO"/>
    <m/>
    <m/>
    <m/>
    <m/>
    <m/>
    <m/>
    <m/>
    <x v="1"/>
    <s v="SKY 50"/>
    <m/>
    <n v="287.67"/>
    <m/>
    <n v="3452.04"/>
    <m/>
    <s v="ENVIADO"/>
    <m/>
    <m/>
    <m/>
    <m/>
    <m/>
    <m/>
    <m/>
  </r>
  <r>
    <x v="252"/>
    <m/>
    <x v="3"/>
    <x v="0"/>
    <x v="1"/>
    <x v="12"/>
    <s v="GM25G54066"/>
    <s v="LILIANA SABRINA RANGEL CHAVEZ"/>
    <m/>
    <m/>
    <m/>
    <s v="DEBITO BANCARIO"/>
    <s v="MENSUAL"/>
    <m/>
    <m/>
    <x v="2"/>
    <s v="GMM"/>
    <m/>
    <n v="32.880000000000003"/>
    <m/>
    <n v="394.56000000000006"/>
    <s v="INGRESADO PORTAL CDELPINO"/>
    <s v="PENDIENTE"/>
    <m/>
    <m/>
    <m/>
    <m/>
    <m/>
    <m/>
    <m/>
  </r>
  <r>
    <x v="252"/>
    <m/>
    <x v="3"/>
    <x v="0"/>
    <x v="1"/>
    <x v="12"/>
    <s v="GM25G54063"/>
    <s v="CARMEN ADRIANA SABANDO VARELA"/>
    <m/>
    <m/>
    <m/>
    <s v="DEBITO BANCARIO"/>
    <s v="MENSUAL"/>
    <m/>
    <m/>
    <x v="2"/>
    <s v="GMM"/>
    <m/>
    <n v="36.119999999999997"/>
    <m/>
    <n v="433.43999999999994"/>
    <s v="INGRESADO PORTAL CDELPINO"/>
    <s v="PENDIENTE"/>
    <m/>
    <m/>
    <m/>
    <m/>
    <m/>
    <m/>
    <m/>
  </r>
  <r>
    <x v="252"/>
    <m/>
    <x v="3"/>
    <x v="0"/>
    <x v="1"/>
    <x v="20"/>
    <n v="16805"/>
    <s v="ANDREA ESTEFANIA ASTUDILLO POSLIGUA"/>
    <m/>
    <m/>
    <m/>
    <s v="DEBITO BANCARIO"/>
    <s v="MENSUAL"/>
    <m/>
    <m/>
    <x v="3"/>
    <s v="MASTER 75000"/>
    <m/>
    <n v="92.1"/>
    <m/>
    <n v="1105.1999999999998"/>
    <s v="60% DESCUENTO EN PRIMERA CUOTA"/>
    <s v="ENVIADO"/>
    <s v="SI"/>
    <s v="SI"/>
    <m/>
    <m/>
    <m/>
    <m/>
    <m/>
  </r>
  <r>
    <x v="253"/>
    <m/>
    <x v="3"/>
    <x v="0"/>
    <x v="0"/>
    <x v="39"/>
    <s v="BI00773104"/>
    <s v="IVAN ENRIQUE GONZALEZ PINCAY"/>
    <m/>
    <m/>
    <m/>
    <s v="TARJETA DE CREDITO"/>
    <s v="ANUAL"/>
    <m/>
    <m/>
    <x v="10"/>
    <s v="BEST INDEX"/>
    <m/>
    <n v="2892.5"/>
    <m/>
    <n v="2892.5"/>
    <s v="INGRESADO PORTAL ELITE VIDA"/>
    <s v="PENDIENTE"/>
    <m/>
    <m/>
    <m/>
    <m/>
    <m/>
    <m/>
    <m/>
  </r>
  <r>
    <x v="253"/>
    <m/>
    <x v="3"/>
    <x v="0"/>
    <x v="1"/>
    <x v="48"/>
    <n v="4312043"/>
    <s v="JIMMY XAVIER GARCIA MERO"/>
    <m/>
    <m/>
    <m/>
    <s v="DEBITO BANCARIO"/>
    <s v="MENSUAL"/>
    <m/>
    <m/>
    <x v="1"/>
    <s v="SKY50 PLUS"/>
    <m/>
    <n v="130.84"/>
    <m/>
    <n v="1570.08"/>
    <s v="INGRESADO PORTAL DEL AGENTE"/>
    <s v="ENVIADO"/>
    <m/>
    <m/>
    <m/>
    <m/>
    <m/>
    <m/>
    <m/>
  </r>
  <r>
    <x v="253"/>
    <m/>
    <x v="3"/>
    <x v="0"/>
    <x v="1"/>
    <x v="48"/>
    <n v="4311999"/>
    <s v="JESENIA VANESSA TORRES BLACIO"/>
    <m/>
    <m/>
    <m/>
    <s v="DEBITO BANCARIO"/>
    <s v="MENSUAL"/>
    <m/>
    <s v="ENVIADO"/>
    <x v="1"/>
    <s v="SKY50 PLUS"/>
    <m/>
    <n v="133.87"/>
    <m/>
    <n v="1606.44"/>
    <s v="INGRESADO PORTAL DEL AGENTE"/>
    <s v="ENVIADO"/>
    <m/>
    <m/>
    <m/>
    <m/>
    <m/>
    <m/>
    <m/>
  </r>
  <r>
    <x v="253"/>
    <m/>
    <x v="3"/>
    <x v="0"/>
    <x v="1"/>
    <x v="23"/>
    <n v="4312146"/>
    <s v="JOHANNA MARIBEL ORELLANA PONCE"/>
    <m/>
    <m/>
    <m/>
    <s v="DEBITO BANCARIO"/>
    <s v="MENSUAL"/>
    <m/>
    <m/>
    <x v="1"/>
    <s v="ELITE 5D"/>
    <m/>
    <n v="85.67"/>
    <m/>
    <n v="1028.04"/>
    <s v="INGRESADO PORTAL CDELPINO"/>
    <s v="ENVIADO"/>
    <s v="SI"/>
    <s v="SI"/>
    <m/>
    <m/>
    <m/>
    <m/>
    <m/>
  </r>
  <r>
    <x v="253"/>
    <m/>
    <x v="3"/>
    <x v="1"/>
    <x v="1"/>
    <x v="30"/>
    <m/>
    <s v="NATASHA NABILA CHONG QUI ESPINOZA"/>
    <m/>
    <m/>
    <m/>
    <m/>
    <m/>
    <m/>
    <m/>
    <x v="3"/>
    <m/>
    <m/>
    <m/>
    <m/>
    <n v="0"/>
    <m/>
    <s v="PENDIENTE"/>
    <m/>
    <m/>
    <m/>
    <m/>
    <m/>
    <m/>
    <m/>
  </r>
  <r>
    <x v="253"/>
    <m/>
    <x v="3"/>
    <x v="0"/>
    <x v="1"/>
    <x v="24"/>
    <n v="4312176"/>
    <s v="DARWIN YIMMY GOMEZ TORRES"/>
    <m/>
    <m/>
    <m/>
    <m/>
    <m/>
    <m/>
    <m/>
    <x v="1"/>
    <s v="STAR 15"/>
    <m/>
    <n v="73.73"/>
    <m/>
    <n v="884.76"/>
    <s v="INGRESADO PORTAL CDELPINO"/>
    <s v="ENVIADO"/>
    <m/>
    <m/>
    <m/>
    <m/>
    <m/>
    <m/>
    <m/>
  </r>
  <r>
    <x v="253"/>
    <m/>
    <x v="3"/>
    <x v="0"/>
    <x v="0"/>
    <x v="39"/>
    <n v="136552"/>
    <s v="NICOLE DENNISE VIDAL ORDOÑEZ"/>
    <m/>
    <m/>
    <m/>
    <s v="TARJETA DE CREDITO"/>
    <s v="MENSUAL"/>
    <m/>
    <m/>
    <x v="0"/>
    <s v="MH 50"/>
    <m/>
    <n v="236.25"/>
    <m/>
    <n v="2835"/>
    <m/>
    <s v="ENVIADO"/>
    <m/>
    <m/>
    <m/>
    <m/>
    <m/>
    <m/>
    <m/>
  </r>
  <r>
    <x v="254"/>
    <m/>
    <x v="3"/>
    <x v="0"/>
    <x v="1"/>
    <x v="24"/>
    <n v="4312256"/>
    <s v="MARIA MARLENE VEGA MOREIRA"/>
    <m/>
    <m/>
    <m/>
    <s v="DEBITO BANCARIO"/>
    <s v="MENSUAL"/>
    <m/>
    <m/>
    <x v="1"/>
    <s v="DENTAL MASTER"/>
    <m/>
    <n v="17.11"/>
    <m/>
    <n v="205.32"/>
    <s v="INGRESADO PORTAL CDELPINO"/>
    <s v="ENVIADO"/>
    <m/>
    <m/>
    <m/>
    <m/>
    <m/>
    <m/>
    <m/>
  </r>
  <r>
    <x v="254"/>
    <m/>
    <x v="3"/>
    <x v="0"/>
    <x v="0"/>
    <x v="1"/>
    <n v="16824"/>
    <s v="MICHELLE JERANEA MEJIA ESPINOZA"/>
    <m/>
    <m/>
    <m/>
    <m/>
    <m/>
    <m/>
    <m/>
    <x v="3"/>
    <s v="MASTER 75000"/>
    <m/>
    <n v="82.14"/>
    <m/>
    <n v="985.68000000000006"/>
    <s v="INGRESADO CANAL TRADICIONAL"/>
    <s v="ENVIADO"/>
    <s v="SI"/>
    <s v="SI"/>
    <m/>
    <m/>
    <m/>
    <m/>
    <m/>
  </r>
  <r>
    <x v="254"/>
    <m/>
    <x v="3"/>
    <x v="0"/>
    <x v="1"/>
    <x v="30"/>
    <n v="16807"/>
    <s v="DYLAN ALEJANDRO VILLON TENEZACA"/>
    <m/>
    <m/>
    <m/>
    <s v="DEBITO BANCARIO"/>
    <s v="MENSUAL"/>
    <m/>
    <m/>
    <x v="3"/>
    <s v="JR 20K"/>
    <m/>
    <n v="50.51"/>
    <m/>
    <n v="606.12"/>
    <s v="60% DESCUENTO EN PRIMERA CUOTA"/>
    <s v="ENVIADO"/>
    <s v="SI"/>
    <s v="SI"/>
    <m/>
    <m/>
    <m/>
    <m/>
    <m/>
  </r>
  <r>
    <x v="254"/>
    <m/>
    <x v="3"/>
    <x v="0"/>
    <x v="1"/>
    <x v="43"/>
    <n v="16808"/>
    <s v="SOLANDA GLADYS ROQUE INTRIAGO"/>
    <m/>
    <m/>
    <m/>
    <s v="DEBITO BANCARIO"/>
    <s v="MENSUAL"/>
    <m/>
    <m/>
    <x v="3"/>
    <s v="JR 20K"/>
    <m/>
    <n v="94.87"/>
    <m/>
    <n v="1138.44"/>
    <s v="60% DESCUENTO EN PRIMERA CUOTA"/>
    <s v="ENVIADO"/>
    <s v="SI"/>
    <s v="SI"/>
    <m/>
    <m/>
    <m/>
    <m/>
    <m/>
  </r>
  <r>
    <x v="254"/>
    <m/>
    <x v="3"/>
    <x v="0"/>
    <x v="0"/>
    <x v="9"/>
    <n v="4312316"/>
    <s v="NUMAN DANILO HURTADO PLAZA"/>
    <m/>
    <m/>
    <m/>
    <s v="DEBITO BANCARIO"/>
    <s v="MENSUAL"/>
    <m/>
    <m/>
    <x v="1"/>
    <s v="STAR 15K"/>
    <m/>
    <n v="134.05000000000001"/>
    <m/>
    <n v="1608.6000000000001"/>
    <s v="INGRESADO PORTAL DEL AGENTE"/>
    <s v="ENVIADO"/>
    <m/>
    <m/>
    <m/>
    <m/>
    <m/>
    <m/>
    <m/>
  </r>
  <r>
    <x v="254"/>
    <m/>
    <x v="3"/>
    <x v="0"/>
    <x v="6"/>
    <x v="14"/>
    <m/>
    <s v="GRACE RENATA ANDINO MONTAÑO"/>
    <m/>
    <m/>
    <m/>
    <m/>
    <m/>
    <m/>
    <m/>
    <x v="9"/>
    <s v="VIDA BASICO"/>
    <m/>
    <n v="25"/>
    <m/>
    <n v="300"/>
    <s v="INGRESADO POR EL AGENTE"/>
    <s v="PENDIENTE"/>
    <m/>
    <m/>
    <m/>
    <m/>
    <m/>
    <m/>
    <m/>
  </r>
  <r>
    <x v="255"/>
    <m/>
    <x v="3"/>
    <x v="0"/>
    <x v="9"/>
    <x v="10"/>
    <n v="25306452"/>
    <s v="EDUARDO BOLIVAR VIVANCO MALDONADO"/>
    <m/>
    <m/>
    <m/>
    <s v="TARJETA DE CREDITO"/>
    <s v="ANUAL"/>
    <m/>
    <m/>
    <x v="13"/>
    <s v="OPTIMO"/>
    <m/>
    <n v="4913.79"/>
    <m/>
    <n v="4913.79"/>
    <s v="INGRESADO POR PORTAL CDELPINO"/>
    <s v="ENVIADO"/>
    <m/>
    <m/>
    <m/>
    <m/>
    <m/>
    <m/>
    <m/>
  </r>
  <r>
    <x v="255"/>
    <m/>
    <x v="3"/>
    <x v="0"/>
    <x v="1"/>
    <x v="27"/>
    <n v="48990"/>
    <s v="CARLOS GUSTAVO RODRIGUEZ ROMERO"/>
    <m/>
    <m/>
    <m/>
    <s v="DEBITO BANCARIO"/>
    <s v="MENSUAL"/>
    <m/>
    <m/>
    <x v="7"/>
    <s v="CONFIPLUS"/>
    <m/>
    <n v="41.41"/>
    <m/>
    <n v="496.91999999999996"/>
    <s v="INGRESADO CANAL TRADICIONAL"/>
    <s v="ENVIADO"/>
    <s v="SI"/>
    <s v="SI"/>
    <m/>
    <m/>
    <m/>
    <m/>
    <m/>
  </r>
  <r>
    <x v="256"/>
    <m/>
    <x v="3"/>
    <x v="0"/>
    <x v="0"/>
    <x v="18"/>
    <n v="16825"/>
    <s v="GUSTAVO XAVIER RODRIGUEZ ARTEAGA"/>
    <m/>
    <m/>
    <m/>
    <s v="DEBITO BANCARIO"/>
    <s v="MENSUAL"/>
    <m/>
    <m/>
    <x v="3"/>
    <s v="JR 20K"/>
    <m/>
    <n v="68.34"/>
    <m/>
    <n v="820.08"/>
    <s v="60% DESCUENTO EN PRIMERA CUOTA"/>
    <s v="ENVIADO"/>
    <s v="SI"/>
    <s v="SI"/>
    <m/>
    <m/>
    <m/>
    <m/>
    <m/>
  </r>
  <r>
    <x v="256"/>
    <m/>
    <x v="3"/>
    <x v="0"/>
    <x v="3"/>
    <x v="2"/>
    <n v="16878"/>
    <s v="DIANA MARIELLA GURUMENDI HERNANDEZ"/>
    <m/>
    <m/>
    <m/>
    <s v="DEBITO BANCARIO"/>
    <s v="MENSUAL"/>
    <m/>
    <m/>
    <x v="3"/>
    <s v="JR 20K"/>
    <m/>
    <n v="64.45"/>
    <m/>
    <n v="773.40000000000009"/>
    <s v="60% DESCUENTO EN PRIMERA CUOTA"/>
    <s v="ENVIADO"/>
    <s v="SI"/>
    <m/>
    <m/>
    <m/>
    <m/>
    <m/>
    <m/>
  </r>
  <r>
    <x v="257"/>
    <d v="2025-03-25T00:00:00"/>
    <x v="3"/>
    <x v="0"/>
    <x v="3"/>
    <x v="47"/>
    <s v="GM25G54262"/>
    <s v="RAUL ANDRES AVILES SABANDO"/>
    <m/>
    <m/>
    <m/>
    <s v="TARJETA DE CREDITO"/>
    <s v="MENSUAL"/>
    <m/>
    <m/>
    <x v="2"/>
    <s v="GMM"/>
    <m/>
    <n v="30.92"/>
    <m/>
    <n v="371.04"/>
    <s v="INGRESADO PORTAL GYG"/>
    <s v="ENVIADO"/>
    <m/>
    <m/>
    <m/>
    <m/>
    <m/>
    <m/>
    <m/>
  </r>
  <r>
    <x v="258"/>
    <m/>
    <x v="3"/>
    <x v="0"/>
    <x v="6"/>
    <x v="14"/>
    <m/>
    <s v="BMI VIDA"/>
    <m/>
    <m/>
    <m/>
    <m/>
    <s v="x1x"/>
    <m/>
    <m/>
    <x v="10"/>
    <m/>
    <m/>
    <m/>
    <m/>
    <n v="0"/>
    <m/>
    <s v="PENDIENTE"/>
    <m/>
    <m/>
    <m/>
    <m/>
    <m/>
    <m/>
    <m/>
  </r>
  <r>
    <x v="258"/>
    <d v="2025-04-01T00:00:00"/>
    <x v="3"/>
    <x v="0"/>
    <x v="3"/>
    <x v="47"/>
    <n v="23306542"/>
    <s v="PUBLIO MEDARDO ORTEGA PEREIRA"/>
    <m/>
    <m/>
    <m/>
    <s v="TARJETA DE CREDITO"/>
    <s v="ANUAL"/>
    <m/>
    <m/>
    <x v="13"/>
    <s v="OPTIMO"/>
    <m/>
    <n v="2187.33"/>
    <m/>
    <n v="2187.33"/>
    <s v="INGRESADO PORTAL CDELPINO"/>
    <s v="ENVIADO"/>
    <s v="SI"/>
    <s v="SI"/>
    <m/>
    <m/>
    <m/>
    <m/>
    <m/>
  </r>
  <r>
    <x v="258"/>
    <m/>
    <x v="3"/>
    <x v="0"/>
    <x v="3"/>
    <x v="47"/>
    <n v="5008354"/>
    <s v="SPECIALITYMED CIA. LTDA."/>
    <m/>
    <m/>
    <m/>
    <s v="DEBITO BANCARIO"/>
    <s v="MENSUAL"/>
    <m/>
    <m/>
    <x v="1"/>
    <s v="POOL "/>
    <m/>
    <n v="3355.81"/>
    <m/>
    <n v="40269.72"/>
    <s v="POOL EMPRESARIAL MENSUAL"/>
    <s v="ENVIADO"/>
    <s v="SI"/>
    <s v="SI"/>
    <m/>
    <m/>
    <m/>
    <m/>
    <m/>
  </r>
  <r>
    <x v="258"/>
    <m/>
    <x v="3"/>
    <x v="0"/>
    <x v="0"/>
    <x v="13"/>
    <s v="GM25G54313"/>
    <s v="LILIA PATRICIA OCHOA BRITO"/>
    <m/>
    <m/>
    <m/>
    <s v="TARJETA DE CREDITO"/>
    <s v="MENSUAL"/>
    <m/>
    <m/>
    <x v="2"/>
    <s v="GMM"/>
    <m/>
    <n v="272.96583333333336"/>
    <m/>
    <n v="3275.59"/>
    <s v="INGRESADO PORTAL GYG"/>
    <s v="ENVIADO"/>
    <s v="SI"/>
    <s v="SI"/>
    <m/>
    <m/>
    <m/>
    <m/>
    <m/>
  </r>
  <r>
    <x v="259"/>
    <m/>
    <x v="3"/>
    <x v="0"/>
    <x v="9"/>
    <x v="11"/>
    <n v="4312772"/>
    <s v="SHELLA NICOLE RIVERA CHILAN"/>
    <m/>
    <m/>
    <m/>
    <s v="DEBITO BANCARIO"/>
    <s v="MENSUAL"/>
    <m/>
    <m/>
    <x v="1"/>
    <s v="SKY 70"/>
    <m/>
    <n v="131.29"/>
    <m/>
    <n v="1575.48"/>
    <s v="INGRESADO POR EL PORTAL DEL AGENTE"/>
    <s v="ENVIADO"/>
    <s v="SI"/>
    <s v="SI"/>
    <m/>
    <m/>
    <m/>
    <m/>
    <m/>
  </r>
  <r>
    <x v="259"/>
    <m/>
    <x v="3"/>
    <x v="0"/>
    <x v="6"/>
    <x v="14"/>
    <n v="16851"/>
    <s v="IVETTE ANDREINA FERRIN CEDEÑO"/>
    <m/>
    <m/>
    <m/>
    <s v="DEBITO BANCARIO"/>
    <s v="MENSUAL"/>
    <m/>
    <m/>
    <x v="3"/>
    <s v="PREMIUN 30MIL"/>
    <m/>
    <n v="80.56"/>
    <m/>
    <n v="966.72"/>
    <s v="INGRESADO POR LE PORTAL DEL AGENTE"/>
    <s v="ENVIADO"/>
    <s v="SI"/>
    <s v="SI"/>
    <m/>
    <m/>
    <m/>
    <m/>
    <m/>
  </r>
  <r>
    <x v="259"/>
    <m/>
    <x v="3"/>
    <x v="0"/>
    <x v="0"/>
    <x v="1"/>
    <n v="4312628"/>
    <s v="KARLA NICHOL JARA ESTACIO"/>
    <m/>
    <m/>
    <m/>
    <s v="DEBITO BANCARIO"/>
    <s v="MENSUAL"/>
    <m/>
    <m/>
    <x v="1"/>
    <s v="STAR 30K"/>
    <m/>
    <n v="54.89"/>
    <m/>
    <n v="658.68000000000006"/>
    <m/>
    <s v="ENVIADO"/>
    <m/>
    <m/>
    <m/>
    <m/>
    <m/>
    <m/>
    <m/>
  </r>
  <r>
    <x v="260"/>
    <m/>
    <x v="3"/>
    <x v="0"/>
    <x v="7"/>
    <x v="4"/>
    <n v="16843"/>
    <s v="JUAN JAVIER FAJARDO ANCHUNDIA"/>
    <m/>
    <m/>
    <m/>
    <s v="TARJETA DE CREDITO"/>
    <s v="MENSUAL"/>
    <m/>
    <m/>
    <x v="3"/>
    <s v="MASTER 75000"/>
    <m/>
    <n v="58.95"/>
    <m/>
    <n v="707.40000000000009"/>
    <s v="60% DESCUENTO EN PRIMERA CUOTA"/>
    <s v="ENVIADO"/>
    <s v="SI"/>
    <s v="SI"/>
    <m/>
    <m/>
    <m/>
    <m/>
    <m/>
  </r>
  <r>
    <x v="260"/>
    <m/>
    <x v="3"/>
    <x v="0"/>
    <x v="5"/>
    <x v="29"/>
    <n v="4313155"/>
    <s v="ADRIANA CRISTINA JARRIN ASPIAZU"/>
    <m/>
    <m/>
    <m/>
    <s v="DEBITO BANCARIO"/>
    <s v="MENSUAL"/>
    <m/>
    <m/>
    <x v="1"/>
    <s v="OPTIMUS 500"/>
    <m/>
    <n v="48.12"/>
    <m/>
    <n v="577.43999999999994"/>
    <s v="INGRESADO PORTAL DEL AGENTE"/>
    <s v="ENVIADO"/>
    <s v="SI"/>
    <s v="SI"/>
    <m/>
    <m/>
    <m/>
    <m/>
    <m/>
  </r>
  <r>
    <x v="260"/>
    <m/>
    <x v="3"/>
    <x v="0"/>
    <x v="1"/>
    <x v="23"/>
    <n v="16871"/>
    <s v="GEORGINA MARIA VILLON MATUTE"/>
    <m/>
    <m/>
    <m/>
    <s v="DEBITO BANCARIO"/>
    <s v="MENSUAL"/>
    <m/>
    <s v="SI"/>
    <x v="3"/>
    <s v="JR 20K"/>
    <m/>
    <n v="119.19"/>
    <m/>
    <n v="1430.28"/>
    <s v="INGRESADO CANAL TRADICIONAL"/>
    <s v="ENVIADO"/>
    <s v="SI"/>
    <s v="SI"/>
    <s v="s"/>
    <m/>
    <m/>
    <m/>
    <m/>
  </r>
  <r>
    <x v="261"/>
    <m/>
    <x v="3"/>
    <x v="0"/>
    <x v="9"/>
    <x v="11"/>
    <n v="4313420"/>
    <s v="PAMELA MARIBEL CALDERON MARTINEZ"/>
    <m/>
    <m/>
    <m/>
    <s v="DEBITO BANCARIO"/>
    <s v="MENSUAL"/>
    <m/>
    <m/>
    <x v="1"/>
    <s v="DENTAL MASTER"/>
    <m/>
    <n v="17.11"/>
    <m/>
    <n v="205.32"/>
    <s v="INGRESADO POR LE PORTAL DEL AGENTE"/>
    <s v="ENVIADO"/>
    <s v="SI"/>
    <s v="SI"/>
    <m/>
    <m/>
    <m/>
    <m/>
    <m/>
  </r>
  <r>
    <x v="261"/>
    <m/>
    <x v="3"/>
    <x v="0"/>
    <x v="0"/>
    <x v="1"/>
    <n v="16891"/>
    <s v="EDUARDO JULIO SALAZAR CORREA"/>
    <m/>
    <m/>
    <m/>
    <s v="DEBITO BANCARIO"/>
    <s v="MENSUAL"/>
    <m/>
    <m/>
    <x v="3"/>
    <s v="SENIOR 45000"/>
    <m/>
    <n v="158.38"/>
    <m/>
    <n v="1900.56"/>
    <s v="60% DESCUENTO EN PRIMERA CUOTA"/>
    <s v="ENVIADO"/>
    <s v="SI"/>
    <s v="SI"/>
    <m/>
    <m/>
    <m/>
    <m/>
    <m/>
  </r>
  <r>
    <x v="261"/>
    <m/>
    <x v="3"/>
    <x v="0"/>
    <x v="1"/>
    <x v="24"/>
    <n v="16895"/>
    <s v="EMILIO IVAN GRANJA ZAMBRANO"/>
    <m/>
    <m/>
    <m/>
    <s v="DEBITO BANCARIO"/>
    <s v="MENSUAL"/>
    <m/>
    <m/>
    <x v="3"/>
    <s v="JR 20K"/>
    <m/>
    <n v="118.85"/>
    <m/>
    <n v="1426.1999999999998"/>
    <s v="60% DESCUENTO EN PRIMERA CUOTA"/>
    <s v="ENVIADO"/>
    <m/>
    <m/>
    <m/>
    <m/>
    <m/>
    <m/>
    <m/>
  </r>
  <r>
    <x v="261"/>
    <m/>
    <x v="3"/>
    <x v="0"/>
    <x v="3"/>
    <x v="2"/>
    <n v="16899"/>
    <s v="LOURDES MARILYN PAREDES ASENCIO"/>
    <m/>
    <m/>
    <m/>
    <s v="DEBITO BANCARIO"/>
    <s v="MENSUAL"/>
    <m/>
    <m/>
    <x v="3"/>
    <s v="JR 20K"/>
    <m/>
    <n v="127.17"/>
    <m/>
    <n v="1526.04"/>
    <s v="60% DESCUENTO EN PRIMERA CUOTA"/>
    <s v="ENVIADO"/>
    <m/>
    <m/>
    <m/>
    <m/>
    <m/>
    <m/>
    <m/>
  </r>
  <r>
    <x v="261"/>
    <m/>
    <x v="3"/>
    <x v="0"/>
    <x v="3"/>
    <x v="2"/>
    <n v="16893"/>
    <s v="AZARIA CHANTHELL LEDESMA ASPIAZU"/>
    <m/>
    <m/>
    <m/>
    <s v="DEBITO BANCARIO"/>
    <s v="MENSUAL"/>
    <m/>
    <m/>
    <x v="3"/>
    <s v="JR 20K"/>
    <m/>
    <n v="102.26"/>
    <m/>
    <n v="1227.1200000000001"/>
    <s v="60% DESCUENTO EN PRIMERA CUOTA"/>
    <s v="ENVIADO"/>
    <m/>
    <m/>
    <m/>
    <m/>
    <m/>
    <m/>
    <m/>
  </r>
  <r>
    <x v="261"/>
    <m/>
    <x v="3"/>
    <x v="0"/>
    <x v="0"/>
    <x v="13"/>
    <n v="16921"/>
    <s v="MARCO VINICIO BURNEO MOLINA"/>
    <m/>
    <m/>
    <m/>
    <s v="DEBITO BANCARIO"/>
    <s v="MENSUAL"/>
    <m/>
    <m/>
    <x v="3"/>
    <s v="JR 20K"/>
    <m/>
    <n v="90.91"/>
    <m/>
    <n v="1090.92"/>
    <s v="60% DESCUENTO EN PRIMERA CUOTA"/>
    <s v="ENVIADO"/>
    <s v="SI"/>
    <s v="SI"/>
    <m/>
    <m/>
    <m/>
    <m/>
    <m/>
  </r>
  <r>
    <x v="261"/>
    <m/>
    <x v="3"/>
    <x v="0"/>
    <x v="3"/>
    <x v="2"/>
    <n v="16896"/>
    <s v="CYNTHIA CAROLINA NIETO PAREDES"/>
    <m/>
    <m/>
    <m/>
    <s v="DEBITO BANCARIO"/>
    <s v="MENSUAL"/>
    <m/>
    <m/>
    <x v="3"/>
    <s v="JR 20K"/>
    <m/>
    <n v="62.06"/>
    <m/>
    <n v="744.72"/>
    <s v="60% DESCUENTO EN PRIMERA CUOTA"/>
    <s v="ENVIADO"/>
    <m/>
    <m/>
    <m/>
    <m/>
    <m/>
    <m/>
    <m/>
  </r>
  <r>
    <x v="261"/>
    <m/>
    <x v="3"/>
    <x v="0"/>
    <x v="1"/>
    <x v="25"/>
    <n v="4313140"/>
    <s v="MONICA ALEXANDRA CALDERON VANEGAS"/>
    <m/>
    <m/>
    <m/>
    <s v="TARJETA DE CREDITO"/>
    <s v="MENSUAL"/>
    <m/>
    <m/>
    <x v="1"/>
    <s v="STAR 30K"/>
    <m/>
    <n v="126.39"/>
    <m/>
    <n v="1516.68"/>
    <s v="INGRESADO POR EL PORTAL CDELPINO"/>
    <s v="PENDIENTE"/>
    <s v="SI"/>
    <s v="SI"/>
    <m/>
    <m/>
    <m/>
    <m/>
    <m/>
  </r>
  <r>
    <x v="261"/>
    <m/>
    <x v="3"/>
    <x v="0"/>
    <x v="1"/>
    <x v="48"/>
    <n v="4313588"/>
    <s v="LUIS ISAAC ABAD ZEVALLOS"/>
    <m/>
    <m/>
    <m/>
    <s v="DEBITO BANCARIO"/>
    <s v="MENSUAL"/>
    <m/>
    <m/>
    <x v="1"/>
    <s v="SKY 50 PLUS - 100"/>
    <m/>
    <n v="84.19"/>
    <m/>
    <n v="1010.28"/>
    <s v="INGRESADO POR EL PORTAL DEL AGENTE"/>
    <s v="ENVIADO"/>
    <m/>
    <m/>
    <m/>
    <m/>
    <m/>
    <m/>
    <m/>
  </r>
  <r>
    <x v="261"/>
    <m/>
    <x v="3"/>
    <x v="0"/>
    <x v="6"/>
    <x v="14"/>
    <m/>
    <s v="ASISKEN ALEXANDRA MALDONADO"/>
    <m/>
    <m/>
    <m/>
    <m/>
    <m/>
    <m/>
    <m/>
    <x v="5"/>
    <m/>
    <m/>
    <m/>
    <m/>
    <n v="0"/>
    <m/>
    <s v="PENDIENTE"/>
    <m/>
    <m/>
    <m/>
    <m/>
    <m/>
    <m/>
    <m/>
  </r>
  <r>
    <x v="261"/>
    <m/>
    <x v="3"/>
    <x v="0"/>
    <x v="6"/>
    <x v="14"/>
    <m/>
    <s v="BMI AHORRO"/>
    <m/>
    <m/>
    <m/>
    <m/>
    <m/>
    <m/>
    <m/>
    <x v="9"/>
    <m/>
    <m/>
    <m/>
    <m/>
    <n v="0"/>
    <m/>
    <s v="PENDIENTE"/>
    <m/>
    <m/>
    <m/>
    <m/>
    <m/>
    <m/>
    <m/>
  </r>
  <r>
    <x v="262"/>
    <m/>
    <x v="2"/>
    <x v="0"/>
    <x v="1"/>
    <x v="23"/>
    <s v="GM25G54538"/>
    <s v="DANIEL GREGORIO LUZURIAGA VILLON"/>
    <m/>
    <m/>
    <m/>
    <s v="TARJETA DE CREDITO"/>
    <s v="MENSUAL"/>
    <m/>
    <m/>
    <x v="2"/>
    <s v="GMM"/>
    <m/>
    <n v="23.936666666666667"/>
    <m/>
    <n v="287.24"/>
    <s v="INGRESADO POR EL CONNECTED CDELPINO"/>
    <s v="ENVIADO"/>
    <s v="SI"/>
    <s v="SI"/>
    <m/>
    <m/>
    <m/>
    <m/>
    <m/>
  </r>
  <r>
    <x v="262"/>
    <m/>
    <x v="2"/>
    <x v="0"/>
    <x v="1"/>
    <x v="23"/>
    <s v="GM25G54536"/>
    <s v="GEORGINA MARIA VILLON MATUTE"/>
    <m/>
    <m/>
    <m/>
    <s v="TARJETA DE CREDITO"/>
    <s v="MENSUAL"/>
    <m/>
    <m/>
    <x v="2"/>
    <s v="GMM"/>
    <m/>
    <n v="42.784166666666664"/>
    <m/>
    <n v="513.41"/>
    <s v="INGRESADO POR EL CONNECTED CDELPINO"/>
    <s v="ENVIADO"/>
    <s v="SI"/>
    <s v="SI"/>
    <m/>
    <m/>
    <m/>
    <m/>
    <m/>
  </r>
  <r>
    <x v="262"/>
    <m/>
    <x v="2"/>
    <x v="0"/>
    <x v="3"/>
    <x v="47"/>
    <n v="4313570"/>
    <s v="MARIA AUXILIADORA JARAMILLO GARCIA"/>
    <m/>
    <m/>
    <m/>
    <s v="DEBITO BANCARIO"/>
    <s v="MENSUAL"/>
    <m/>
    <m/>
    <x v="1"/>
    <s v="RESPALDO TOTAL PLUS"/>
    <m/>
    <n v="46.03"/>
    <m/>
    <n v="552.36"/>
    <s v="INGRESADO PORTAL DIRECTOR"/>
    <s v="ENVIADO"/>
    <s v="SI"/>
    <s v="SI"/>
    <m/>
    <m/>
    <m/>
    <m/>
    <m/>
  </r>
  <r>
    <x v="262"/>
    <m/>
    <x v="2"/>
    <x v="0"/>
    <x v="3"/>
    <x v="2"/>
    <n v="4313634"/>
    <s v="JOSE DANIEL LAZO LARA"/>
    <m/>
    <m/>
    <m/>
    <s v="DEBITO BANCARIO"/>
    <s v="MENSUAL"/>
    <m/>
    <m/>
    <x v="1"/>
    <s v="SKY 70 PLUS"/>
    <m/>
    <n v="187.54"/>
    <m/>
    <n v="2250.48"/>
    <s v="INGRESADO PORTAL DIRECTOR"/>
    <s v="ENVIADO"/>
    <s v="SI"/>
    <s v="SI"/>
    <m/>
    <m/>
    <m/>
    <m/>
    <m/>
  </r>
  <r>
    <x v="262"/>
    <m/>
    <x v="2"/>
    <x v="0"/>
    <x v="0"/>
    <x v="9"/>
    <n v="4313616"/>
    <s v="JEFFERSON ROBERTO MATAMORO DELGADO"/>
    <m/>
    <m/>
    <m/>
    <s v="DEBITO BANCARIO"/>
    <s v="MENSUAL"/>
    <m/>
    <m/>
    <x v="1"/>
    <s v="SKY 50 PLUS - 100"/>
    <m/>
    <n v="189.43"/>
    <m/>
    <n v="2273.16"/>
    <s v="INGRESADO POR EL AGENTE"/>
    <s v="ENVIADO"/>
    <s v="SI"/>
    <s v="SI"/>
    <m/>
    <m/>
    <m/>
    <m/>
    <m/>
  </r>
  <r>
    <x v="263"/>
    <m/>
    <x v="2"/>
    <x v="0"/>
    <x v="9"/>
    <x v="11"/>
    <n v="4313733"/>
    <s v="JORGE ANTONIO AVALOS LEON"/>
    <m/>
    <m/>
    <m/>
    <s v="DEBITO BANCARIO"/>
    <s v="MENSUAL"/>
    <m/>
    <m/>
    <x v="1"/>
    <s v="RESPALDO TOTAL PLUS"/>
    <m/>
    <n v="12.58"/>
    <m/>
    <n v="150.96"/>
    <s v="INGRESADO POR EL AGENTE"/>
    <s v="ENVIADO"/>
    <m/>
    <m/>
    <m/>
    <m/>
    <m/>
    <m/>
    <m/>
  </r>
  <r>
    <x v="263"/>
    <m/>
    <x v="2"/>
    <x v="0"/>
    <x v="9"/>
    <x v="11"/>
    <n v="4313726"/>
    <s v="ANTONELLA IVETTE LOOR AVALOS"/>
    <m/>
    <m/>
    <m/>
    <s v="DEBITO BANCARIO"/>
    <s v="MENSUAL"/>
    <m/>
    <m/>
    <x v="1"/>
    <s v="RESPALDO TOTAL PLUS"/>
    <m/>
    <n v="54.9"/>
    <m/>
    <n v="658.8"/>
    <s v="INGRESADO POR EL AGENTE"/>
    <s v="ENVIADO"/>
    <m/>
    <m/>
    <m/>
    <m/>
    <m/>
    <m/>
    <m/>
  </r>
  <r>
    <x v="263"/>
    <m/>
    <x v="2"/>
    <x v="0"/>
    <x v="3"/>
    <x v="47"/>
    <n v="16898"/>
    <s v="RUTH ELENA SUAREZ CORDERO"/>
    <m/>
    <m/>
    <m/>
    <s v="TARJETA DE CREDITO"/>
    <s v="MENSUAL"/>
    <m/>
    <m/>
    <x v="3"/>
    <s v="JR 20K"/>
    <m/>
    <n v="34.17"/>
    <m/>
    <n v="410.04"/>
    <s v="60% DESCUENTO EN PRIMERA CUOTA"/>
    <s v="ENVIADO"/>
    <m/>
    <m/>
    <m/>
    <m/>
    <m/>
    <m/>
    <m/>
  </r>
  <r>
    <x v="264"/>
    <m/>
    <x v="2"/>
    <x v="0"/>
    <x v="3"/>
    <x v="47"/>
    <n v="4313762"/>
    <s v="RUTH KARINA HERMENEJILDO SOTOMAYOR"/>
    <m/>
    <m/>
    <m/>
    <s v="DEBITO BANCARIO"/>
    <s v="MENSUAL"/>
    <m/>
    <m/>
    <x v="1"/>
    <s v="SKY 50"/>
    <m/>
    <n v="113.04"/>
    <m/>
    <n v="1356.48"/>
    <s v="INGRESADO PORTAL DIRECTOR"/>
    <s v="ENVIADO"/>
    <s v="SI"/>
    <s v="SI"/>
    <m/>
    <m/>
    <m/>
    <m/>
    <m/>
  </r>
  <r>
    <x v="264"/>
    <m/>
    <x v="2"/>
    <x v="0"/>
    <x v="1"/>
    <x v="6"/>
    <s v="GM25G54628"/>
    <s v="EMMA JOHANNA REYES PALMA"/>
    <m/>
    <m/>
    <m/>
    <s v="DEBITO BANCARIO"/>
    <s v="MENSUAL"/>
    <m/>
    <m/>
    <x v="2"/>
    <s v="GMM"/>
    <m/>
    <n v="27.51"/>
    <m/>
    <n v="330.12"/>
    <s v="INGRESADO CONNECTED CDELPINO"/>
    <s v="ENVIADO"/>
    <s v="SI"/>
    <m/>
    <m/>
    <m/>
    <m/>
    <m/>
    <s v="emmita1987@outlook.com"/>
  </r>
  <r>
    <x v="265"/>
    <m/>
    <x v="2"/>
    <x v="0"/>
    <x v="1"/>
    <x v="43"/>
    <n v="36671"/>
    <s v="JONATHAN EMILIO ARREAGA GALARZA"/>
    <m/>
    <m/>
    <m/>
    <s v="DEBITO BANCARIO"/>
    <s v="MENSUAL"/>
    <m/>
    <m/>
    <x v="5"/>
    <s v="ASISPRO 20"/>
    <m/>
    <n v="137.63"/>
    <m/>
    <n v="1651.56"/>
    <s v="50% DESCUENTO PRIMERA CUOTA"/>
    <s v="ENVIADO"/>
    <s v="SI"/>
    <s v="SI"/>
    <m/>
    <m/>
    <m/>
    <m/>
    <m/>
  </r>
  <r>
    <x v="265"/>
    <m/>
    <x v="2"/>
    <x v="0"/>
    <x v="9"/>
    <x v="11"/>
    <n v="4313889"/>
    <s v="ANTONELLA IVETTE LOOR AVALOS"/>
    <m/>
    <m/>
    <m/>
    <s v="DEBITO BANCARIO"/>
    <s v="MENSUAL"/>
    <m/>
    <m/>
    <x v="1"/>
    <s v="EXPERIENCE LITE LATAM"/>
    <m/>
    <n v="176.62"/>
    <m/>
    <n v="2119.44"/>
    <s v="INGRESADO POR EL AGENTE"/>
    <s v="ENVIADO"/>
    <s v="SI"/>
    <s v="SI"/>
    <m/>
    <m/>
    <m/>
    <m/>
    <m/>
  </r>
  <r>
    <x v="265"/>
    <m/>
    <x v="2"/>
    <x v="0"/>
    <x v="3"/>
    <x v="2"/>
    <n v="4313885"/>
    <s v="SEGOVIA MARILUZ MARTINEZ HOLGUIN"/>
    <m/>
    <m/>
    <m/>
    <s v="DEBITO BANCARIO"/>
    <s v="MENSUAL"/>
    <m/>
    <m/>
    <x v="1"/>
    <s v="STAR 15K"/>
    <m/>
    <n v="90.09"/>
    <m/>
    <n v="1081.08"/>
    <s v="INGRESADO PORTAL DIRECTOR"/>
    <s v="ENVIADO"/>
    <s v="SI"/>
    <s v="SI"/>
    <m/>
    <m/>
    <m/>
    <m/>
    <m/>
  </r>
  <r>
    <x v="265"/>
    <m/>
    <x v="2"/>
    <x v="0"/>
    <x v="6"/>
    <x v="14"/>
    <m/>
    <s v="ASISKEN RODOLFO"/>
    <m/>
    <m/>
    <m/>
    <m/>
    <m/>
    <m/>
    <m/>
    <x v="5"/>
    <m/>
    <m/>
    <m/>
    <m/>
    <m/>
    <m/>
    <s v="PENDIENTE"/>
    <m/>
    <m/>
    <m/>
    <m/>
    <m/>
    <m/>
    <m/>
  </r>
  <r>
    <x v="265"/>
    <m/>
    <x v="2"/>
    <x v="0"/>
    <x v="6"/>
    <x v="14"/>
    <m/>
    <s v="ASISKEN GABY"/>
    <m/>
    <m/>
    <m/>
    <m/>
    <m/>
    <m/>
    <m/>
    <x v="5"/>
    <m/>
    <m/>
    <m/>
    <m/>
    <n v="0"/>
    <m/>
    <s v="PENDIENTE"/>
    <m/>
    <m/>
    <m/>
    <m/>
    <m/>
    <m/>
    <m/>
  </r>
  <r>
    <x v="266"/>
    <m/>
    <x v="2"/>
    <x v="0"/>
    <x v="3"/>
    <x v="2"/>
    <n v="16918"/>
    <s v="DENNY ALEX ESPINOZA MURILLO"/>
    <m/>
    <m/>
    <m/>
    <s v="DEBITO BANCARIO"/>
    <s v="MENSUAL"/>
    <m/>
    <m/>
    <x v="3"/>
    <s v="PREMIUN 30MIL"/>
    <m/>
    <n v="113.67"/>
    <m/>
    <n v="1364.04"/>
    <s v="50% DESCUENTO PRIMERA CUOTA"/>
    <s v="ENVIADO"/>
    <s v="SI"/>
    <m/>
    <m/>
    <m/>
    <m/>
    <m/>
    <m/>
  </r>
  <r>
    <x v="267"/>
    <m/>
    <x v="2"/>
    <x v="0"/>
    <x v="0"/>
    <x v="39"/>
    <n v="136959"/>
    <s v="MONICA VALVERDE"/>
    <m/>
    <n v="967671736"/>
    <m/>
    <s v="DEBITO BANCARIO"/>
    <s v="ANUAL"/>
    <m/>
    <m/>
    <x v="0"/>
    <s v="KIDS PH 15"/>
    <m/>
    <n v="761.11"/>
    <m/>
    <n v="761.11"/>
    <s v="INGRESADO POR EL PORTAL DE ELITE"/>
    <s v="ENVIADO"/>
    <m/>
    <m/>
    <m/>
    <m/>
    <m/>
    <m/>
    <m/>
  </r>
  <r>
    <x v="268"/>
    <m/>
    <x v="2"/>
    <x v="0"/>
    <x v="7"/>
    <x v="4"/>
    <n v="4314229"/>
    <s v="CESAR ALFONSO VERA PIEDRA"/>
    <m/>
    <m/>
    <m/>
    <s v="DEBITO BANCARIO"/>
    <s v="MENSUAL"/>
    <m/>
    <m/>
    <x v="1"/>
    <s v="SKY 70 PLUS"/>
    <m/>
    <n v="99.09"/>
    <m/>
    <n v="1189.08"/>
    <s v="INGRESADO PORTAL AGENTE"/>
    <s v="ENVIADO"/>
    <s v="SI"/>
    <s v="SI"/>
    <m/>
    <m/>
    <m/>
    <m/>
    <m/>
  </r>
  <r>
    <x v="268"/>
    <m/>
    <x v="2"/>
    <x v="0"/>
    <x v="0"/>
    <x v="8"/>
    <n v="4314236"/>
    <s v="MARTHA ISABEL ANDRADE YCAZA"/>
    <m/>
    <m/>
    <m/>
    <s v="DEBITO BANCARIO"/>
    <s v="MENSUAL"/>
    <m/>
    <m/>
    <x v="1"/>
    <s v="PRACTICO 3D"/>
    <m/>
    <n v="95.74"/>
    <m/>
    <n v="1148.8799999999999"/>
    <s v="VIGENCIA 16 DE ABRIL"/>
    <s v="ENVIADO"/>
    <s v="SI"/>
    <s v="SI"/>
    <m/>
    <m/>
    <m/>
    <m/>
    <m/>
  </r>
  <r>
    <x v="269"/>
    <m/>
    <x v="2"/>
    <x v="0"/>
    <x v="3"/>
    <x v="47"/>
    <n v="4314369"/>
    <s v="ANGELES AUDELITH GARCIA IZURIETA"/>
    <m/>
    <m/>
    <m/>
    <s v="DEBITO BANCARIO"/>
    <s v="MENSUAL"/>
    <m/>
    <m/>
    <x v="1"/>
    <s v="OPTIMUS 70-5K"/>
    <m/>
    <n v="49.37"/>
    <m/>
    <n v="592.43999999999994"/>
    <s v="SE SOLCITO ELIMINACION DE DISCAPACIDAD"/>
    <s v="ENVIADO"/>
    <s v="SI"/>
    <s v="SI"/>
    <m/>
    <m/>
    <m/>
    <m/>
    <m/>
  </r>
  <r>
    <x v="269"/>
    <m/>
    <x v="2"/>
    <x v="0"/>
    <x v="9"/>
    <x v="11"/>
    <n v="4314379"/>
    <s v="WILBERT ARTURO PEREZ RAMOS"/>
    <m/>
    <m/>
    <m/>
    <s v="DEBITO BANCARIO"/>
    <s v="MENSUAL"/>
    <m/>
    <m/>
    <x v="1"/>
    <s v="SKY 50"/>
    <m/>
    <n v="154.55000000000001"/>
    <m/>
    <n v="1854.6000000000001"/>
    <s v="INGRESADO PORTAL AGENTE"/>
    <s v="ENVIADO"/>
    <m/>
    <m/>
    <m/>
    <m/>
    <m/>
    <m/>
    <m/>
  </r>
  <r>
    <x v="269"/>
    <d v="2025-03-11T00:00:00"/>
    <x v="2"/>
    <x v="0"/>
    <x v="1"/>
    <x v="21"/>
    <s v="GM25G54861"/>
    <s v="WILLIAM EDUARDO ROMERO MORAN"/>
    <m/>
    <m/>
    <m/>
    <s v="TARJETA DE CREDITO"/>
    <s v="MENSUAL"/>
    <m/>
    <m/>
    <x v="2"/>
    <s v="GMM 5K"/>
    <m/>
    <n v="714.62"/>
    <m/>
    <n v="8575.44"/>
    <s v="INGRESADO CONNECTED CDELPINO"/>
    <s v="ENVIADO"/>
    <s v="SI"/>
    <s v="SI"/>
    <m/>
    <m/>
    <m/>
    <m/>
    <m/>
  </r>
  <r>
    <x v="269"/>
    <m/>
    <x v="2"/>
    <x v="0"/>
    <x v="1"/>
    <x v="21"/>
    <n v="149414"/>
    <s v="WILLIAM EDUARDO ROMERO MORAN"/>
    <m/>
    <m/>
    <m/>
    <s v="DEBITO BANCARIO"/>
    <s v="MENSUAL"/>
    <m/>
    <m/>
    <x v="19"/>
    <s v="ELITE 70"/>
    <m/>
    <n v="55.84"/>
    <m/>
    <n v="670.08"/>
    <s v="ENVIADO CANAL TRADICIONAL"/>
    <s v="PENDIENTE"/>
    <m/>
    <m/>
    <m/>
    <m/>
    <m/>
    <m/>
    <m/>
  </r>
  <r>
    <x v="269"/>
    <m/>
    <x v="2"/>
    <x v="0"/>
    <x v="1"/>
    <x v="21"/>
    <n v="149419"/>
    <s v="KIANA ABIGAIL GUZÑAY CHAUG"/>
    <m/>
    <m/>
    <m/>
    <s v="DEBITO BANCARIO"/>
    <s v="MENSUAL"/>
    <m/>
    <m/>
    <x v="19"/>
    <s v="ELITE 70"/>
    <m/>
    <n v="44.97"/>
    <m/>
    <n v="539.64"/>
    <s v="ENVIADO CANAL TRADICIONAL"/>
    <s v="PENDIENTE"/>
    <m/>
    <m/>
    <m/>
    <m/>
    <m/>
    <m/>
    <m/>
  </r>
  <r>
    <x v="269"/>
    <m/>
    <x v="2"/>
    <x v="0"/>
    <x v="3"/>
    <x v="2"/>
    <n v="16939"/>
    <s v="ERIKA GEOVANNA PONCE MIRANDA"/>
    <m/>
    <m/>
    <m/>
    <s v="DEBITO BANCARIO"/>
    <s v="MENSUAL"/>
    <m/>
    <m/>
    <x v="3"/>
    <s v="PREMIUN 30MIL"/>
    <m/>
    <n v="46.8"/>
    <m/>
    <n v="561.59999999999991"/>
    <s v="40% DESDECUENTO EN PRIMERA CUOTA"/>
    <s v="ENVIADO"/>
    <s v="SI"/>
    <s v="SI"/>
    <m/>
    <m/>
    <m/>
    <m/>
    <m/>
  </r>
  <r>
    <x v="269"/>
    <m/>
    <x v="2"/>
    <x v="0"/>
    <x v="3"/>
    <x v="2"/>
    <n v="16955"/>
    <s v="RICARDO ROGELIO ROSALES RAMOS"/>
    <m/>
    <m/>
    <m/>
    <s v="DEBITO BANCARIO"/>
    <s v="MENSUAL"/>
    <m/>
    <m/>
    <x v="3"/>
    <s v="PREMIUN 30MIL"/>
    <m/>
    <n v="91.61"/>
    <m/>
    <n v="1099.32"/>
    <s v="40% DESDECUENTO EN PRIMERA CUOTA"/>
    <s v="ENVIADO"/>
    <s v="SI"/>
    <s v="SI"/>
    <m/>
    <m/>
    <m/>
    <m/>
    <m/>
  </r>
  <r>
    <x v="270"/>
    <m/>
    <x v="2"/>
    <x v="0"/>
    <x v="0"/>
    <x v="18"/>
    <n v="16957"/>
    <s v="MARIA VERONICA TERAN OLMEDO"/>
    <m/>
    <m/>
    <m/>
    <s v="DEBITO BANCARIO"/>
    <s v="MENSUAL"/>
    <m/>
    <m/>
    <x v="3"/>
    <s v="SENIOR 45000"/>
    <m/>
    <n v="147.66999999999999"/>
    <m/>
    <n v="1772.04"/>
    <s v="INGRESADO SIN DESCUENTO"/>
    <s v="ENVIADO"/>
    <s v="SI"/>
    <s v="SI"/>
    <m/>
    <m/>
    <m/>
    <m/>
    <m/>
  </r>
  <r>
    <x v="270"/>
    <m/>
    <x v="2"/>
    <x v="0"/>
    <x v="0"/>
    <x v="18"/>
    <n v="4314493"/>
    <s v="NELIDA ISABEL VASQUEZ ALCIVAR"/>
    <m/>
    <m/>
    <m/>
    <s v="DEBITO BANCARIO"/>
    <s v="MENSUAL"/>
    <m/>
    <m/>
    <x v="1"/>
    <s v="PRO 150K"/>
    <m/>
    <n v="305.39"/>
    <m/>
    <n v="3664.68"/>
    <s v="INGRESADO POR EL AGENTE"/>
    <s v="ENVIADO"/>
    <m/>
    <m/>
    <m/>
    <m/>
    <m/>
    <m/>
    <m/>
  </r>
  <r>
    <x v="270"/>
    <m/>
    <x v="2"/>
    <x v="0"/>
    <x v="1"/>
    <x v="43"/>
    <n v="7593331"/>
    <s v="MARIA FERNANDA ORTIZ GOVEA"/>
    <m/>
    <m/>
    <m/>
    <s v="TARJETA DE CREDITO"/>
    <m/>
    <m/>
    <m/>
    <x v="6"/>
    <s v="AC 35"/>
    <m/>
    <n v="72"/>
    <m/>
    <n v="72"/>
    <m/>
    <s v="PENDIENTE"/>
    <m/>
    <m/>
    <m/>
    <m/>
    <m/>
    <m/>
    <m/>
  </r>
  <r>
    <x v="270"/>
    <m/>
    <x v="2"/>
    <x v="0"/>
    <x v="3"/>
    <x v="2"/>
    <n v="10372"/>
    <s v="CHRISTIAN JAMPIER MIRABA ROMERO"/>
    <m/>
    <m/>
    <m/>
    <s v="DEBITO BANCARIO"/>
    <s v="MENSUAL"/>
    <m/>
    <m/>
    <x v="0"/>
    <s v="PH 15"/>
    <m/>
    <n v="288.07"/>
    <m/>
    <n v="3456.84"/>
    <s v="INGRESADO PORTAL ELITE"/>
    <s v="ENVIADO"/>
    <m/>
    <m/>
    <m/>
    <m/>
    <m/>
    <m/>
    <m/>
  </r>
  <r>
    <x v="271"/>
    <m/>
    <x v="2"/>
    <x v="0"/>
    <x v="1"/>
    <x v="24"/>
    <n v="4314631"/>
    <s v="BYRON AGUSTIN GOMEZ TORRES"/>
    <m/>
    <m/>
    <m/>
    <s v="DEBITO BANCARIO"/>
    <s v="MENSUAL"/>
    <m/>
    <m/>
    <x v="1"/>
    <s v="STAR 30"/>
    <m/>
    <n v="193.92"/>
    <m/>
    <n v="2327.04"/>
    <s v="INGRESADO PORTAL CDELPINO"/>
    <s v="ENVIADO"/>
    <s v="SI"/>
    <s v="SI"/>
    <m/>
    <m/>
    <m/>
    <m/>
    <m/>
  </r>
  <r>
    <x v="272"/>
    <m/>
    <x v="2"/>
    <x v="0"/>
    <x v="0"/>
    <x v="18"/>
    <n v="4314758"/>
    <s v="BRAYAN CAMILO FRANCO GOMEZ"/>
    <m/>
    <m/>
    <m/>
    <s v="DEBITO BANCARIO"/>
    <s v="MENSUAL"/>
    <m/>
    <m/>
    <x v="1"/>
    <s v="SKY 70"/>
    <m/>
    <n v="92.44"/>
    <m/>
    <n v="1109.28"/>
    <s v="INGRESADO PORTAL"/>
    <s v="ENVIADO"/>
    <s v="SI"/>
    <s v="SI"/>
    <m/>
    <m/>
    <m/>
    <m/>
    <m/>
  </r>
  <r>
    <x v="272"/>
    <m/>
    <x v="2"/>
    <x v="0"/>
    <x v="1"/>
    <x v="24"/>
    <n v="4315085"/>
    <s v="BYRON AGUSTIN GOMEZ TORRES"/>
    <m/>
    <m/>
    <m/>
    <s v="DEBITO BANCARIO"/>
    <s v="MENSUAL"/>
    <m/>
    <m/>
    <x v="1"/>
    <s v="SKY50 PLUS"/>
    <m/>
    <n v="68.77"/>
    <m/>
    <n v="825.24"/>
    <s v="INGRESADO PORTAL CDELPINO"/>
    <s v="ENVIADO"/>
    <m/>
    <m/>
    <m/>
    <m/>
    <m/>
    <m/>
    <m/>
  </r>
  <r>
    <x v="273"/>
    <d v="2025-04-17T00:00:00"/>
    <x v="2"/>
    <x v="0"/>
    <x v="3"/>
    <x v="47"/>
    <s v="GM25G55075"/>
    <s v="JAVIER EDUARDO PACTONG LUCERO"/>
    <m/>
    <m/>
    <m/>
    <s v="TARJETA DE CREDITO"/>
    <s v="DIFERIDO ESPECIAL"/>
    <m/>
    <m/>
    <x v="20"/>
    <s v="GMM"/>
    <m/>
    <n v="104.24583333333334"/>
    <m/>
    <n v="1250.95"/>
    <s v="INGRESADO PORTAL G&amp;G"/>
    <s v="ENVIADO"/>
    <s v="SI"/>
    <s v="SI"/>
    <m/>
    <m/>
    <m/>
    <m/>
    <m/>
  </r>
  <r>
    <x v="273"/>
    <d v="2025-04-20T00:00:00"/>
    <x v="2"/>
    <x v="0"/>
    <x v="3"/>
    <x v="47"/>
    <s v="GM25G55043"/>
    <s v="NICOLAS OMAR ORTEGA LANATA"/>
    <m/>
    <m/>
    <m/>
    <s v="CONTADO"/>
    <s v="ANUAL"/>
    <m/>
    <m/>
    <x v="20"/>
    <s v="GMM"/>
    <m/>
    <n v="80.635833333333338"/>
    <m/>
    <n v="967.63000000000011"/>
    <s v="PAGADO DE CONTADO INGRESADO EN EL PORTAL G&amp;G"/>
    <s v="ENVIADO"/>
    <s v="SI"/>
    <s v="SI"/>
    <m/>
    <m/>
    <m/>
    <m/>
    <m/>
  </r>
  <r>
    <x v="273"/>
    <m/>
    <x v="2"/>
    <x v="0"/>
    <x v="1"/>
    <x v="2"/>
    <n v="36864"/>
    <s v="ERICKA JULISSA SALTOS MARTINEZ"/>
    <m/>
    <n v="953587854"/>
    <m/>
    <s v="DEBITO BANCARIO"/>
    <s v="MENSUAL"/>
    <m/>
    <m/>
    <x v="5"/>
    <s v="ASISPRO 30"/>
    <m/>
    <n v="91.92"/>
    <m/>
    <n v="1103.04"/>
    <s v="INGRESADO PORTAL CDELPINO"/>
    <s v="ENVIADO"/>
    <s v="SI"/>
    <s v="SI"/>
    <m/>
    <m/>
    <m/>
    <m/>
    <m/>
  </r>
  <r>
    <x v="273"/>
    <m/>
    <x v="2"/>
    <x v="0"/>
    <x v="0"/>
    <x v="1"/>
    <n v="16969"/>
    <s v="DOLORES LILIVETH GIRALDO MARTINEZ"/>
    <m/>
    <m/>
    <m/>
    <s v="DEBITO BANCARIO"/>
    <s v="MENSUAL"/>
    <m/>
    <m/>
    <x v="3"/>
    <s v="SUPREMO"/>
    <m/>
    <n v="103.6"/>
    <m/>
    <n v="1243.1999999999998"/>
    <s v="40% DESCUENTO EN PRIMERA CUOTA"/>
    <s v="ENVIADO"/>
    <s v="SI"/>
    <s v="SI"/>
    <m/>
    <m/>
    <m/>
    <m/>
    <m/>
  </r>
  <r>
    <x v="274"/>
    <m/>
    <x v="2"/>
    <x v="0"/>
    <x v="9"/>
    <x v="10"/>
    <n v="4314924"/>
    <s v="ROSA ALEXANDRA DELGADO ORELLANA"/>
    <m/>
    <m/>
    <m/>
    <s v="DEBITO BANCARIO"/>
    <s v="MENSUAL"/>
    <m/>
    <m/>
    <x v="1"/>
    <s v="OPTIMUS 150"/>
    <m/>
    <n v="76.33"/>
    <m/>
    <n v="915.96"/>
    <s v="INGRESADO POR EL AGENTE"/>
    <s v="ENVIADO"/>
    <s v="SI"/>
    <s v="SI"/>
    <m/>
    <m/>
    <m/>
    <m/>
    <s v="jeniariana0412@gmail.com"/>
  </r>
  <r>
    <x v="275"/>
    <m/>
    <x v="2"/>
    <x v="0"/>
    <x v="7"/>
    <x v="4"/>
    <n v="4315087"/>
    <s v="HILDA ROXANA MOYA GONZALEZ"/>
    <m/>
    <m/>
    <m/>
    <s v="DEBITO BANCARIO"/>
    <s v="MENSUAL"/>
    <m/>
    <m/>
    <x v="1"/>
    <s v="SKY 70"/>
    <m/>
    <n v="148.36000000000001"/>
    <m/>
    <n v="1780.3200000000002"/>
    <s v="INGRESADO POR EL AGENTE"/>
    <s v="ENVIADO"/>
    <s v="SI"/>
    <s v="SI"/>
    <m/>
    <m/>
    <m/>
    <m/>
    <m/>
  </r>
  <r>
    <x v="275"/>
    <m/>
    <x v="2"/>
    <x v="0"/>
    <x v="7"/>
    <x v="4"/>
    <n v="4315019"/>
    <s v="MARJORIE LISETTE SOLEDISPA BELTRAN"/>
    <m/>
    <m/>
    <m/>
    <s v="DEBITO BANCARIO"/>
    <s v="MENSUAL"/>
    <m/>
    <m/>
    <x v="1"/>
    <s v="OPTIMUS 500"/>
    <m/>
    <n v="57.96"/>
    <m/>
    <n v="695.52"/>
    <s v="INGRESADO POR EL AGENTE"/>
    <s v="ENVIADO"/>
    <s v="SI"/>
    <s v="SI"/>
    <m/>
    <m/>
    <m/>
    <m/>
    <m/>
  </r>
  <r>
    <x v="275"/>
    <d v="2025-05-01T00:00:00"/>
    <x v="2"/>
    <x v="0"/>
    <x v="3"/>
    <x v="51"/>
    <s v="GM25G55159"/>
    <s v="ROSA ERCILIA CEDEÑO VELEZ"/>
    <m/>
    <m/>
    <m/>
    <s v="DEBITO BANCARIO"/>
    <s v="MENSUAL"/>
    <m/>
    <m/>
    <x v="2"/>
    <s v="GMM"/>
    <m/>
    <n v="124.48"/>
    <m/>
    <n v="1493.76"/>
    <s v="INGRESADO PORTAL G&amp;G"/>
    <s v="ENVIADO"/>
    <s v="SI"/>
    <s v="SI"/>
    <m/>
    <m/>
    <m/>
    <m/>
    <m/>
  </r>
  <r>
    <x v="275"/>
    <m/>
    <x v="2"/>
    <x v="0"/>
    <x v="1"/>
    <x v="21"/>
    <n v="36895"/>
    <s v="KARLA ABIGAIL MOLINA GONZALEZ"/>
    <m/>
    <m/>
    <m/>
    <s v="DEBITO BANCARIO"/>
    <s v="MENSUAL"/>
    <m/>
    <m/>
    <x v="5"/>
    <s v="ASISDENT"/>
    <m/>
    <n v="42.49"/>
    <m/>
    <n v="509.88"/>
    <s v="INGRESADO PORTAL CDELPINO"/>
    <s v="PENDIENTE"/>
    <s v="SI"/>
    <s v="SI"/>
    <m/>
    <m/>
    <m/>
    <m/>
    <m/>
  </r>
  <r>
    <x v="275"/>
    <m/>
    <x v="2"/>
    <x v="0"/>
    <x v="1"/>
    <x v="41"/>
    <m/>
    <s v="CAMILA LISSETTE ESTRADA VERDUGA"/>
    <m/>
    <m/>
    <m/>
    <m/>
    <m/>
    <m/>
    <m/>
    <x v="9"/>
    <m/>
    <m/>
    <m/>
    <m/>
    <n v="0"/>
    <m/>
    <s v="PENDIENTE"/>
    <m/>
    <m/>
    <m/>
    <m/>
    <m/>
    <m/>
    <m/>
  </r>
  <r>
    <x v="276"/>
    <m/>
    <x v="2"/>
    <x v="0"/>
    <x v="0"/>
    <x v="9"/>
    <n v="4315126"/>
    <s v="MARIA JOSE MARTINEZ CARRASCO"/>
    <m/>
    <m/>
    <m/>
    <s v="DEBITO BANCARIO"/>
    <s v="MENSUAL"/>
    <m/>
    <m/>
    <x v="1"/>
    <s v="STAR 15"/>
    <m/>
    <n v="39.520000000000003"/>
    <m/>
    <n v="474.24"/>
    <s v="INGRESADO POR EL AGENTE"/>
    <s v="ENVIADO"/>
    <s v="SI"/>
    <s v="SI"/>
    <m/>
    <m/>
    <m/>
    <m/>
    <s v="martinezcarrasco@hotmail.es"/>
  </r>
  <r>
    <x v="276"/>
    <m/>
    <x v="2"/>
    <x v="0"/>
    <x v="7"/>
    <x v="4"/>
    <n v="4315185"/>
    <s v="ZOILA MARTHA MARTINEZ ESPINOZA"/>
    <m/>
    <m/>
    <m/>
    <s v="DEBITO BANCARIO"/>
    <s v="MENSUAL"/>
    <m/>
    <m/>
    <x v="1"/>
    <s v="OPTIMUS 500"/>
    <m/>
    <n v="206.08"/>
    <m/>
    <n v="2472.96"/>
    <s v="INGRESADO POR EL AGENTE"/>
    <s v="ENVIADO"/>
    <s v="SI"/>
    <s v="SI"/>
    <m/>
    <m/>
    <m/>
    <m/>
    <m/>
  </r>
  <r>
    <x v="276"/>
    <m/>
    <x v="2"/>
    <x v="0"/>
    <x v="3"/>
    <x v="47"/>
    <n v="4315091"/>
    <s v="CYNTHIA BRIGITTE VASQUEZ JARAMILLO"/>
    <m/>
    <m/>
    <m/>
    <s v="DEBITO BANCARIO"/>
    <s v="MENSUAL"/>
    <m/>
    <m/>
    <x v="1"/>
    <s v="SKY 50 PLUS - 100"/>
    <m/>
    <n v="135.18"/>
    <m/>
    <n v="1622.16"/>
    <s v="INGRESADO POR EL AGENTE"/>
    <s v="ENVIADO"/>
    <s v="SI"/>
    <s v="SI"/>
    <m/>
    <m/>
    <m/>
    <m/>
    <m/>
  </r>
  <r>
    <x v="277"/>
    <m/>
    <x v="2"/>
    <x v="0"/>
    <x v="9"/>
    <x v="11"/>
    <n v="4315232"/>
    <s v="ROMINA ISABELLA ANDRADE HERRERA"/>
    <m/>
    <m/>
    <m/>
    <s v="DEBITO BANCARIO"/>
    <s v="MENSUAL"/>
    <m/>
    <m/>
    <x v="1"/>
    <s v="ESENCIAL 3D"/>
    <m/>
    <n v="57.02"/>
    <m/>
    <n v="684.24"/>
    <s v="INGRESADO POR EL AGENTE"/>
    <s v="ENVIADO"/>
    <s v="SI"/>
    <s v="SI"/>
    <m/>
    <m/>
    <m/>
    <m/>
    <m/>
  </r>
  <r>
    <x v="277"/>
    <m/>
    <x v="2"/>
    <x v="0"/>
    <x v="9"/>
    <x v="11"/>
    <n v="4315198"/>
    <s v="ERICK SANTOS QUIMI TIGUERO "/>
    <m/>
    <m/>
    <m/>
    <s v="DEBITO BANCARIO"/>
    <s v="MENSUAL"/>
    <m/>
    <m/>
    <x v="1"/>
    <s v="SKY 50"/>
    <m/>
    <n v="78.92"/>
    <m/>
    <n v="947.04"/>
    <s v="INGRESADO POR EL AGENTE"/>
    <s v="ENVIADO"/>
    <s v="SI"/>
    <s v="SI"/>
    <m/>
    <m/>
    <m/>
    <m/>
    <m/>
  </r>
  <r>
    <x v="277"/>
    <m/>
    <x v="2"/>
    <x v="0"/>
    <x v="9"/>
    <x v="11"/>
    <n v="4315227"/>
    <s v="EVELYN LORENA HERRERA CHAVEZ"/>
    <m/>
    <m/>
    <m/>
    <s v="DEBITO BANCARIO"/>
    <s v="MENSUAL"/>
    <m/>
    <m/>
    <x v="1"/>
    <s v="SKY 50"/>
    <m/>
    <n v="98.1"/>
    <m/>
    <n v="1177.1999999999998"/>
    <s v="INGRESADO POR EL AGENTE"/>
    <s v="ENVIADO"/>
    <s v="SI"/>
    <s v="SI"/>
    <m/>
    <m/>
    <m/>
    <m/>
    <m/>
  </r>
  <r>
    <x v="277"/>
    <m/>
    <x v="2"/>
    <x v="0"/>
    <x v="1"/>
    <x v="13"/>
    <m/>
    <s v="GASTON ENRIQUE TORRES PARRALES"/>
    <m/>
    <m/>
    <m/>
    <m/>
    <m/>
    <m/>
    <m/>
    <x v="18"/>
    <m/>
    <m/>
    <m/>
    <m/>
    <n v="0"/>
    <m/>
    <s v="PENDIENTE"/>
    <m/>
    <m/>
    <m/>
    <m/>
    <m/>
    <m/>
    <m/>
  </r>
  <r>
    <x v="277"/>
    <m/>
    <x v="2"/>
    <x v="0"/>
    <x v="1"/>
    <x v="43"/>
    <m/>
    <s v="EDUARDO PAUL FERNANDEZ CEVALLOS"/>
    <m/>
    <m/>
    <m/>
    <m/>
    <m/>
    <m/>
    <m/>
    <x v="5"/>
    <m/>
    <m/>
    <m/>
    <m/>
    <n v="0"/>
    <m/>
    <s v="PENDIENTE"/>
    <m/>
    <m/>
    <m/>
    <m/>
    <m/>
    <m/>
    <m/>
  </r>
  <r>
    <x v="277"/>
    <m/>
    <x v="2"/>
    <x v="0"/>
    <x v="1"/>
    <x v="23"/>
    <m/>
    <s v="LHEYLA MORALES CEVALLOS"/>
    <m/>
    <m/>
    <m/>
    <m/>
    <m/>
    <m/>
    <m/>
    <x v="13"/>
    <m/>
    <m/>
    <m/>
    <m/>
    <n v="0"/>
    <m/>
    <s v="PENDIENTE"/>
    <m/>
    <m/>
    <m/>
    <m/>
    <m/>
    <m/>
    <m/>
  </r>
  <r>
    <x v="277"/>
    <m/>
    <x v="2"/>
    <x v="0"/>
    <x v="1"/>
    <x v="23"/>
    <n v="307215"/>
    <s v="NARCISA MORALES MONTAÑO"/>
    <m/>
    <m/>
    <m/>
    <m/>
    <m/>
    <m/>
    <m/>
    <x v="13"/>
    <m/>
    <m/>
    <m/>
    <m/>
    <n v="0"/>
    <m/>
    <s v="PENDIENTE"/>
    <m/>
    <m/>
    <m/>
    <m/>
    <m/>
    <m/>
    <m/>
  </r>
  <r>
    <x v="277"/>
    <m/>
    <x v="2"/>
    <x v="0"/>
    <x v="0"/>
    <x v="39"/>
    <n v="7595261"/>
    <s v="CARLOS ALBERTO NEIRA NUQUES "/>
    <m/>
    <m/>
    <m/>
    <m/>
    <m/>
    <m/>
    <m/>
    <x v="6"/>
    <m/>
    <m/>
    <n v="210"/>
    <m/>
    <n v="210"/>
    <m/>
    <s v="PENDIENTE"/>
    <m/>
    <m/>
    <m/>
    <m/>
    <m/>
    <m/>
    <m/>
  </r>
  <r>
    <x v="278"/>
    <m/>
    <x v="2"/>
    <x v="0"/>
    <x v="3"/>
    <x v="47"/>
    <n v="16994"/>
    <s v="JULISSA TATIANA JAMA PILAY"/>
    <m/>
    <m/>
    <m/>
    <s v="DEBITO BANCARIO"/>
    <s v="MENSUAL"/>
    <m/>
    <m/>
    <x v="3"/>
    <s v="JR 20K"/>
    <m/>
    <n v="36.18"/>
    <m/>
    <n v="434.15999999999997"/>
    <s v="40% DESCUENTO EN PRIMERA CUOTA"/>
    <s v="ENVIADO"/>
    <m/>
    <m/>
    <m/>
    <m/>
    <m/>
    <m/>
    <m/>
  </r>
  <r>
    <x v="278"/>
    <m/>
    <x v="2"/>
    <x v="0"/>
    <x v="0"/>
    <x v="9"/>
    <n v="4315367"/>
    <s v="CARLA MARIA SALAS CASTILLO"/>
    <m/>
    <m/>
    <m/>
    <s v="DEBITO BANCARIO"/>
    <s v="MENSUAL"/>
    <m/>
    <m/>
    <x v="1"/>
    <s v="SKY50 PLUS"/>
    <m/>
    <n v="220.65"/>
    <m/>
    <n v="2647.8"/>
    <s v="INGRESADO POR EL AGENTE"/>
    <s v="ENVIADO"/>
    <s v="SI"/>
    <s v="SI"/>
    <m/>
    <m/>
    <m/>
    <m/>
    <m/>
  </r>
  <r>
    <x v="278"/>
    <m/>
    <x v="2"/>
    <x v="1"/>
    <x v="0"/>
    <x v="13"/>
    <m/>
    <s v="INCLUSION JULIO ARRATA"/>
    <m/>
    <m/>
    <m/>
    <m/>
    <m/>
    <m/>
    <m/>
    <x v="16"/>
    <m/>
    <m/>
    <m/>
    <m/>
    <n v="0"/>
    <m/>
    <s v="PENDIENTE"/>
    <m/>
    <m/>
    <m/>
    <m/>
    <m/>
    <m/>
    <m/>
  </r>
  <r>
    <x v="278"/>
    <m/>
    <x v="2"/>
    <x v="0"/>
    <x v="0"/>
    <x v="13"/>
    <n v="4315408"/>
    <s v="MARIO GUSTAVO MONCAYO GAME"/>
    <m/>
    <m/>
    <m/>
    <s v="DEBITO BANCARIO"/>
    <s v="MENSUAL"/>
    <m/>
    <m/>
    <x v="1"/>
    <s v="OPTIMUS 150"/>
    <m/>
    <n v="59.57"/>
    <m/>
    <n v="714.84"/>
    <s v="INGRESADO POR EL AGENTE"/>
    <s v="ENVIADO"/>
    <s v="SI"/>
    <s v="SI"/>
    <m/>
    <m/>
    <m/>
    <m/>
    <m/>
  </r>
  <r>
    <x v="279"/>
    <m/>
    <x v="2"/>
    <x v="0"/>
    <x v="7"/>
    <x v="4"/>
    <n v="4315697"/>
    <s v="ERICKA CRISTINA MARTINEZ BONILLA"/>
    <m/>
    <m/>
    <m/>
    <s v="DEBITO BANCARIO"/>
    <s v="MENSUAL"/>
    <m/>
    <m/>
    <x v="1"/>
    <s v="EXPERIENCE WORLD 3.0"/>
    <m/>
    <n v="167.85"/>
    <m/>
    <n v="2014.1999999999998"/>
    <m/>
    <s v="ENVIADO"/>
    <m/>
    <m/>
    <m/>
    <m/>
    <m/>
    <m/>
    <m/>
  </r>
  <r>
    <x v="279"/>
    <m/>
    <x v="2"/>
    <x v="0"/>
    <x v="3"/>
    <x v="47"/>
    <n v="4315544"/>
    <s v="RUBEN ALFREDO HERMENEGILDO CHONG"/>
    <m/>
    <m/>
    <m/>
    <s v="DEBITO BANCARIO"/>
    <s v="MENSUAL"/>
    <m/>
    <m/>
    <x v="1"/>
    <s v="SKY 50"/>
    <m/>
    <n v="183.98"/>
    <m/>
    <n v="2207.7599999999998"/>
    <s v="INGRESADO POR EL AGENTE"/>
    <s v="ENVIADO"/>
    <m/>
    <m/>
    <m/>
    <m/>
    <m/>
    <m/>
    <m/>
  </r>
  <r>
    <x v="279"/>
    <m/>
    <x v="2"/>
    <x v="0"/>
    <x v="3"/>
    <x v="2"/>
    <n v="4315521"/>
    <s v="KEVIN ALEXANDER SALVATIERRA PITA"/>
    <m/>
    <m/>
    <m/>
    <s v="DEBITO BANCARIO"/>
    <s v="MENSUAL"/>
    <m/>
    <m/>
    <x v="1"/>
    <s v="SKY 50"/>
    <m/>
    <n v="186.36"/>
    <m/>
    <n v="2236.3200000000002"/>
    <s v="INGRESADO POR EL AGENTE"/>
    <s v="ENVIADO"/>
    <m/>
    <m/>
    <m/>
    <m/>
    <m/>
    <m/>
    <m/>
  </r>
  <r>
    <x v="280"/>
    <m/>
    <x v="2"/>
    <x v="0"/>
    <x v="1"/>
    <x v="23"/>
    <n v="17020"/>
    <s v="MARIA FERNANDA BANEGAS ICAZA"/>
    <m/>
    <m/>
    <m/>
    <s v="TARJETA DE CREDITO"/>
    <s v="MENSUAL"/>
    <m/>
    <m/>
    <x v="3"/>
    <s v="JR 20K"/>
    <m/>
    <n v="102.51"/>
    <m/>
    <n v="1230.1200000000001"/>
    <s v="40% DESCUENTO EN PRIMERA CUOTA"/>
    <s v="PENDIENTE"/>
    <m/>
    <m/>
    <m/>
    <m/>
    <m/>
    <m/>
    <m/>
  </r>
  <r>
    <x v="280"/>
    <d v="2025-05-01T00:00:00"/>
    <x v="2"/>
    <x v="0"/>
    <x v="1"/>
    <x v="43"/>
    <n v="17013"/>
    <s v="WALTER SAUL DOMINGUEZ SUAREZ"/>
    <m/>
    <m/>
    <m/>
    <s v="DEBITO BANCARIO"/>
    <s v="MENSUAL"/>
    <m/>
    <m/>
    <x v="3"/>
    <s v="JR 20K"/>
    <m/>
    <n v="50.51"/>
    <m/>
    <n v="606.12"/>
    <s v="40% DESCUENTO EN PRIMERA CUOTA"/>
    <s v="ENVIADO"/>
    <m/>
    <m/>
    <m/>
    <m/>
    <m/>
    <m/>
    <m/>
  </r>
  <r>
    <x v="280"/>
    <m/>
    <x v="2"/>
    <x v="0"/>
    <x v="1"/>
    <x v="16"/>
    <n v="17012"/>
    <s v="ANDREA CECILIA RUIZ VASQUEZ"/>
    <m/>
    <m/>
    <m/>
    <s v="DEBITO BANCARIO"/>
    <s v="MENSUAL"/>
    <m/>
    <m/>
    <x v="3"/>
    <s v="PREMIUN 30MIL"/>
    <m/>
    <n v="78.55"/>
    <m/>
    <n v="942.59999999999991"/>
    <s v="40% DESCUENTO EN PRIMERA CUOTA"/>
    <s v="PENDIENTE"/>
    <m/>
    <m/>
    <m/>
    <m/>
    <m/>
    <m/>
    <m/>
  </r>
  <r>
    <x v="280"/>
    <m/>
    <x v="2"/>
    <x v="0"/>
    <x v="1"/>
    <x v="24"/>
    <n v="17017"/>
    <s v="FELIX MARTIN AVILEZ VILLAVICENCIO"/>
    <m/>
    <m/>
    <m/>
    <s v="DEBITO BANCARIO"/>
    <s v="MENSUAL"/>
    <m/>
    <m/>
    <x v="3"/>
    <s v="JR 20K"/>
    <m/>
    <n v="68.34"/>
    <m/>
    <n v="820.08"/>
    <s v="40% DESCUENTO EN PRIMERA CUOTA"/>
    <s v="PENDIENTE"/>
    <m/>
    <m/>
    <m/>
    <m/>
    <m/>
    <m/>
    <m/>
  </r>
  <r>
    <x v="280"/>
    <m/>
    <x v="2"/>
    <x v="0"/>
    <x v="5"/>
    <x v="29"/>
    <n v="17007"/>
    <s v="PAULA DANIELA OCAMPO CAÑIZARES"/>
    <m/>
    <m/>
    <m/>
    <s v="DEBITO BANCARIO"/>
    <s v="MENSUAL"/>
    <m/>
    <m/>
    <x v="3"/>
    <s v="JR 20K"/>
    <m/>
    <n v="147.75"/>
    <m/>
    <n v="1773"/>
    <s v="40% DESCUENTO EN PRIMERA CUOTA"/>
    <s v="PENDIENTE"/>
    <m/>
    <m/>
    <m/>
    <m/>
    <m/>
    <m/>
    <m/>
  </r>
  <r>
    <x v="280"/>
    <m/>
    <x v="2"/>
    <x v="0"/>
    <x v="0"/>
    <x v="1"/>
    <n v="17010"/>
    <s v="MARIA GABRIELA VALAREZO AVILES"/>
    <m/>
    <m/>
    <m/>
    <s v="DEBITO BANCARIO"/>
    <s v="MENSUAL"/>
    <m/>
    <m/>
    <x v="3"/>
    <s v="JR 20K"/>
    <m/>
    <n v="302.58999999999997"/>
    <m/>
    <n v="3631.08"/>
    <s v="40% DESCUENTO EN PRIMERA CUOTA"/>
    <s v="ENVIADO"/>
    <m/>
    <m/>
    <m/>
    <m/>
    <m/>
    <m/>
    <m/>
  </r>
  <r>
    <x v="280"/>
    <m/>
    <x v="2"/>
    <x v="0"/>
    <x v="0"/>
    <x v="9"/>
    <n v="4315942"/>
    <s v="ANA FABIOLA PAZMIÑO JACOME"/>
    <m/>
    <m/>
    <m/>
    <s v="DEBITO BANCARIO"/>
    <s v="MENSUAL"/>
    <m/>
    <m/>
    <x v="1"/>
    <s v="STAR 15"/>
    <m/>
    <n v="103.71"/>
    <m/>
    <n v="1244.52"/>
    <s v="INGRESADO POR EL AGENTE"/>
    <s v="ENVIADO"/>
    <m/>
    <m/>
    <m/>
    <m/>
    <m/>
    <m/>
    <m/>
  </r>
  <r>
    <x v="280"/>
    <m/>
    <x v="2"/>
    <x v="0"/>
    <x v="1"/>
    <x v="25"/>
    <n v="37017"/>
    <s v="LILLY NICOLE NOVILLO SILVA"/>
    <m/>
    <m/>
    <m/>
    <s v="DEBITO BANCARIO"/>
    <s v="MENSUAL"/>
    <m/>
    <m/>
    <x v="5"/>
    <s v="ASISPRO 20"/>
    <m/>
    <n v="71.08"/>
    <m/>
    <n v="852.96"/>
    <s v="50% EN PRIMERA CUOTA"/>
    <s v="ENVIADO"/>
    <m/>
    <m/>
    <m/>
    <m/>
    <m/>
    <m/>
    <m/>
  </r>
  <r>
    <x v="280"/>
    <m/>
    <x v="2"/>
    <x v="0"/>
    <x v="1"/>
    <x v="25"/>
    <s v="GM25G55426"/>
    <s v="LILLY NICOLE NOVILLO SILVA"/>
    <m/>
    <m/>
    <m/>
    <s v="DEBITO BANCARIO"/>
    <s v="MENSUAL"/>
    <m/>
    <m/>
    <x v="2"/>
    <s v="GMM"/>
    <m/>
    <n v="29.58"/>
    <m/>
    <n v="354.96"/>
    <s v="INGRESADO PORTAL CDELPINO"/>
    <s v="ENVIADO"/>
    <s v="SI"/>
    <s v="SI"/>
    <m/>
    <m/>
    <m/>
    <m/>
    <m/>
  </r>
  <r>
    <x v="281"/>
    <m/>
    <x v="4"/>
    <x v="0"/>
    <x v="1"/>
    <x v="3"/>
    <s v="GM25G55554"/>
    <s v="CONNIE MARLENE MAN HING LOPEZ"/>
    <m/>
    <m/>
    <m/>
    <s v="TARJETA DE CREDITO"/>
    <s v="MENSUAL"/>
    <m/>
    <m/>
    <x v="2"/>
    <s v="GMM"/>
    <m/>
    <n v="100.52249999999999"/>
    <m/>
    <n v="1206.27"/>
    <s v="INGRESADO PORTAL CDELPINO"/>
    <s v="PENDIENTE"/>
    <m/>
    <m/>
    <m/>
    <m/>
    <m/>
    <m/>
    <m/>
  </r>
  <r>
    <x v="282"/>
    <d v="2025-05-05T00:00:00"/>
    <x v="4"/>
    <x v="0"/>
    <x v="3"/>
    <x v="51"/>
    <s v="GM25G55529"/>
    <s v="JAVIER OLAJUWON GUZMAN CEDEÑO"/>
    <m/>
    <m/>
    <m/>
    <s v="TARJETA DE CREDITO"/>
    <s v="MENSUAL"/>
    <m/>
    <m/>
    <x v="2"/>
    <s v="GMM"/>
    <m/>
    <n v="41.23"/>
    <m/>
    <n v="494.76"/>
    <s v="INGRESADO PORTAL GYG"/>
    <s v="ENVIADO"/>
    <m/>
    <m/>
    <m/>
    <m/>
    <m/>
    <m/>
    <m/>
  </r>
  <r>
    <x v="282"/>
    <d v="2025-05-05T00:00:00"/>
    <x v="4"/>
    <x v="0"/>
    <x v="3"/>
    <x v="51"/>
    <s v="GM25G55564"/>
    <s v="VALERY MICHELLE VELEZ MOREIRA"/>
    <m/>
    <m/>
    <m/>
    <s v="TARJETA DE CREDITO"/>
    <s v="MENSUAL"/>
    <m/>
    <m/>
    <x v="2"/>
    <s v="GMM"/>
    <m/>
    <n v="30.94"/>
    <m/>
    <n v="371.28000000000003"/>
    <s v="INGRESADO PORTAL GYG"/>
    <s v="ENVIADO"/>
    <m/>
    <m/>
    <m/>
    <m/>
    <m/>
    <m/>
    <m/>
  </r>
  <r>
    <x v="282"/>
    <m/>
    <x v="4"/>
    <x v="0"/>
    <x v="3"/>
    <x v="51"/>
    <n v="4316072"/>
    <s v="MARIA LAURA BOHORQUEZ MOSQUERA"/>
    <m/>
    <m/>
    <m/>
    <s v="TARJETA DE CREDITO"/>
    <s v="MENSUAL"/>
    <m/>
    <m/>
    <x v="1"/>
    <s v="SKY 70"/>
    <m/>
    <n v="135.03"/>
    <m/>
    <n v="1620.3600000000001"/>
    <s v="NGRESADO POR EL AGENTE, APLICA 60% DESCUENTO 1RA CUOTA"/>
    <s v="ENVIADO"/>
    <m/>
    <m/>
    <m/>
    <m/>
    <m/>
    <m/>
    <m/>
  </r>
  <r>
    <x v="282"/>
    <m/>
    <x v="4"/>
    <x v="0"/>
    <x v="3"/>
    <x v="51"/>
    <s v="GM25G55532"/>
    <s v="NAHOMI SOLEDAD GUZMAN CEDEÑO"/>
    <m/>
    <m/>
    <m/>
    <s v="TARJETA DE CREDITO"/>
    <s v="MENSUAL"/>
    <m/>
    <m/>
    <x v="2"/>
    <s v="GMM"/>
    <m/>
    <n v="37.53"/>
    <m/>
    <n v="450.36"/>
    <s v="INGRESADO PORTAL GYG"/>
    <s v="ENVIADO"/>
    <m/>
    <m/>
    <m/>
    <m/>
    <m/>
    <m/>
    <m/>
  </r>
  <r>
    <x v="282"/>
    <m/>
    <x v="4"/>
    <x v="0"/>
    <x v="3"/>
    <x v="51"/>
    <n v="4316063"/>
    <s v="NAHOMI SOLEDAD GUZMAN CEDEÑO"/>
    <m/>
    <m/>
    <m/>
    <s v="TARJETA DE CREDITO"/>
    <s v="MENSUAL"/>
    <m/>
    <m/>
    <x v="1"/>
    <s v="PRO 150K"/>
    <m/>
    <n v="284.74"/>
    <m/>
    <n v="3416.88"/>
    <s v="INGRESADO POR EL AGENTE, APLICA 60% DESCUENTO 1RA CUOTA"/>
    <s v="ENVIADO"/>
    <m/>
    <m/>
    <m/>
    <m/>
    <m/>
    <m/>
    <m/>
  </r>
  <r>
    <x v="282"/>
    <m/>
    <x v="4"/>
    <x v="0"/>
    <x v="3"/>
    <x v="51"/>
    <s v="GM25G55596"/>
    <s v="FATIMA MARLENE CEDEÑO CEDEÑO"/>
    <m/>
    <m/>
    <m/>
    <m/>
    <m/>
    <m/>
    <m/>
    <x v="2"/>
    <s v="GMM"/>
    <m/>
    <n v="111.11"/>
    <m/>
    <n v="1333.32"/>
    <m/>
    <s v="PENDIENTE"/>
    <m/>
    <m/>
    <m/>
    <m/>
    <m/>
    <m/>
    <m/>
  </r>
  <r>
    <x v="283"/>
    <m/>
    <x v="4"/>
    <x v="0"/>
    <x v="1"/>
    <x v="3"/>
    <m/>
    <s v="NABIL ANDRES ESPAÑA SOLANO"/>
    <m/>
    <m/>
    <m/>
    <m/>
    <m/>
    <m/>
    <m/>
    <x v="3"/>
    <m/>
    <m/>
    <m/>
    <m/>
    <n v="0"/>
    <m/>
    <s v="PENDIENTE"/>
    <m/>
    <m/>
    <m/>
    <m/>
    <m/>
    <m/>
    <m/>
  </r>
  <r>
    <x v="283"/>
    <m/>
    <x v="4"/>
    <x v="0"/>
    <x v="1"/>
    <x v="40"/>
    <m/>
    <s v="NANCY CHICHI FREIRE ROMERO"/>
    <m/>
    <m/>
    <m/>
    <s v="DEBITO BANCARIO"/>
    <s v="MENSUAL"/>
    <m/>
    <m/>
    <x v="13"/>
    <s v="SUPREMO"/>
    <m/>
    <n v="217.58"/>
    <m/>
    <n v="2610.96"/>
    <s v="INGRESADO PORTAL CDELPINO"/>
    <s v="PENDIENTE"/>
    <m/>
    <m/>
    <m/>
    <m/>
    <m/>
    <m/>
    <m/>
  </r>
  <r>
    <x v="284"/>
    <m/>
    <x v="4"/>
    <x v="0"/>
    <x v="3"/>
    <x v="52"/>
    <n v="17027"/>
    <s v="LILIANA SALLY CORNEJO CARRIEL"/>
    <m/>
    <m/>
    <m/>
    <s v="DEBITO BANCARIO"/>
    <s v="MENSUAL"/>
    <m/>
    <m/>
    <x v="3"/>
    <s v="JR 20K"/>
    <m/>
    <n v="64.45"/>
    <m/>
    <n v="773.40000000000009"/>
    <s v="70% DESCUENTO EN PRIMERA CUOTA"/>
    <s v="ENVIADO"/>
    <m/>
    <m/>
    <m/>
    <m/>
    <m/>
    <m/>
    <m/>
  </r>
  <r>
    <x v="284"/>
    <m/>
    <x v="4"/>
    <x v="0"/>
    <x v="1"/>
    <x v="16"/>
    <m/>
    <s v="MARIA ELENA MENDEZ MOSQUERA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9"/>
    <x v="11"/>
    <n v="4316276"/>
    <s v="MARIA PAULA HERRERA BURNEO"/>
    <m/>
    <m/>
    <m/>
    <s v="TARJETA DE CREDITO"/>
    <s v="MENSUAL"/>
    <m/>
    <m/>
    <x v="1"/>
    <s v="RESPALDO TOTAL PLUS"/>
    <m/>
    <n v="49.92"/>
    <m/>
    <n v="599.04"/>
    <s v="INGRESADO POR EL AGENTE, APLICA 20% DESCUENTO 1RA CUOTA"/>
    <s v="ENVIADO"/>
    <m/>
    <m/>
    <m/>
    <m/>
    <m/>
    <m/>
    <m/>
  </r>
  <r>
    <x v="285"/>
    <m/>
    <x v="4"/>
    <x v="0"/>
    <x v="3"/>
    <x v="51"/>
    <m/>
    <s v="NATACHA BELEN MELO VELEZ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3"/>
    <x v="2"/>
    <m/>
    <s v="DIANA PRISCILA HOLGUIN MERCHAN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3"/>
    <x v="51"/>
    <m/>
    <s v="SAMIA NICOLE LOPEZ CEDEÑO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0"/>
    <x v="13"/>
    <m/>
    <s v="SONNIA SANCHEZ"/>
    <m/>
    <m/>
    <m/>
    <m/>
    <m/>
    <m/>
    <m/>
    <x v="2"/>
    <m/>
    <m/>
    <m/>
    <m/>
    <n v="0"/>
    <m/>
    <s v="PENDIENTE"/>
    <m/>
    <m/>
    <m/>
    <m/>
    <m/>
    <m/>
    <m/>
  </r>
  <r>
    <x v="286"/>
    <m/>
    <x v="4"/>
    <x v="0"/>
    <x v="9"/>
    <x v="11"/>
    <n v="4316275"/>
    <s v="MARIA PAULA HERRERA BURNEO"/>
    <m/>
    <m/>
    <m/>
    <s v="DEBITO BANCARIO"/>
    <s v="MENSUAL"/>
    <m/>
    <m/>
    <x v="1"/>
    <s v="SKY 50"/>
    <m/>
    <n v="98.1"/>
    <m/>
    <n v="1177.1999999999998"/>
    <s v="ENVIADO PORTAL DEL AGENTE 20% DESC PRIMERA CUOTA"/>
    <s v="ENVIADO"/>
    <s v="SI"/>
    <s v="SI"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n v="0"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n v="0"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mergeItem="1" createdVersion="6" indent="0" outline="1" outlineData="1" multipleFieldFilters="0" chartFormat="4" rowHeaderCaption="AGENTE" colHeaderCaption="ASEGURADORA">
  <location ref="B4:D47" firstHeaderRow="0" firstDataRow="1" firstDataCol="1" rowPageCount="1" colPageCount="1"/>
  <pivotFields count="32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9" multipleItemSelectionAllowed="1" showAll="0">
      <items count="15">
        <item m="1" x="13"/>
        <item x="0"/>
        <item x="1"/>
        <item x="3"/>
        <item x="2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0">
        <item m="1" x="8"/>
        <item x="4"/>
        <item x="5"/>
        <item x="6"/>
        <item x="2"/>
        <item x="1"/>
        <item x="0"/>
        <item x="3"/>
        <item x="7"/>
        <item t="default"/>
      </items>
    </pivotField>
    <pivotField showAll="0">
      <items count="12">
        <item m="1" x="10"/>
        <item x="3"/>
        <item x="2"/>
        <item x="6"/>
        <item x="5"/>
        <item x="0"/>
        <item x="7"/>
        <item x="1"/>
        <item x="4"/>
        <item x="9"/>
        <item x="8"/>
        <item t="default"/>
      </items>
    </pivotField>
    <pivotField axis="axisRow" showAll="0" sortType="descending">
      <items count="55">
        <item x="29"/>
        <item x="12"/>
        <item x="24"/>
        <item x="15"/>
        <item x="16"/>
        <item x="28"/>
        <item x="14"/>
        <item x="6"/>
        <item x="20"/>
        <item x="3"/>
        <item x="25"/>
        <item x="27"/>
        <item x="19"/>
        <item x="21"/>
        <item x="22"/>
        <item x="41"/>
        <item x="23"/>
        <item x="7"/>
        <item x="17"/>
        <item x="0"/>
        <item x="1"/>
        <item x="2"/>
        <item x="5"/>
        <item x="4"/>
        <item x="8"/>
        <item x="9"/>
        <item x="10"/>
        <item x="11"/>
        <item x="18"/>
        <item x="26"/>
        <item x="30"/>
        <item x="31"/>
        <item x="32"/>
        <item x="13"/>
        <item x="33"/>
        <item x="42"/>
        <item x="34"/>
        <item x="35"/>
        <item x="36"/>
        <item x="37"/>
        <item x="43"/>
        <item x="38"/>
        <item x="39"/>
        <item x="40"/>
        <item x="44"/>
        <item m="1" x="53"/>
        <item x="45"/>
        <item x="46"/>
        <item x="49"/>
        <item x="48"/>
        <item x="50"/>
        <item x="47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23">
        <item m="1" x="21"/>
        <item x="5"/>
        <item x="6"/>
        <item x="2"/>
        <item x="10"/>
        <item x="4"/>
        <item x="12"/>
        <item x="9"/>
        <item x="20"/>
        <item x="18"/>
        <item x="13"/>
        <item x="7"/>
        <item x="0"/>
        <item x="8"/>
        <item x="3"/>
        <item x="14"/>
        <item x="19"/>
        <item x="15"/>
        <item x="11"/>
        <item x="17"/>
        <item x="1"/>
        <item x="1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Page" showAll="0">
      <items count="5">
        <item sd="0" x="1"/>
        <item sd="0" x="2"/>
        <item x="0"/>
        <item x="3"/>
        <item t="default"/>
      </items>
    </pivotField>
  </pivotFields>
  <rowFields count="1">
    <field x="5"/>
  </rowFields>
  <rowItems count="43">
    <i>
      <x v="51"/>
    </i>
    <i>
      <x v="21"/>
    </i>
    <i>
      <x v="42"/>
    </i>
    <i>
      <x v="25"/>
    </i>
    <i>
      <x v="27"/>
    </i>
    <i>
      <x v="33"/>
    </i>
    <i>
      <x v="2"/>
    </i>
    <i>
      <x v="16"/>
    </i>
    <i>
      <x v="13"/>
    </i>
    <i>
      <x v="40"/>
    </i>
    <i>
      <x v="23"/>
    </i>
    <i>
      <x v="28"/>
    </i>
    <i>
      <x v="49"/>
    </i>
    <i>
      <x v="20"/>
    </i>
    <i>
      <x v="6"/>
    </i>
    <i>
      <x v="24"/>
    </i>
    <i>
      <x v="52"/>
    </i>
    <i>
      <x v="47"/>
    </i>
    <i>
      <x v="30"/>
    </i>
    <i>
      <x v="26"/>
    </i>
    <i>
      <x v="31"/>
    </i>
    <i>
      <x v="48"/>
    </i>
    <i>
      <x/>
    </i>
    <i>
      <x v="36"/>
    </i>
    <i>
      <x v="50"/>
    </i>
    <i>
      <x v="10"/>
    </i>
    <i>
      <x v="3"/>
    </i>
    <i>
      <x v="35"/>
    </i>
    <i>
      <x v="19"/>
    </i>
    <i>
      <x v="7"/>
    </i>
    <i>
      <x v="43"/>
    </i>
    <i>
      <x v="5"/>
    </i>
    <i>
      <x v="4"/>
    </i>
    <i>
      <x v="9"/>
    </i>
    <i>
      <x v="18"/>
    </i>
    <i>
      <x v="8"/>
    </i>
    <i>
      <x v="1"/>
    </i>
    <i>
      <x v="53"/>
    </i>
    <i>
      <x v="12"/>
    </i>
    <i>
      <x v="11"/>
    </i>
    <i>
      <x v="46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31" item="1" hier="-1"/>
  </pageFields>
  <dataFields count="2">
    <dataField name="TOTAL PRIMA NETA ANUAL" fld="20" baseField="5" baseItem="2" numFmtId="164"/>
    <dataField name="CANT. CONTRATOS" fld="7" subtotal="count" baseField="4" baseItem="19" numFmtId="1"/>
  </dataFields>
  <formats count="29">
    <format dxfId="318">
      <pivotArea outline="0" collapsedLevelsAreSubtotals="1" fieldPosition="0"/>
    </format>
    <format dxfId="3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4">
      <pivotArea dataOnly="0" labelOnly="1" grandCol="1" outline="0" fieldPosition="0"/>
    </format>
    <format dxfId="313">
      <pivotArea field="5" type="button" dataOnly="0" labelOnly="1" outline="0" axis="axisRow" fieldPosition="0"/>
    </format>
    <format dxfId="312">
      <pivotArea dataOnly="0" labelOnly="1" grandCol="1" outline="0" fieldPosition="0"/>
    </format>
    <format dxfId="311">
      <pivotArea field="5" type="button" dataOnly="0" labelOnly="1" outline="0" axis="axisRow" fieldPosition="0"/>
    </format>
    <format dxfId="310">
      <pivotArea dataOnly="0" labelOnly="1" grandCol="1" outline="0" fieldPosition="0"/>
    </format>
    <format dxfId="309">
      <pivotArea outline="0" fieldPosition="0">
        <references count="1">
          <reference field="4294967294" count="1">
            <x v="1"/>
          </reference>
        </references>
      </pivotArea>
    </format>
    <format dxfId="30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0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4">
      <pivotArea collapsedLevelsAreSubtotals="1" fieldPosition="0">
        <references count="2">
          <reference field="4294967294" count="1" selected="0">
            <x v="0"/>
          </reference>
          <reference field="5" count="1">
            <x v="6"/>
          </reference>
        </references>
      </pivotArea>
    </format>
    <format dxfId="303">
      <pivotArea collapsedLevelsAreSubtotals="1" fieldPosition="0">
        <references count="2">
          <reference field="4294967294" count="1" selected="0">
            <x v="0"/>
          </reference>
          <reference field="5" count="1">
            <x v="3"/>
          </reference>
        </references>
      </pivotArea>
    </format>
    <format dxfId="302">
      <pivotArea collapsedLevelsAreSubtotals="1" fieldPosition="0">
        <references count="2">
          <reference field="4294967294" count="1" selected="0">
            <x v="0"/>
          </reference>
          <reference field="5" count="1">
            <x v="9"/>
          </reference>
        </references>
      </pivotArea>
    </format>
    <format dxfId="301">
      <pivotArea collapsedLevelsAreSubtotals="1" fieldPosition="0">
        <references count="2">
          <reference field="4294967294" count="1" selected="0">
            <x v="0"/>
          </reference>
          <reference field="5" count="1">
            <x v="1"/>
          </reference>
        </references>
      </pivotArea>
    </format>
    <format dxfId="300">
      <pivotArea collapsedLevelsAreSubtotals="1" fieldPosition="0">
        <references count="2">
          <reference field="4294967294" count="1" selected="0">
            <x v="0"/>
          </reference>
          <reference field="5" count="1">
            <x v="16"/>
          </reference>
        </references>
      </pivotArea>
    </format>
    <format dxfId="299">
      <pivotArea collapsedLevelsAreSubtotals="1" fieldPosition="0">
        <references count="2">
          <reference field="4294967294" count="1" selected="0">
            <x v="0"/>
          </reference>
          <reference field="5" count="1">
            <x v="13"/>
          </reference>
        </references>
      </pivotArea>
    </format>
    <format dxfId="298">
      <pivotArea collapsedLevelsAreSubtotals="1" fieldPosition="0">
        <references count="2">
          <reference field="4294967294" count="1" selected="0">
            <x v="0"/>
          </reference>
          <reference field="5" count="1">
            <x v="4"/>
          </reference>
        </references>
      </pivotArea>
    </format>
    <format dxfId="297">
      <pivotArea collapsedLevelsAreSubtotals="1" fieldPosition="0">
        <references count="2">
          <reference field="4294967294" count="1" selected="0">
            <x v="0"/>
          </reference>
          <reference field="5" count="1">
            <x v="8"/>
          </reference>
        </references>
      </pivotArea>
    </format>
    <format dxfId="296">
      <pivotArea collapsedLevelsAreSubtotals="1" fieldPosition="0">
        <references count="2">
          <reference field="4294967294" count="1" selected="0">
            <x v="0"/>
          </reference>
          <reference field="5" count="1">
            <x v="0"/>
          </reference>
        </references>
      </pivotArea>
    </format>
    <format dxfId="295">
      <pivotArea collapsedLevelsAreSubtotals="1" fieldPosition="0">
        <references count="2">
          <reference field="4294967294" count="1" selected="0">
            <x v="0"/>
          </reference>
          <reference field="5" count="11">
            <x v="0"/>
            <x v="1"/>
            <x v="2"/>
            <x v="3"/>
            <x v="4"/>
            <x v="5"/>
            <x v="6"/>
            <x v="8"/>
            <x v="9"/>
            <x v="13"/>
            <x v="16"/>
          </reference>
        </references>
      </pivotArea>
    </format>
    <format dxfId="294">
      <pivotArea collapsedLevelsAreSubtotals="1" fieldPosition="0">
        <references count="2">
          <reference field="4294967294" count="1" selected="0">
            <x v="0"/>
          </reference>
          <reference field="5" count="11">
            <x v="0"/>
            <x v="1"/>
            <x v="2"/>
            <x v="3"/>
            <x v="4"/>
            <x v="5"/>
            <x v="6"/>
            <x v="8"/>
            <x v="9"/>
            <x v="13"/>
            <x v="16"/>
          </reference>
        </references>
      </pivotArea>
    </format>
    <format dxfId="293">
      <pivotArea collapsedLevelsAreSubtotals="1" fieldPosition="0">
        <references count="2">
          <reference field="4294967294" count="1" selected="0">
            <x v="0"/>
          </reference>
          <reference field="5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6"/>
          </reference>
        </references>
      </pivotArea>
    </format>
    <format dxfId="292">
      <pivotArea field="5" type="button" dataOnly="0" labelOnly="1" outline="0" axis="axisRow" fieldPosition="0"/>
    </format>
    <format dxfId="2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GENTE" xr10:uid="{00000000-0013-0000-FFFF-FFFF01000000}" sourceName="AGENTE">
  <pivotTables>
    <pivotTable tabId="2" name="TablaDinámica2"/>
  </pivotTables>
  <data>
    <tabular pivotCacheId="900291827">
      <items count="54">
        <i x="29" s="1"/>
        <i x="0" s="1"/>
        <i x="45" s="1"/>
        <i x="12" s="1"/>
        <i x="24" s="1"/>
        <i x="48" s="1"/>
        <i x="15" s="1"/>
        <i x="16" s="1"/>
        <i x="1" s="1"/>
        <i x="28" s="1"/>
        <i x="52" s="1"/>
        <i x="18" s="1"/>
        <i x="49" s="1"/>
        <i x="13" s="1"/>
        <i x="17" s="1"/>
        <i x="51" s="1"/>
        <i x="14" s="1"/>
        <i x="6" s="1"/>
        <i x="39" s="1"/>
        <i x="10" s="1"/>
        <i x="42" s="1"/>
        <i x="9" s="1"/>
        <i x="50" s="1"/>
        <i x="4" s="1"/>
        <i x="31" s="1"/>
        <i x="8" s="1"/>
        <i x="20" s="1"/>
        <i x="3" s="1"/>
        <i x="23" s="1"/>
        <i x="43" s="1"/>
        <i x="25" s="1"/>
        <i x="40" s="1"/>
        <i x="11" s="1"/>
        <i x="30" s="1"/>
        <i x="27" s="1"/>
        <i x="46" s="1"/>
        <i x="2" s="1"/>
        <i x="34" s="1"/>
        <i x="47" s="1"/>
        <i x="19" s="1"/>
        <i x="21" s="1"/>
        <i x="41" s="1"/>
        <i x="53" s="1" nd="1"/>
        <i x="35" s="1" nd="1"/>
        <i x="26" s="1" nd="1"/>
        <i x="38" s="1" nd="1"/>
        <i x="33" s="1" nd="1"/>
        <i x="37" s="1" nd="1"/>
        <i x="36" s="1" nd="1"/>
        <i x="5" s="1" nd="1"/>
        <i x="44" s="1" nd="1"/>
        <i x="32" s="1" nd="1"/>
        <i x="22" s="1" nd="1"/>
        <i x="7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00000000-0013-0000-FFFF-FFFF02000000}" sourceName="MES">
  <pivotTables>
    <pivotTable tabId="2" name="TablaDinámica2"/>
  </pivotTables>
  <data>
    <tabular pivotCacheId="900291827">
      <items count="14">
        <i x="0" s="1"/>
        <i x="1" s="1"/>
        <i x="3" s="1"/>
        <i x="2" s="1"/>
        <i x="4" s="1"/>
        <i x="13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SEGURADORA" xr10:uid="{00000000-0013-0000-FFFF-FFFF03000000}" sourceName="ASEGURADORA">
  <pivotTables>
    <pivotTable tabId="2" name="TablaDinámica2"/>
  </pivotTables>
  <data>
    <tabular pivotCacheId="900291827">
      <items count="22">
        <i x="5" s="1"/>
        <i x="6" s="1"/>
        <i x="2" s="1"/>
        <i x="10" s="1"/>
        <i x="12" s="1"/>
        <i x="9" s="1"/>
        <i x="20" s="1"/>
        <i x="18" s="1"/>
        <i x="13" s="1"/>
        <i x="7" s="1"/>
        <i x="0" s="1"/>
        <i x="3" s="1"/>
        <i x="19" s="1"/>
        <i x="17" s="1"/>
        <i x="1" s="1"/>
        <i x="16" s="1"/>
        <i x="21" s="1" nd="1"/>
        <i x="4" s="1" nd="1"/>
        <i x="8" s="1" nd="1"/>
        <i x="14" s="1" nd="1"/>
        <i x="15" s="1" nd="1"/>
        <i x="11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CONTRATO" xr10:uid="{00000000-0013-0000-FFFF-FFFF04000000}" sourceName="TIPO DE CONTRATO">
  <pivotTables>
    <pivotTable tabId="2" name="TablaDinámica2"/>
  </pivotTables>
  <data>
    <tabular pivotCacheId="900291827">
      <items count="9">
        <i x="1" s="1"/>
        <i x="0" s="1"/>
        <i x="8" s="1" nd="1"/>
        <i x="4" s="1" nd="1"/>
        <i x="5" s="1" nd="1"/>
        <i x="6" s="1" nd="1"/>
        <i x="2" s="1" nd="1"/>
        <i x="3" s="1" nd="1"/>
        <i x="7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ALA" xr10:uid="{00000000-0013-0000-FFFF-FFFF07000000}" sourceName="SALA">
  <pivotTables>
    <pivotTable tabId="2" name="TablaDinámica2"/>
  </pivotTables>
  <data>
    <tabular pivotCacheId="900291827">
      <items count="11">
        <i x="3" s="1"/>
        <i x="6" s="1"/>
        <i x="5" s="1"/>
        <i x="0" s="1"/>
        <i x="7" s="1"/>
        <i x="1" s="1"/>
        <i x="4" s="1"/>
        <i x="9" s="1"/>
        <i x="8" s="1"/>
        <i x="10" s="1" nd="1"/>
        <i x="2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s" xr10:uid="{B369FCF8-8605-43C5-9114-2C76331C903F}" sourceName="Años">
  <pivotTables>
    <pivotTable tabId="2" name="TablaDinámica2"/>
  </pivotTables>
  <data>
    <tabular pivotCacheId="900291827">
      <items count="4">
        <i x="0"/>
        <i x="1"/>
        <i x="2" s="1"/>
        <i x="3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imestres" xr10:uid="{81D9C958-853D-4240-8600-ECB7EEF5B2C2}" sourceName="Trimestres">
  <pivotTables>
    <pivotTable tabId="2" name="TablaDinámica2"/>
  </pivotTables>
  <data>
    <tabular pivotCacheId="900291827">
      <items count="6">
        <i x="1" s="1"/>
        <i x="2" s="1"/>
        <i x="0" s="1" nd="1"/>
        <i x="5" s="1" nd="1"/>
        <i x="3" s="1" nd="1"/>
        <i x="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GENTE" xr10:uid="{00000000-0014-0000-FFFF-FFFF04000000}" cache="SegmentaciónDeDatos_AGENTE" caption="AGENTE" columnCount="5" style="SlicerStyleLight4" rowHeight="234950"/>
  <slicer name="MES" xr10:uid="{00000000-0014-0000-FFFF-FFFF05000000}" cache="SegmentaciónDeDatos_MES" caption="MES" columnCount="6" style="SlicerStyleDark2" rowHeight="234950"/>
  <slicer name="ASEGURADORA" xr10:uid="{00000000-0014-0000-FFFF-FFFF06000000}" cache="SegmentaciónDeDatos_ASEGURADORA" caption="ASEGURADORA" columnCount="6" style="SlicerStyleLight6" rowHeight="234950"/>
  <slicer name="TIPO DE CONTRATO" xr10:uid="{00000000-0014-0000-FFFF-FFFF07000000}" cache="SegmentaciónDeDatos_TIPO_DE_CONTRATO" caption="TIPO DE CONTRATO" columnCount="6" style="SlicerStyleOther2" rowHeight="234950"/>
  <slicer name="SALA" xr10:uid="{00000000-0014-0000-FFFF-FFFF0A000000}" cache="SegmentaciónDeDatos_SALA" caption="SALA" columnCount="4" rowHeight="234950"/>
  <slicer name="Años" xr10:uid="{B31DCFE0-6DE6-4C1C-A9CE-316611A30B49}" cache="SegmentaciónDeDatos_Años" caption="Años" columnCount="2" rowHeight="234950"/>
  <slicer name="Trimestres" xr10:uid="{F638D2BC-2873-48DE-B193-9DD76336FA3E}" cache="SegmentaciónDeDatos_Trimestres" caption="Trimestres" columnCount="2" style="SlicerStyleLight4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ABE990-B782-4B94-8BA3-7D5F4C608C56}" name="Tabla5" displayName="Tabla5" ref="A1:AD153" totalsRowShown="0" headerRowDxfId="322">
  <autoFilter ref="A1:AD153" xr:uid="{48E08345-CE34-4C23-9783-378FA4D6E8C2}"/>
  <sortState xmlns:xlrd2="http://schemas.microsoft.com/office/spreadsheetml/2017/richdata2" ref="A2:AD153">
    <sortCondition ref="A1:A153"/>
  </sortState>
  <tableColumns count="30">
    <tableColumn id="1" xr3:uid="{349E6218-2DA7-4333-A7F8-5700B30E7E8E}" name="ENTREGA" dataDxfId="321"/>
    <tableColumn id="2" xr3:uid="{13ECF7A1-AB7E-4D4E-9189-5859AF38E5B5}" name="INICIO DE VIGENCIA"/>
    <tableColumn id="3" xr3:uid="{970A8AD6-C69A-4819-83D3-1CCE79DAB33A}" name="MES"/>
    <tableColumn id="4" xr3:uid="{C8D12DC7-6B16-42E7-A773-62626825E834}" name="TIPO DE CONTRATO"/>
    <tableColumn id="5" xr3:uid="{52B12FC4-6F34-4317-A63C-355DCDB787C4}" name="SALA"/>
    <tableColumn id="6" xr3:uid="{58B853ED-84BB-4E3D-9A04-3764611D5108}" name="AGENTE"/>
    <tableColumn id="7" xr3:uid="{C4287F43-926D-4C0C-9535-2FFBB6949FFC}" name="0"/>
    <tableColumn id="8" xr3:uid="{FCCBEDF9-021A-47A1-A44C-6093D9A126B3}" name="TITULAR"/>
    <tableColumn id="9" xr3:uid="{EB4AE853-6E09-4DA9-8CFD-2E8F07125C65}" name="DEPENDIENTES"/>
    <tableColumn id="10" xr3:uid="{19BA9DAB-223A-4B60-955D-315A49032DC7}" name="CEDULA"/>
    <tableColumn id="11" xr3:uid="{B8D9D90D-6762-4733-A603-C08BF323BAEB}" name="TELFONO DE CONTACTO"/>
    <tableColumn id="12" xr3:uid="{81991906-15D8-426B-B28B-37F173F83A3C}" name="FORMA DE PAGO"/>
    <tableColumn id="13" xr3:uid="{7C90B238-CF3A-4716-B0B9-867D297C10F6}" name="MODALIDAD"/>
    <tableColumn id="14" xr3:uid="{FA3B0283-DCCA-444C-822A-388EAEBA7D31}" name="PAGADOR"/>
    <tableColumn id="15" xr3:uid="{7EACF299-5866-4628-BFC2-02C2894EC985}" name="CERTIFICADO DE COBERTURA"/>
    <tableColumn id="16" xr3:uid="{288B5495-C561-4D6A-8162-1F128B7CE752}" name="ASEGURADORA"/>
    <tableColumn id="17" xr3:uid="{42B0AEBD-CC01-4EDC-BCD0-577EF06DD0A0}" name="NOMBRE DEL PLAN"/>
    <tableColumn id="18" xr3:uid="{E3BD9BBB-1803-4B67-AEA7-901DBC4B59C5}" name="DESCUENTO"/>
    <tableColumn id="19" xr3:uid="{4A3BD51F-4A84-4A0E-A650-D8E246006F92}" name="PAGO MENSUAL"/>
    <tableColumn id="20" xr3:uid="{CCDA6BF9-81C0-4DB8-BA64-5AC3B5E1D768}" name="PAGO ANUAL"/>
    <tableColumn id="21" xr3:uid="{CAF6A930-620E-4031-82A8-ADB19090AA51}" name="PRIMA NETA ANUAL"/>
    <tableColumn id="22" xr3:uid="{4FC1BCAA-D0E1-4E86-8AF1-7995F23AE030}" name="OBSERVACIONES"/>
    <tableColumn id="23" xr3:uid="{8C30CE6E-8A07-479F-8A1C-21FEF181EC17}" name="ESTADO"/>
    <tableColumn id="24" xr3:uid="{60D641C3-E5E3-4C72-AAC1-E3906545FEC8}" name="PAGADO"/>
    <tableColumn id="25" xr3:uid="{77168B0C-0A63-4B3A-B2AD-10ED0E93ED4E}" name="FIRMA"/>
    <tableColumn id="26" xr3:uid="{5CA163FE-A9C0-470E-A71D-749E404141D4}" name="FECHA 1RA RENOVAC" dataDxfId="320"/>
    <tableColumn id="27" xr3:uid="{CA1D0A31-92D7-4795-AC83-4CA306B8BF5A}" name="ESTADO 1RA RENOVACION"/>
    <tableColumn id="28" xr3:uid="{E264BD40-2E33-4399-B5D9-810DBFDD1A03}" name="VALOR DE LA RENOVACION"/>
    <tableColumn id="29" xr3:uid="{34D86355-923C-43C1-AB64-B0CBF0A78EA9}" name="ESTADO DE RENOVACION"/>
    <tableColumn id="30" xr3:uid="{AD212DD1-F82E-46C3-9818-1372C9EFEFD4}" name="CORRE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4432D7-2E54-4E9F-A477-8B7CF3DC9EFC}" name="Tabla6" displayName="Tabla6" ref="A1:AD8" totalsRowShown="0">
  <autoFilter ref="A1:AD8" xr:uid="{CE386E06-3998-42F0-8539-32358FF420FC}"/>
  <tableColumns count="30">
    <tableColumn id="1" xr3:uid="{5BA67FE5-CD82-43CD-AA20-F95776F5DB9D}" name="ENTREGA" dataDxfId="319"/>
    <tableColumn id="2" xr3:uid="{56740F50-23C7-41A5-83FC-829ABAC6BA87}" name="INICIO DE VIGENCIA"/>
    <tableColumn id="3" xr3:uid="{FBBA5305-5248-4CBC-81CF-A4E3C090EF67}" name="MES"/>
    <tableColumn id="4" xr3:uid="{1A51E820-1D68-4FDA-A81E-D041A1859C44}" name="TIPO DE CONTRATO"/>
    <tableColumn id="5" xr3:uid="{37F66E9A-BB5A-4C5F-A4DB-7578AAE75AEC}" name="SALA"/>
    <tableColumn id="6" xr3:uid="{437C3753-2B8B-48AA-951A-2586E12BFDF9}" name="AGENTE"/>
    <tableColumn id="7" xr3:uid="{61E0083D-C249-48F1-836C-30BFE67D1288}" name="No. POLIZA"/>
    <tableColumn id="8" xr3:uid="{DF55F296-97D6-46F3-8B8C-A5A0770D62F9}" name="TITULAR"/>
    <tableColumn id="9" xr3:uid="{3A9AA3D5-4120-4A4F-9637-03C6375BEBB7}" name="DEPENDIENTES"/>
    <tableColumn id="10" xr3:uid="{EC94B020-1AE9-4833-A6E2-9D73C33A02C8}" name="CEDULA"/>
    <tableColumn id="11" xr3:uid="{D7085D51-0C48-4AE0-A605-ECE561B00BB0}" name="TELFONO DE CONTACTO"/>
    <tableColumn id="12" xr3:uid="{DDFA9D84-19BB-4EC5-9B26-42134D816143}" name="FORMA DE PAGO"/>
    <tableColumn id="13" xr3:uid="{12D296E4-65D4-4FF2-9F89-CE4591CD592E}" name="MODALIDAD"/>
    <tableColumn id="14" xr3:uid="{FF9CB9CB-2131-48F1-AE61-C53ABB4CA6E3}" name="PAGADOR"/>
    <tableColumn id="15" xr3:uid="{2D5571A3-15FA-4DBF-911F-ED822FFDD005}" name="CERTIFICADO DE COBERTURA"/>
    <tableColumn id="16" xr3:uid="{C6CBAA70-5DDE-41D3-A11C-6162C194A031}" name="ASEGURADORA"/>
    <tableColumn id="17" xr3:uid="{0FB05F6D-13B4-471A-AB1C-1FF84E7641E7}" name="NOMBRE DEL PLAN"/>
    <tableColumn id="18" xr3:uid="{7AD463BB-B29E-4A71-9929-462C7C37720B}" name="DESCUENTO"/>
    <tableColumn id="19" xr3:uid="{73048D89-7479-4B80-A769-FFA63EE86CED}" name="PAGO MENSUAL"/>
    <tableColumn id="20" xr3:uid="{363B95ED-92E6-4438-93E2-3166759DEF71}" name="PAGO ANUAL"/>
    <tableColumn id="21" xr3:uid="{81C0A399-F29D-43E0-8643-E99E5ECF3D68}" name="PRIMA NETA ANUAL"/>
    <tableColumn id="22" xr3:uid="{F0A2A748-D610-4876-9581-6F13F182FF3D}" name="OBSERVACIONES"/>
    <tableColumn id="23" xr3:uid="{2776BE0A-4D8C-4165-A15E-762D5E172A3D}" name="ESTADO"/>
    <tableColumn id="24" xr3:uid="{63D14590-E1D8-4991-B467-0F7B8CEE6879}" name="PAGADO"/>
    <tableColumn id="25" xr3:uid="{77755FFB-6586-44ED-A337-3D9707F780E7}" name="FIRMA"/>
    <tableColumn id="26" xr3:uid="{3A365123-E8F6-4481-BAEC-AA3B3CA4D988}" name="FECHA 1RA RENOVAC"/>
    <tableColumn id="27" xr3:uid="{E80F1980-6EC1-4347-81B2-2B307263E41F}" name="ESTADO 1RA RENOVACION"/>
    <tableColumn id="28" xr3:uid="{B3B9A413-07C6-4D5F-BE78-98CB98F95ABC}" name="VALOR DE LA RENOVACION"/>
    <tableColumn id="29" xr3:uid="{EB946BF8-A7CB-4E79-97FF-DE660326A337}" name="ESTADO DE RENOVACION"/>
    <tableColumn id="30" xr3:uid="{7974FE58-E431-42C4-B5E7-50A15B724A60}" name="CORRE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3:AE2122" totalsRowShown="0" headerRowDxfId="289" dataDxfId="288">
  <autoFilter ref="B3:AE2122" xr:uid="{00000000-0009-0000-0100-000001000000}"/>
  <sortState xmlns:xlrd2="http://schemas.microsoft.com/office/spreadsheetml/2017/richdata2" ref="B4:AE2122">
    <sortCondition ref="B3:B2122"/>
  </sortState>
  <tableColumns count="30">
    <tableColumn id="1" xr3:uid="{00000000-0010-0000-0100-000001000000}" name="ENTREGA" dataDxfId="287"/>
    <tableColumn id="2" xr3:uid="{00000000-0010-0000-0100-000002000000}" name="INICIO DE VIGENCIA" dataDxfId="286"/>
    <tableColumn id="3" xr3:uid="{00000000-0010-0000-0100-000003000000}" name="MES" dataDxfId="285"/>
    <tableColumn id="4" xr3:uid="{00000000-0010-0000-0100-000004000000}" name="TIPO DE CONTRATO" dataDxfId="284"/>
    <tableColumn id="29" xr3:uid="{00000000-0010-0000-0100-00001D000000}" name="SALA" dataDxfId="283"/>
    <tableColumn id="5" xr3:uid="{00000000-0010-0000-0100-000005000000}" name="AGENTE" dataDxfId="282"/>
    <tableColumn id="6" xr3:uid="{00000000-0010-0000-0100-000006000000}" name="No. POLIZA" dataDxfId="281"/>
    <tableColumn id="7" xr3:uid="{00000000-0010-0000-0100-000007000000}" name="TITULAR" dataDxfId="280"/>
    <tableColumn id="8" xr3:uid="{00000000-0010-0000-0100-000008000000}" name="DEPENDIENTES" dataDxfId="279"/>
    <tableColumn id="9" xr3:uid="{00000000-0010-0000-0100-000009000000}" name="CEDULA" dataDxfId="278"/>
    <tableColumn id="10" xr3:uid="{00000000-0010-0000-0100-00000A000000}" name="TELFONO DE CONTACTO" dataDxfId="277"/>
    <tableColumn id="11" xr3:uid="{00000000-0010-0000-0100-00000B000000}" name="FORMA DE PAGO" dataDxfId="276"/>
    <tableColumn id="12" xr3:uid="{00000000-0010-0000-0100-00000C000000}" name="MODALIDAD" dataDxfId="275"/>
    <tableColumn id="13" xr3:uid="{00000000-0010-0000-0100-00000D000000}" name="PAGADOR" dataDxfId="274"/>
    <tableColumn id="14" xr3:uid="{00000000-0010-0000-0100-00000E000000}" name="CERTIFICADO DE COBERTURA" dataDxfId="273"/>
    <tableColumn id="15" xr3:uid="{00000000-0010-0000-0100-00000F000000}" name="ASEGURADORA" dataDxfId="272"/>
    <tableColumn id="16" xr3:uid="{00000000-0010-0000-0100-000010000000}" name="NOMBRE DEL PLAN" dataDxfId="271"/>
    <tableColumn id="17" xr3:uid="{00000000-0010-0000-0100-000011000000}" name="DESCUENTO" dataDxfId="270"/>
    <tableColumn id="18" xr3:uid="{00000000-0010-0000-0100-000012000000}" name="PAGO MENSUAL" dataDxfId="269" dataCellStyle="Moneda"/>
    <tableColumn id="19" xr3:uid="{00000000-0010-0000-0100-000013000000}" name="PAGO ANUAL" dataDxfId="268" dataCellStyle="Moneda"/>
    <tableColumn id="20" xr3:uid="{00000000-0010-0000-0100-000014000000}" name="PRIMA NETA ANUAL" dataDxfId="267"/>
    <tableColumn id="21" xr3:uid="{00000000-0010-0000-0100-000015000000}" name="OBSERVACIONES" dataDxfId="266"/>
    <tableColumn id="22" xr3:uid="{00000000-0010-0000-0100-000016000000}" name="ESTADO" dataDxfId="265"/>
    <tableColumn id="30" xr3:uid="{387C8B50-35D6-48A9-AE87-181ADF904B3B}" name="PAGADO" dataDxfId="264"/>
    <tableColumn id="23" xr3:uid="{00000000-0010-0000-0100-000017000000}" name="FIRMA" dataDxfId="263"/>
    <tableColumn id="24" xr3:uid="{00000000-0010-0000-0100-000018000000}" name="FECHA 1RA RENOVAC" dataDxfId="262"/>
    <tableColumn id="25" xr3:uid="{00000000-0010-0000-0100-000019000000}" name="ESTADO 1RA RENOVACION" dataDxfId="261"/>
    <tableColumn id="26" xr3:uid="{00000000-0010-0000-0100-00001A000000}" name="VALOR DE LA RENOVACION" dataDxfId="260" dataCellStyle="Moneda"/>
    <tableColumn id="27" xr3:uid="{00000000-0010-0000-0100-00001B000000}" name="ESTADO DE RENOVACION" dataDxfId="259"/>
    <tableColumn id="28" xr3:uid="{00000000-0010-0000-0100-00001C000000}" name="CORREO" dataDxfId="2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FFEA38-62BE-4DD1-B5F8-EF3682920089}" name="Tabla24" displayName="Tabla24" ref="A1:I201" totalsRowShown="0" headerRowDxfId="257" dataDxfId="256">
  <autoFilter ref="A1:I201" xr:uid="{4A46803B-8211-4351-AD28-879F99CEE412}"/>
  <tableColumns count="9">
    <tableColumn id="1" xr3:uid="{3DB076FB-5744-45CC-906E-ADC0E47FFC93}" name="FECHA SOLICITUD" dataDxfId="255"/>
    <tableColumn id="2" xr3:uid="{D94A7577-9CD6-4367-9714-4FCF85C49A95}" name="AGENTE" dataDxfId="254"/>
    <tableColumn id="3" xr3:uid="{A724DFEA-F87F-4C5A-A219-71FE7123FDDC}" name="NUMERO DE CONTRATO" dataDxfId="253"/>
    <tableColumn id="4" xr3:uid="{DB467DDB-C809-4560-8CC7-A45829C6A856}" name="NOMBRE DE CLIENTE" dataDxfId="252"/>
    <tableColumn id="5" xr3:uid="{9C5245DA-14A0-4B10-A164-786D022AC452}" name="ASEGURADORA" dataDxfId="251"/>
    <tableColumn id="6" xr3:uid="{074047BE-E899-4B7E-8CA8-71820660AD21}" name="FECHA APLICACIÓN" dataDxfId="250"/>
    <tableColumn id="7" xr3:uid="{4BC7BC51-F97E-440D-8B56-05A6F38C06BB}" name="FECHA FINAL COBERTURA" dataDxfId="249"/>
    <tableColumn id="9" xr3:uid="{1F519D62-CC57-4557-BD2C-52DA69E27148}" name="TRAMITADO POR:" dataDxfId="248"/>
    <tableColumn id="8" xr3:uid="{FB832C69-5040-4D5E-BAF7-7206AE1B7F85}" name="OBSERVACIONES" dataDxfId="247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45FCC4-2D3A-4405-BEC8-33FC0D142525}" name="Tabla2" displayName="Tabla2" ref="A1:I201" totalsRowShown="0" headerRowDxfId="246" dataDxfId="245">
  <autoFilter ref="A1:I201" xr:uid="{4A46803B-8211-4351-AD28-879F99CEE412}"/>
  <tableColumns count="9">
    <tableColumn id="1" xr3:uid="{FCF8B5B0-1A0C-421E-856B-2C2F90E332EC}" name="FECHA SOLICITUD" dataDxfId="244"/>
    <tableColumn id="2" xr3:uid="{E3F0001F-5E9B-4E5A-BE94-7480054EFCC2}" name="AGENTE" dataDxfId="243"/>
    <tableColumn id="3" xr3:uid="{6F58275E-AFBB-4883-9F63-976E1FA550AD}" name="NUMERO DE CONTRATO" dataDxfId="242"/>
    <tableColumn id="4" xr3:uid="{D1292C4E-958C-4B23-AEE3-747D037882E3}" name="NOMBRE DE CLIENTE" dataDxfId="241"/>
    <tableColumn id="5" xr3:uid="{5A8C65EE-14E0-442C-A9EA-5A1251D341B2}" name="ASEGURADORA" dataDxfId="240"/>
    <tableColumn id="6" xr3:uid="{6B960B46-2E0C-4CE6-B7E6-7740B166A2FA}" name="FECHA DE ULTIMO DEBITO" dataDxfId="239"/>
    <tableColumn id="7" xr3:uid="{08519984-B771-43E4-A8C5-9D11CE56AC29}" name="FECHA FINAL COBERTURA" dataDxfId="238"/>
    <tableColumn id="9" xr3:uid="{1508BC4F-7CE4-4E62-AA59-8FF64EF3DF0A}" name="TRAMITADO POR:" dataDxfId="237"/>
    <tableColumn id="8" xr3:uid="{3E02C61F-DF09-40A4-92BA-063904EE2EE8}" name="MOTIVO DE CANCELACION" dataDxfId="236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06087C-A2AA-4874-9303-050C902130B8}" name="Tabla245" displayName="Tabla245" ref="A1:I201" totalsRowShown="0" headerRowDxfId="235" dataDxfId="234">
  <autoFilter ref="A1:I201" xr:uid="{4A46803B-8211-4351-AD28-879F99CEE412}"/>
  <tableColumns count="9">
    <tableColumn id="1" xr3:uid="{641605FF-894A-4A6C-A99B-AC6A5E9D6742}" name="FECHA SOLICITUD" dataDxfId="233"/>
    <tableColumn id="2" xr3:uid="{3E3A5650-C874-469A-9F70-3237CBEED88D}" name="AGENTE" dataDxfId="232"/>
    <tableColumn id="3" xr3:uid="{F3EAAD00-6B06-4B80-8A19-4ECBE5D28950}" name="NUMERO DE CONTRATO" dataDxfId="231"/>
    <tableColumn id="4" xr3:uid="{3C7B6FDD-B0FC-4134-BFE8-A594C766FA24}" name="NOMBRE DE CLIENTE" dataDxfId="230"/>
    <tableColumn id="5" xr3:uid="{BD70EB30-65C6-45C2-94FC-C4A01B95BD9D}" name="ASEGURADORA" dataDxfId="229"/>
    <tableColumn id="6" xr3:uid="{4F68761E-3D77-4C16-9B25-01D51D4EAF63}" name="FECHA APROVACION" dataDxfId="228"/>
    <tableColumn id="7" xr3:uid="{DE681B78-909C-416C-A65C-FC2495EA7E52}" name="FECHA COMISIONABLE" dataDxfId="227"/>
    <tableColumn id="9" xr3:uid="{A9B25404-D149-4346-A7FD-7818E90021D0}" name="TRAMITADO POR:" dataDxfId="226"/>
    <tableColumn id="8" xr3:uid="{4534E5BC-6036-4B67-9068-D5978F78BCA8}" name="OBSERVACIONES" dataDxfId="225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litepartnersec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D36F-09A5-4964-AD08-C92A784191FC}">
  <dimension ref="A1:AD153"/>
  <sheetViews>
    <sheetView topLeftCell="A50" workbookViewId="0">
      <selection activeCell="E31" sqref="E31"/>
    </sheetView>
  </sheetViews>
  <sheetFormatPr baseColWidth="10" defaultRowHeight="14.5" x14ac:dyDescent="0.35"/>
  <cols>
    <col min="2" max="2" width="19.7265625" customWidth="1"/>
    <col min="4" max="4" width="19.453125" customWidth="1"/>
    <col min="9" max="9" width="15.7265625" customWidth="1"/>
    <col min="11" max="11" width="23.26953125" customWidth="1"/>
    <col min="12" max="12" width="17.26953125" customWidth="1"/>
    <col min="13" max="13" width="13.54296875" customWidth="1"/>
    <col min="15" max="15" width="27.453125" customWidth="1"/>
    <col min="16" max="16" width="15.81640625" customWidth="1"/>
    <col min="17" max="17" width="19.1796875" customWidth="1"/>
    <col min="18" max="18" width="13.26953125" customWidth="1"/>
    <col min="19" max="19" width="16.7265625" customWidth="1"/>
    <col min="20" max="20" width="14.26953125" customWidth="1"/>
    <col min="21" max="21" width="20.1796875" customWidth="1"/>
    <col min="22" max="22" width="17.26953125" customWidth="1"/>
    <col min="26" max="26" width="20.81640625" customWidth="1"/>
    <col min="27" max="27" width="25.453125" customWidth="1"/>
    <col min="28" max="28" width="25.81640625" customWidth="1"/>
    <col min="29" max="29" width="24.26953125" customWidth="1"/>
  </cols>
  <sheetData>
    <row r="1" spans="1:30" s="48" customFormat="1" x14ac:dyDescent="0.35">
      <c r="A1" s="48" t="s">
        <v>24</v>
      </c>
      <c r="B1" s="48" t="s">
        <v>25</v>
      </c>
      <c r="C1" s="48" t="s">
        <v>0</v>
      </c>
      <c r="D1" s="48" t="s">
        <v>26</v>
      </c>
      <c r="E1" s="48" t="s">
        <v>27</v>
      </c>
      <c r="F1" s="48" t="s">
        <v>9</v>
      </c>
      <c r="G1" s="48" t="s">
        <v>1038</v>
      </c>
      <c r="H1" s="48" t="s">
        <v>28</v>
      </c>
      <c r="I1" s="48" t="s">
        <v>29</v>
      </c>
      <c r="J1" s="48" t="s">
        <v>30</v>
      </c>
      <c r="K1" s="48" t="s">
        <v>31</v>
      </c>
      <c r="L1" s="48" t="s">
        <v>32</v>
      </c>
      <c r="M1" s="48" t="s">
        <v>33</v>
      </c>
      <c r="N1" s="48" t="s">
        <v>34</v>
      </c>
      <c r="O1" s="48" t="s">
        <v>35</v>
      </c>
      <c r="P1" s="48" t="s">
        <v>36</v>
      </c>
      <c r="Q1" s="48" t="s">
        <v>37</v>
      </c>
      <c r="R1" s="48" t="s">
        <v>38</v>
      </c>
      <c r="S1" s="48" t="s">
        <v>39</v>
      </c>
      <c r="T1" s="48" t="s">
        <v>40</v>
      </c>
      <c r="U1" s="48" t="s">
        <v>41</v>
      </c>
      <c r="V1" s="48" t="s">
        <v>42</v>
      </c>
      <c r="W1" s="48" t="s">
        <v>43</v>
      </c>
      <c r="X1" s="48" t="s">
        <v>956</v>
      </c>
      <c r="Y1" s="48" t="s">
        <v>44</v>
      </c>
      <c r="Z1" s="48" t="s">
        <v>45</v>
      </c>
      <c r="AA1" s="48" t="s">
        <v>46</v>
      </c>
      <c r="AB1" s="48" t="s">
        <v>47</v>
      </c>
      <c r="AC1" s="48" t="s">
        <v>48</v>
      </c>
      <c r="AD1" s="48" t="s">
        <v>950</v>
      </c>
    </row>
    <row r="2" spans="1:30" x14ac:dyDescent="0.35">
      <c r="A2" s="102">
        <v>42256</v>
      </c>
      <c r="B2" s="102">
        <v>44813</v>
      </c>
      <c r="C2" t="s">
        <v>1147</v>
      </c>
      <c r="F2" t="s">
        <v>218</v>
      </c>
      <c r="H2" t="s">
        <v>1148</v>
      </c>
      <c r="J2" t="s">
        <v>1149</v>
      </c>
      <c r="P2" t="s">
        <v>1138</v>
      </c>
      <c r="Q2" t="s">
        <v>1150</v>
      </c>
      <c r="Z2" s="102"/>
      <c r="AA2" s="102"/>
    </row>
    <row r="3" spans="1:30" x14ac:dyDescent="0.35">
      <c r="A3" s="102">
        <v>42598</v>
      </c>
      <c r="C3" t="s">
        <v>1144</v>
      </c>
      <c r="F3" t="s">
        <v>218</v>
      </c>
      <c r="H3" t="s">
        <v>1157</v>
      </c>
      <c r="J3" t="s">
        <v>1158</v>
      </c>
      <c r="P3" t="s">
        <v>3</v>
      </c>
      <c r="Q3" t="s">
        <v>1159</v>
      </c>
      <c r="Z3" s="102"/>
      <c r="AA3" s="102"/>
    </row>
    <row r="4" spans="1:30" x14ac:dyDescent="0.35">
      <c r="A4" s="102">
        <v>42832</v>
      </c>
      <c r="C4" t="s">
        <v>1162</v>
      </c>
      <c r="F4" t="s">
        <v>218</v>
      </c>
      <c r="H4" t="s">
        <v>1163</v>
      </c>
      <c r="J4" t="s">
        <v>1164</v>
      </c>
      <c r="P4" t="s">
        <v>1138</v>
      </c>
      <c r="Q4" t="s">
        <v>1150</v>
      </c>
      <c r="Z4" s="102"/>
      <c r="AA4" s="102"/>
    </row>
    <row r="5" spans="1:30" x14ac:dyDescent="0.35">
      <c r="A5" s="102">
        <v>43160</v>
      </c>
      <c r="C5" t="s">
        <v>1131</v>
      </c>
      <c r="F5" t="s">
        <v>218</v>
      </c>
      <c r="H5" t="s">
        <v>1173</v>
      </c>
      <c r="J5" t="s">
        <v>1174</v>
      </c>
      <c r="P5" t="s">
        <v>3</v>
      </c>
      <c r="Q5" t="s">
        <v>1175</v>
      </c>
      <c r="Z5" s="102"/>
      <c r="AA5" s="102"/>
    </row>
    <row r="6" spans="1:30" x14ac:dyDescent="0.35">
      <c r="A6" s="102">
        <v>43297</v>
      </c>
      <c r="C6" t="s">
        <v>1151</v>
      </c>
      <c r="F6" t="s">
        <v>218</v>
      </c>
      <c r="H6" t="s">
        <v>1184</v>
      </c>
      <c r="J6" t="s">
        <v>1185</v>
      </c>
      <c r="P6" t="s">
        <v>3</v>
      </c>
      <c r="Q6" t="s">
        <v>1159</v>
      </c>
      <c r="Z6" s="102"/>
      <c r="AA6" s="102"/>
    </row>
    <row r="7" spans="1:30" x14ac:dyDescent="0.35">
      <c r="A7" s="102">
        <v>43297</v>
      </c>
      <c r="C7" t="s">
        <v>1151</v>
      </c>
      <c r="F7" t="s">
        <v>218</v>
      </c>
      <c r="H7" t="s">
        <v>1186</v>
      </c>
      <c r="J7" t="s">
        <v>1187</v>
      </c>
      <c r="P7" t="s">
        <v>3</v>
      </c>
      <c r="Q7" t="s">
        <v>1159</v>
      </c>
      <c r="Z7" s="102"/>
      <c r="AA7" s="102"/>
    </row>
    <row r="8" spans="1:30" x14ac:dyDescent="0.35">
      <c r="A8" s="102">
        <v>43301</v>
      </c>
      <c r="C8" t="s">
        <v>1151</v>
      </c>
      <c r="F8" t="s">
        <v>218</v>
      </c>
      <c r="H8" t="s">
        <v>1191</v>
      </c>
      <c r="J8" t="s">
        <v>1192</v>
      </c>
      <c r="P8" t="s">
        <v>1138</v>
      </c>
      <c r="Q8" t="s">
        <v>1150</v>
      </c>
      <c r="Z8" s="102"/>
      <c r="AA8" s="102"/>
    </row>
    <row r="9" spans="1:30" x14ac:dyDescent="0.35">
      <c r="A9" s="102">
        <v>43354</v>
      </c>
      <c r="B9" s="102">
        <v>44815</v>
      </c>
      <c r="C9" t="s">
        <v>1147</v>
      </c>
      <c r="F9" t="s">
        <v>218</v>
      </c>
      <c r="H9" t="s">
        <v>1193</v>
      </c>
      <c r="J9" t="s">
        <v>1194</v>
      </c>
      <c r="P9" t="s">
        <v>1138</v>
      </c>
      <c r="Q9" t="s">
        <v>1150</v>
      </c>
      <c r="Z9" s="102"/>
      <c r="AA9" s="102"/>
    </row>
    <row r="10" spans="1:30" x14ac:dyDescent="0.35">
      <c r="A10" s="102">
        <v>43431</v>
      </c>
      <c r="C10" t="s">
        <v>1141</v>
      </c>
      <c r="F10" t="s">
        <v>218</v>
      </c>
      <c r="H10" t="s">
        <v>1197</v>
      </c>
      <c r="J10" t="s">
        <v>1198</v>
      </c>
      <c r="P10" t="s">
        <v>1138</v>
      </c>
      <c r="Q10" t="s">
        <v>1150</v>
      </c>
      <c r="Z10" s="102"/>
      <c r="AA10" s="102"/>
    </row>
    <row r="11" spans="1:30" x14ac:dyDescent="0.35">
      <c r="A11" s="102">
        <v>43511</v>
      </c>
      <c r="C11" t="s">
        <v>1132</v>
      </c>
      <c r="F11" t="s">
        <v>218</v>
      </c>
      <c r="H11" t="s">
        <v>1202</v>
      </c>
      <c r="J11" t="s">
        <v>1203</v>
      </c>
      <c r="P11" t="s">
        <v>1138</v>
      </c>
      <c r="Q11" t="s">
        <v>1150</v>
      </c>
      <c r="Z11" s="102"/>
      <c r="AA11" s="102"/>
    </row>
    <row r="12" spans="1:30" x14ac:dyDescent="0.35">
      <c r="A12" s="102">
        <v>43549</v>
      </c>
      <c r="C12" t="s">
        <v>1131</v>
      </c>
      <c r="F12" t="s">
        <v>218</v>
      </c>
      <c r="H12" t="s">
        <v>1207</v>
      </c>
      <c r="J12" t="s">
        <v>1208</v>
      </c>
      <c r="P12" t="s">
        <v>1138</v>
      </c>
      <c r="Q12" t="s">
        <v>1150</v>
      </c>
      <c r="Z12" s="102"/>
      <c r="AA12" s="102"/>
    </row>
    <row r="13" spans="1:30" x14ac:dyDescent="0.35">
      <c r="A13" s="102">
        <v>43580</v>
      </c>
      <c r="C13" t="s">
        <v>1162</v>
      </c>
      <c r="F13" t="s">
        <v>218</v>
      </c>
      <c r="H13" t="s">
        <v>1224</v>
      </c>
      <c r="J13" t="s">
        <v>1225</v>
      </c>
      <c r="P13" t="s">
        <v>1138</v>
      </c>
      <c r="Q13" t="s">
        <v>1150</v>
      </c>
      <c r="Z13" s="102"/>
      <c r="AA13" s="102"/>
    </row>
    <row r="14" spans="1:30" x14ac:dyDescent="0.35">
      <c r="A14" s="102">
        <v>43593</v>
      </c>
      <c r="C14" t="s">
        <v>1235</v>
      </c>
      <c r="F14" t="s">
        <v>218</v>
      </c>
      <c r="H14" t="s">
        <v>1236</v>
      </c>
      <c r="J14" t="s">
        <v>1237</v>
      </c>
      <c r="P14" t="s">
        <v>1138</v>
      </c>
      <c r="Q14" t="s">
        <v>1150</v>
      </c>
      <c r="Z14" s="102"/>
      <c r="AA14" s="102"/>
    </row>
    <row r="15" spans="1:30" x14ac:dyDescent="0.35">
      <c r="A15" s="102">
        <v>43612</v>
      </c>
      <c r="C15" t="s">
        <v>1235</v>
      </c>
      <c r="F15" t="s">
        <v>218</v>
      </c>
      <c r="H15" t="s">
        <v>1241</v>
      </c>
      <c r="J15" t="s">
        <v>1242</v>
      </c>
      <c r="P15" t="s">
        <v>1138</v>
      </c>
      <c r="Q15" t="s">
        <v>1150</v>
      </c>
      <c r="Z15" s="102"/>
      <c r="AA15" s="102"/>
    </row>
    <row r="16" spans="1:30" x14ac:dyDescent="0.35">
      <c r="A16" s="102">
        <v>43640</v>
      </c>
      <c r="C16" t="s">
        <v>1176</v>
      </c>
      <c r="F16" t="s">
        <v>218</v>
      </c>
      <c r="H16" t="s">
        <v>1251</v>
      </c>
      <c r="J16" t="s">
        <v>1252</v>
      </c>
      <c r="P16" t="s">
        <v>1138</v>
      </c>
      <c r="Q16" t="s">
        <v>1150</v>
      </c>
      <c r="Z16" s="102"/>
      <c r="AA16" s="102"/>
    </row>
    <row r="17" spans="1:27" x14ac:dyDescent="0.35">
      <c r="A17" s="102">
        <v>43785</v>
      </c>
      <c r="C17" t="s">
        <v>1141</v>
      </c>
      <c r="F17" t="s">
        <v>218</v>
      </c>
      <c r="H17" t="s">
        <v>1259</v>
      </c>
      <c r="J17" t="s">
        <v>1260</v>
      </c>
      <c r="P17" t="s">
        <v>3</v>
      </c>
      <c r="Q17" t="s">
        <v>1261</v>
      </c>
      <c r="Z17" s="102"/>
      <c r="AA17" s="102"/>
    </row>
    <row r="18" spans="1:27" x14ac:dyDescent="0.35">
      <c r="A18" s="102">
        <v>43790</v>
      </c>
      <c r="B18" s="102">
        <v>45251</v>
      </c>
      <c r="C18" t="s">
        <v>1141</v>
      </c>
      <c r="F18" t="s">
        <v>218</v>
      </c>
      <c r="H18" t="s">
        <v>1263</v>
      </c>
      <c r="J18" t="s">
        <v>1264</v>
      </c>
      <c r="P18" t="s">
        <v>1138</v>
      </c>
      <c r="Q18" t="s">
        <v>1150</v>
      </c>
      <c r="Z18" s="102"/>
      <c r="AA18" s="102"/>
    </row>
    <row r="19" spans="1:27" x14ac:dyDescent="0.35">
      <c r="A19" s="102">
        <v>43882</v>
      </c>
      <c r="C19" t="s">
        <v>1132</v>
      </c>
      <c r="F19" t="s">
        <v>218</v>
      </c>
      <c r="H19" t="s">
        <v>1283</v>
      </c>
      <c r="J19" t="s">
        <v>1284</v>
      </c>
      <c r="P19" t="s">
        <v>1138</v>
      </c>
      <c r="Q19" t="s">
        <v>1150</v>
      </c>
      <c r="Z19" s="102"/>
      <c r="AA19" s="102"/>
    </row>
    <row r="20" spans="1:27" x14ac:dyDescent="0.35">
      <c r="A20" s="102">
        <v>43909</v>
      </c>
      <c r="C20" t="s">
        <v>1131</v>
      </c>
      <c r="F20" t="s">
        <v>218</v>
      </c>
      <c r="H20" t="s">
        <v>1295</v>
      </c>
      <c r="J20" t="s">
        <v>1296</v>
      </c>
      <c r="P20" t="s">
        <v>1138</v>
      </c>
      <c r="Q20" t="s">
        <v>1150</v>
      </c>
      <c r="Z20" s="102"/>
      <c r="AA20" s="102"/>
    </row>
    <row r="21" spans="1:27" x14ac:dyDescent="0.35">
      <c r="A21" s="102">
        <v>43914</v>
      </c>
      <c r="C21" t="s">
        <v>1131</v>
      </c>
      <c r="F21" t="s">
        <v>218</v>
      </c>
      <c r="H21" t="s">
        <v>1297</v>
      </c>
      <c r="J21" t="s">
        <v>1298</v>
      </c>
      <c r="P21" t="s">
        <v>1138</v>
      </c>
      <c r="Q21" t="s">
        <v>1150</v>
      </c>
      <c r="Z21" s="102"/>
      <c r="AA21" s="102"/>
    </row>
    <row r="22" spans="1:27" x14ac:dyDescent="0.35">
      <c r="A22" s="102">
        <v>43915</v>
      </c>
      <c r="C22" t="s">
        <v>1131</v>
      </c>
      <c r="F22" t="s">
        <v>218</v>
      </c>
      <c r="H22" t="s">
        <v>1299</v>
      </c>
      <c r="J22" t="s">
        <v>1300</v>
      </c>
      <c r="P22" t="s">
        <v>1138</v>
      </c>
      <c r="Q22" t="s">
        <v>1150</v>
      </c>
      <c r="Z22" s="102"/>
      <c r="AA22" s="102"/>
    </row>
    <row r="23" spans="1:27" x14ac:dyDescent="0.35">
      <c r="A23" s="102">
        <v>43931</v>
      </c>
      <c r="C23" t="s">
        <v>1162</v>
      </c>
      <c r="F23" t="s">
        <v>218</v>
      </c>
      <c r="H23" t="s">
        <v>1308</v>
      </c>
      <c r="J23" t="s">
        <v>1309</v>
      </c>
      <c r="P23" t="s">
        <v>2</v>
      </c>
      <c r="Q23" t="s">
        <v>1250</v>
      </c>
      <c r="Z23" s="102"/>
      <c r="AA23" s="102"/>
    </row>
    <row r="24" spans="1:27" x14ac:dyDescent="0.35">
      <c r="A24" s="102">
        <v>43948</v>
      </c>
      <c r="C24" t="s">
        <v>1162</v>
      </c>
      <c r="F24" t="s">
        <v>218</v>
      </c>
      <c r="H24" t="s">
        <v>1315</v>
      </c>
      <c r="J24" t="s">
        <v>1316</v>
      </c>
      <c r="P24" t="s">
        <v>1138</v>
      </c>
      <c r="Q24" t="s">
        <v>1150</v>
      </c>
      <c r="Z24" s="102"/>
      <c r="AA24" s="102"/>
    </row>
    <row r="25" spans="1:27" x14ac:dyDescent="0.35">
      <c r="A25" s="102">
        <v>43971</v>
      </c>
      <c r="C25" t="s">
        <v>1235</v>
      </c>
      <c r="F25" t="s">
        <v>218</v>
      </c>
      <c r="H25" t="s">
        <v>1358</v>
      </c>
      <c r="J25" t="s">
        <v>1359</v>
      </c>
      <c r="P25" t="s">
        <v>2</v>
      </c>
      <c r="Q25" t="s">
        <v>1250</v>
      </c>
      <c r="Z25" s="102"/>
      <c r="AA25" s="102"/>
    </row>
    <row r="26" spans="1:27" x14ac:dyDescent="0.35">
      <c r="A26" s="102">
        <v>43992</v>
      </c>
      <c r="C26" t="s">
        <v>1176</v>
      </c>
      <c r="F26" t="s">
        <v>218</v>
      </c>
      <c r="H26" t="s">
        <v>1391</v>
      </c>
      <c r="J26" t="s">
        <v>1392</v>
      </c>
      <c r="P26" t="s">
        <v>2</v>
      </c>
      <c r="Q26" t="s">
        <v>1250</v>
      </c>
      <c r="Z26" s="102"/>
      <c r="AA26" s="102"/>
    </row>
    <row r="27" spans="1:27" x14ac:dyDescent="0.35">
      <c r="A27" s="102">
        <v>43999</v>
      </c>
      <c r="C27" t="s">
        <v>1176</v>
      </c>
      <c r="F27" t="s">
        <v>218</v>
      </c>
      <c r="H27" t="s">
        <v>1395</v>
      </c>
      <c r="J27" t="s">
        <v>1396</v>
      </c>
      <c r="P27" t="s">
        <v>1138</v>
      </c>
      <c r="Q27" t="s">
        <v>1150</v>
      </c>
      <c r="Z27" s="102"/>
      <c r="AA27" s="102"/>
    </row>
    <row r="28" spans="1:27" x14ac:dyDescent="0.35">
      <c r="A28" s="102">
        <v>44001</v>
      </c>
      <c r="C28" t="s">
        <v>1176</v>
      </c>
      <c r="F28" t="s">
        <v>218</v>
      </c>
      <c r="H28" t="s">
        <v>1397</v>
      </c>
      <c r="J28" t="s">
        <v>1398</v>
      </c>
      <c r="P28" t="s">
        <v>1138</v>
      </c>
      <c r="Q28" t="s">
        <v>1150</v>
      </c>
      <c r="Z28" s="102"/>
      <c r="AA28" s="102"/>
    </row>
    <row r="29" spans="1:27" x14ac:dyDescent="0.35">
      <c r="A29" s="102">
        <v>44002</v>
      </c>
      <c r="C29" t="s">
        <v>1176</v>
      </c>
      <c r="F29" t="s">
        <v>218</v>
      </c>
      <c r="H29" t="s">
        <v>1399</v>
      </c>
      <c r="J29" t="s">
        <v>1400</v>
      </c>
      <c r="P29" t="s">
        <v>2</v>
      </c>
      <c r="Q29" t="s">
        <v>1250</v>
      </c>
      <c r="Z29" s="102"/>
      <c r="AA29" s="102"/>
    </row>
    <row r="30" spans="1:27" x14ac:dyDescent="0.35">
      <c r="A30" s="102">
        <v>44004</v>
      </c>
      <c r="C30" t="s">
        <v>1176</v>
      </c>
      <c r="F30" t="s">
        <v>218</v>
      </c>
      <c r="H30" t="s">
        <v>1393</v>
      </c>
      <c r="J30" t="s">
        <v>1394</v>
      </c>
      <c r="P30" t="s">
        <v>1138</v>
      </c>
      <c r="Q30" t="s">
        <v>1150</v>
      </c>
      <c r="Z30" s="102"/>
      <c r="AA30" s="102"/>
    </row>
    <row r="31" spans="1:27" x14ac:dyDescent="0.35">
      <c r="A31" s="102">
        <v>44004</v>
      </c>
      <c r="C31" t="s">
        <v>1176</v>
      </c>
      <c r="F31" t="s">
        <v>218</v>
      </c>
      <c r="H31" t="s">
        <v>1193</v>
      </c>
      <c r="J31" t="s">
        <v>1194</v>
      </c>
      <c r="P31" t="s">
        <v>1138</v>
      </c>
      <c r="Q31" t="s">
        <v>1150</v>
      </c>
      <c r="Z31" s="102"/>
      <c r="AA31" s="102"/>
    </row>
    <row r="32" spans="1:27" x14ac:dyDescent="0.35">
      <c r="A32" s="102">
        <v>44006</v>
      </c>
      <c r="C32" t="s">
        <v>1176</v>
      </c>
      <c r="F32" t="s">
        <v>218</v>
      </c>
      <c r="H32" t="s">
        <v>1389</v>
      </c>
      <c r="J32" t="s">
        <v>1390</v>
      </c>
      <c r="P32" t="s">
        <v>1138</v>
      </c>
      <c r="Q32" t="s">
        <v>1150</v>
      </c>
      <c r="Z32" s="102"/>
      <c r="AA32" s="102"/>
    </row>
    <row r="33" spans="1:27" x14ac:dyDescent="0.35">
      <c r="A33" s="102">
        <v>44014</v>
      </c>
      <c r="C33" t="s">
        <v>1151</v>
      </c>
      <c r="F33" t="s">
        <v>218</v>
      </c>
      <c r="G33">
        <v>4121427</v>
      </c>
      <c r="H33" t="s">
        <v>1386</v>
      </c>
      <c r="J33" t="s">
        <v>1387</v>
      </c>
      <c r="P33" t="s">
        <v>1138</v>
      </c>
      <c r="Q33" t="s">
        <v>1388</v>
      </c>
      <c r="Z33" s="102"/>
      <c r="AA33" s="102"/>
    </row>
    <row r="34" spans="1:27" x14ac:dyDescent="0.35">
      <c r="A34" s="102">
        <v>44034</v>
      </c>
      <c r="C34" t="s">
        <v>1151</v>
      </c>
      <c r="F34" t="s">
        <v>218</v>
      </c>
      <c r="H34" t="s">
        <v>1384</v>
      </c>
      <c r="J34" t="s">
        <v>1385</v>
      </c>
      <c r="P34" t="s">
        <v>1138</v>
      </c>
      <c r="Q34" t="s">
        <v>1150</v>
      </c>
      <c r="Z34" s="102"/>
      <c r="AA34" s="102"/>
    </row>
    <row r="35" spans="1:27" x14ac:dyDescent="0.35">
      <c r="A35" s="102">
        <v>44063</v>
      </c>
      <c r="C35" t="s">
        <v>1144</v>
      </c>
      <c r="D35" t="s">
        <v>152</v>
      </c>
      <c r="F35" t="s">
        <v>218</v>
      </c>
      <c r="H35" t="s">
        <v>1381</v>
      </c>
      <c r="J35" t="s">
        <v>1382</v>
      </c>
      <c r="P35" t="s">
        <v>2</v>
      </c>
      <c r="Q35" t="s">
        <v>1383</v>
      </c>
      <c r="Z35" s="102"/>
      <c r="AA35" s="102"/>
    </row>
    <row r="36" spans="1:27" x14ac:dyDescent="0.35">
      <c r="A36" s="102">
        <v>44094</v>
      </c>
      <c r="C36" t="s">
        <v>1147</v>
      </c>
      <c r="F36" t="s">
        <v>218</v>
      </c>
      <c r="H36" t="s">
        <v>1371</v>
      </c>
      <c r="J36" t="s">
        <v>1372</v>
      </c>
      <c r="P36" t="s">
        <v>2</v>
      </c>
      <c r="Q36" t="s">
        <v>1250</v>
      </c>
      <c r="Z36" s="102"/>
      <c r="AA36" s="102"/>
    </row>
    <row r="37" spans="1:27" x14ac:dyDescent="0.35">
      <c r="A37" s="102">
        <v>44094</v>
      </c>
      <c r="C37" t="s">
        <v>1147</v>
      </c>
      <c r="F37" t="s">
        <v>218</v>
      </c>
      <c r="H37" t="s">
        <v>1165</v>
      </c>
      <c r="J37" t="s">
        <v>1166</v>
      </c>
      <c r="P37" t="s">
        <v>2</v>
      </c>
      <c r="Q37" t="s">
        <v>1250</v>
      </c>
      <c r="Z37" s="102"/>
      <c r="AA37" s="102"/>
    </row>
    <row r="38" spans="1:27" x14ac:dyDescent="0.35">
      <c r="A38" s="102">
        <v>44094</v>
      </c>
      <c r="C38" t="s">
        <v>1147</v>
      </c>
      <c r="F38" t="s">
        <v>218</v>
      </c>
      <c r="H38" t="s">
        <v>1373</v>
      </c>
      <c r="J38" t="s">
        <v>1374</v>
      </c>
      <c r="P38" t="s">
        <v>2</v>
      </c>
      <c r="Q38" t="s">
        <v>1250</v>
      </c>
      <c r="Z38" s="102"/>
      <c r="AA38" s="102"/>
    </row>
    <row r="39" spans="1:27" x14ac:dyDescent="0.35">
      <c r="A39" s="102">
        <v>44094</v>
      </c>
      <c r="C39" t="s">
        <v>1147</v>
      </c>
      <c r="F39" t="s">
        <v>218</v>
      </c>
      <c r="H39" t="s">
        <v>1375</v>
      </c>
      <c r="J39" t="s">
        <v>1376</v>
      </c>
      <c r="P39" t="s">
        <v>2</v>
      </c>
      <c r="Q39" t="s">
        <v>1250</v>
      </c>
      <c r="Z39" s="102"/>
      <c r="AA39" s="102"/>
    </row>
    <row r="40" spans="1:27" x14ac:dyDescent="0.35">
      <c r="A40" s="102">
        <v>44094</v>
      </c>
      <c r="C40" t="s">
        <v>1147</v>
      </c>
      <c r="F40" t="s">
        <v>218</v>
      </c>
      <c r="H40" t="s">
        <v>1377</v>
      </c>
      <c r="J40" t="s">
        <v>1378</v>
      </c>
      <c r="P40" t="s">
        <v>2</v>
      </c>
      <c r="Q40" t="s">
        <v>1250</v>
      </c>
      <c r="Z40" s="102"/>
      <c r="AA40" s="102"/>
    </row>
    <row r="41" spans="1:27" x14ac:dyDescent="0.35">
      <c r="A41" s="102">
        <v>44094</v>
      </c>
      <c r="C41" t="s">
        <v>1147</v>
      </c>
      <c r="F41" t="s">
        <v>218</v>
      </c>
      <c r="H41" t="s">
        <v>1379</v>
      </c>
      <c r="J41" t="s">
        <v>1380</v>
      </c>
      <c r="P41" t="s">
        <v>2</v>
      </c>
      <c r="Q41" t="s">
        <v>1250</v>
      </c>
      <c r="Z41" s="102"/>
      <c r="AA41" s="102"/>
    </row>
    <row r="42" spans="1:27" x14ac:dyDescent="0.35">
      <c r="A42" s="102">
        <v>44120</v>
      </c>
      <c r="C42" t="s">
        <v>1253</v>
      </c>
      <c r="F42" t="s">
        <v>218</v>
      </c>
      <c r="H42" t="s">
        <v>1364</v>
      </c>
      <c r="J42" t="s">
        <v>1365</v>
      </c>
      <c r="P42" t="s">
        <v>3</v>
      </c>
      <c r="Q42" t="s">
        <v>1368</v>
      </c>
      <c r="Z42" s="102"/>
      <c r="AA42" s="102"/>
    </row>
    <row r="43" spans="1:27" x14ac:dyDescent="0.35">
      <c r="A43" s="102">
        <v>44120</v>
      </c>
      <c r="C43" t="s">
        <v>1253</v>
      </c>
      <c r="F43" t="s">
        <v>218</v>
      </c>
      <c r="H43" t="s">
        <v>1369</v>
      </c>
      <c r="J43" t="s">
        <v>1370</v>
      </c>
      <c r="P43" t="s">
        <v>1138</v>
      </c>
      <c r="Q43" t="s">
        <v>1150</v>
      </c>
      <c r="Z43" s="102"/>
      <c r="AA43" s="102"/>
    </row>
    <row r="44" spans="1:27" x14ac:dyDescent="0.35">
      <c r="A44" s="102">
        <v>44129</v>
      </c>
      <c r="C44" t="s">
        <v>1253</v>
      </c>
      <c r="F44" t="s">
        <v>218</v>
      </c>
      <c r="H44" t="s">
        <v>1366</v>
      </c>
      <c r="J44" t="s">
        <v>1367</v>
      </c>
      <c r="P44" t="s">
        <v>1138</v>
      </c>
      <c r="Q44" t="s">
        <v>1150</v>
      </c>
      <c r="Z44" s="102"/>
      <c r="AA44" s="102"/>
    </row>
    <row r="45" spans="1:27" x14ac:dyDescent="0.35">
      <c r="A45" s="102">
        <v>44136</v>
      </c>
      <c r="C45" t="s">
        <v>1141</v>
      </c>
      <c r="F45" t="s">
        <v>218</v>
      </c>
      <c r="H45" t="s">
        <v>1364</v>
      </c>
      <c r="J45" t="s">
        <v>1365</v>
      </c>
      <c r="P45" t="s">
        <v>3</v>
      </c>
      <c r="Q45" t="s">
        <v>1159</v>
      </c>
      <c r="Z45" s="102"/>
      <c r="AA45" s="102"/>
    </row>
    <row r="46" spans="1:27" x14ac:dyDescent="0.35">
      <c r="A46" s="102">
        <v>44155</v>
      </c>
      <c r="C46" t="s">
        <v>1141</v>
      </c>
      <c r="F46" t="s">
        <v>218</v>
      </c>
      <c r="H46" t="s">
        <v>1354</v>
      </c>
      <c r="J46" t="s">
        <v>1355</v>
      </c>
      <c r="P46" t="s">
        <v>2</v>
      </c>
      <c r="Q46" t="s">
        <v>1250</v>
      </c>
      <c r="Z46" s="102"/>
      <c r="AA46" s="102"/>
    </row>
    <row r="47" spans="1:27" x14ac:dyDescent="0.35">
      <c r="A47" s="102">
        <v>44155</v>
      </c>
      <c r="C47" t="s">
        <v>1141</v>
      </c>
      <c r="F47" t="s">
        <v>218</v>
      </c>
      <c r="H47" t="s">
        <v>1356</v>
      </c>
      <c r="J47" t="s">
        <v>1357</v>
      </c>
      <c r="P47" t="s">
        <v>2</v>
      </c>
      <c r="Q47" t="s">
        <v>1250</v>
      </c>
      <c r="Z47" s="102"/>
      <c r="AA47" s="102"/>
    </row>
    <row r="48" spans="1:27" x14ac:dyDescent="0.35">
      <c r="A48" s="102">
        <v>44155</v>
      </c>
      <c r="C48" t="s">
        <v>1141</v>
      </c>
      <c r="F48" t="s">
        <v>218</v>
      </c>
      <c r="H48" t="s">
        <v>1360</v>
      </c>
      <c r="J48" t="s">
        <v>1361</v>
      </c>
      <c r="P48" t="s">
        <v>2</v>
      </c>
      <c r="Q48" t="s">
        <v>1250</v>
      </c>
      <c r="Z48" s="102"/>
      <c r="AA48" s="102"/>
    </row>
    <row r="49" spans="1:27" x14ac:dyDescent="0.35">
      <c r="A49" s="102">
        <v>44155</v>
      </c>
      <c r="C49" t="s">
        <v>1141</v>
      </c>
      <c r="F49" t="s">
        <v>218</v>
      </c>
      <c r="H49" t="s">
        <v>1362</v>
      </c>
      <c r="J49" t="s">
        <v>1363</v>
      </c>
      <c r="P49" t="s">
        <v>2</v>
      </c>
      <c r="Q49" t="s">
        <v>1250</v>
      </c>
      <c r="Z49" s="102"/>
      <c r="AA49" s="102"/>
    </row>
    <row r="50" spans="1:27" x14ac:dyDescent="0.35">
      <c r="A50" s="102">
        <v>44180</v>
      </c>
      <c r="C50" t="s">
        <v>1133</v>
      </c>
      <c r="F50" t="s">
        <v>218</v>
      </c>
      <c r="G50" t="s">
        <v>1351</v>
      </c>
      <c r="H50" t="s">
        <v>1352</v>
      </c>
      <c r="J50" t="s">
        <v>1353</v>
      </c>
      <c r="P50" t="s">
        <v>5</v>
      </c>
      <c r="Q50">
        <v>45000</v>
      </c>
      <c r="Z50" s="102"/>
      <c r="AA50" s="102"/>
    </row>
    <row r="51" spans="1:27" x14ac:dyDescent="0.35">
      <c r="A51" s="102">
        <v>44201</v>
      </c>
      <c r="C51" t="s">
        <v>1226</v>
      </c>
      <c r="F51" t="s">
        <v>218</v>
      </c>
      <c r="H51" t="s">
        <v>1349</v>
      </c>
      <c r="J51" t="s">
        <v>1350</v>
      </c>
      <c r="P51" t="s">
        <v>1138</v>
      </c>
      <c r="Q51" t="s">
        <v>1150</v>
      </c>
      <c r="Z51" s="102"/>
      <c r="AA51" s="102"/>
    </row>
    <row r="52" spans="1:27" x14ac:dyDescent="0.35">
      <c r="A52" s="102">
        <v>44216</v>
      </c>
      <c r="C52" t="s">
        <v>1226</v>
      </c>
      <c r="F52" t="s">
        <v>218</v>
      </c>
      <c r="H52" t="s">
        <v>1345</v>
      </c>
      <c r="J52" t="s">
        <v>1346</v>
      </c>
      <c r="P52" t="s">
        <v>2</v>
      </c>
      <c r="Q52" t="s">
        <v>1250</v>
      </c>
      <c r="Z52" s="102"/>
      <c r="AA52" s="102"/>
    </row>
    <row r="53" spans="1:27" x14ac:dyDescent="0.35">
      <c r="A53" s="102">
        <v>44216</v>
      </c>
      <c r="C53" t="s">
        <v>1226</v>
      </c>
      <c r="F53" t="s">
        <v>218</v>
      </c>
      <c r="H53" t="s">
        <v>1347</v>
      </c>
      <c r="J53" t="s">
        <v>1348</v>
      </c>
      <c r="P53" t="s">
        <v>2</v>
      </c>
      <c r="Q53" t="s">
        <v>1250</v>
      </c>
      <c r="Z53" s="102"/>
      <c r="AA53" s="102"/>
    </row>
    <row r="54" spans="1:27" x14ac:dyDescent="0.35">
      <c r="A54" s="102">
        <v>44228</v>
      </c>
      <c r="C54" t="s">
        <v>1132</v>
      </c>
      <c r="F54" t="s">
        <v>218</v>
      </c>
      <c r="G54" t="s">
        <v>1340</v>
      </c>
      <c r="H54" t="s">
        <v>1341</v>
      </c>
      <c r="J54" t="s">
        <v>1342</v>
      </c>
      <c r="P54" t="s">
        <v>5</v>
      </c>
      <c r="Q54">
        <v>100000</v>
      </c>
      <c r="Z54" s="102"/>
      <c r="AA54" s="102"/>
    </row>
    <row r="55" spans="1:27" x14ac:dyDescent="0.35">
      <c r="A55" s="102">
        <v>44228</v>
      </c>
      <c r="C55" t="s">
        <v>1132</v>
      </c>
      <c r="F55" t="s">
        <v>218</v>
      </c>
      <c r="G55" t="s">
        <v>1340</v>
      </c>
      <c r="H55" t="s">
        <v>1343</v>
      </c>
      <c r="J55" t="s">
        <v>1344</v>
      </c>
      <c r="P55" t="s">
        <v>5</v>
      </c>
      <c r="Q55">
        <v>100000</v>
      </c>
      <c r="Z55" s="102"/>
      <c r="AA55" s="102"/>
    </row>
    <row r="56" spans="1:27" x14ac:dyDescent="0.35">
      <c r="A56" s="102">
        <v>44247</v>
      </c>
      <c r="C56" t="s">
        <v>1132</v>
      </c>
      <c r="F56" t="s">
        <v>218</v>
      </c>
      <c r="H56" t="s">
        <v>1333</v>
      </c>
      <c r="J56" t="s">
        <v>1334</v>
      </c>
      <c r="P56" t="s">
        <v>2</v>
      </c>
      <c r="Q56" t="s">
        <v>1250</v>
      </c>
      <c r="Z56" s="102"/>
      <c r="AA56" s="102"/>
    </row>
    <row r="57" spans="1:27" x14ac:dyDescent="0.35">
      <c r="A57" s="102">
        <v>44247</v>
      </c>
      <c r="C57" t="s">
        <v>1132</v>
      </c>
      <c r="F57" t="s">
        <v>218</v>
      </c>
      <c r="H57" t="s">
        <v>1335</v>
      </c>
      <c r="J57" t="s">
        <v>1336</v>
      </c>
      <c r="P57" t="s">
        <v>2</v>
      </c>
      <c r="Q57" t="s">
        <v>1337</v>
      </c>
      <c r="Z57" s="102"/>
      <c r="AA57" s="102"/>
    </row>
    <row r="58" spans="1:27" x14ac:dyDescent="0.35">
      <c r="A58" s="102">
        <v>44247</v>
      </c>
      <c r="C58" t="s">
        <v>1132</v>
      </c>
      <c r="F58" t="s">
        <v>218</v>
      </c>
      <c r="H58" t="s">
        <v>1338</v>
      </c>
      <c r="J58" t="s">
        <v>1339</v>
      </c>
      <c r="P58" t="s">
        <v>2</v>
      </c>
      <c r="Q58" t="s">
        <v>1250</v>
      </c>
      <c r="Z58" s="102"/>
      <c r="AA58" s="102"/>
    </row>
    <row r="59" spans="1:27" x14ac:dyDescent="0.35">
      <c r="A59" s="102">
        <v>44251</v>
      </c>
      <c r="C59" t="s">
        <v>1132</v>
      </c>
      <c r="F59" t="s">
        <v>218</v>
      </c>
      <c r="G59" t="s">
        <v>1325</v>
      </c>
      <c r="H59" t="s">
        <v>1326</v>
      </c>
      <c r="J59" t="s">
        <v>1327</v>
      </c>
      <c r="P59" t="s">
        <v>5</v>
      </c>
      <c r="Q59">
        <v>45000</v>
      </c>
      <c r="Z59" s="102"/>
      <c r="AA59" s="102"/>
    </row>
    <row r="60" spans="1:27" x14ac:dyDescent="0.35">
      <c r="A60" s="102">
        <v>44251</v>
      </c>
      <c r="C60" t="s">
        <v>1132</v>
      </c>
      <c r="F60" t="s">
        <v>218</v>
      </c>
      <c r="G60" t="s">
        <v>1325</v>
      </c>
      <c r="H60" t="s">
        <v>1328</v>
      </c>
      <c r="J60" t="s">
        <v>1329</v>
      </c>
      <c r="P60" t="s">
        <v>5</v>
      </c>
      <c r="Q60">
        <v>45000</v>
      </c>
      <c r="Z60" s="102"/>
      <c r="AA60" s="102"/>
    </row>
    <row r="61" spans="1:27" x14ac:dyDescent="0.35">
      <c r="A61" s="102">
        <v>44251</v>
      </c>
      <c r="C61" t="s">
        <v>1132</v>
      </c>
      <c r="F61" t="s">
        <v>218</v>
      </c>
      <c r="G61" t="s">
        <v>1330</v>
      </c>
      <c r="H61" t="s">
        <v>1331</v>
      </c>
      <c r="J61" t="s">
        <v>1332</v>
      </c>
      <c r="P61" t="s">
        <v>5</v>
      </c>
      <c r="Q61">
        <v>45000</v>
      </c>
      <c r="Z61" s="102"/>
      <c r="AA61" s="102"/>
    </row>
    <row r="62" spans="1:27" x14ac:dyDescent="0.35">
      <c r="A62" s="102">
        <v>44271</v>
      </c>
      <c r="C62" t="s">
        <v>1131</v>
      </c>
      <c r="F62" t="s">
        <v>218</v>
      </c>
      <c r="H62" t="s">
        <v>1323</v>
      </c>
      <c r="J62" t="s">
        <v>1322</v>
      </c>
      <c r="P62" t="s">
        <v>3</v>
      </c>
      <c r="Q62" t="s">
        <v>1324</v>
      </c>
      <c r="Z62" s="102"/>
      <c r="AA62" s="102"/>
    </row>
    <row r="63" spans="1:27" x14ac:dyDescent="0.35">
      <c r="A63" s="102">
        <v>44278</v>
      </c>
      <c r="C63" t="s">
        <v>1131</v>
      </c>
      <c r="F63" t="s">
        <v>218</v>
      </c>
      <c r="G63" t="s">
        <v>1318</v>
      </c>
      <c r="H63" t="s">
        <v>1214</v>
      </c>
      <c r="J63" t="s">
        <v>1215</v>
      </c>
      <c r="P63" t="s">
        <v>5</v>
      </c>
      <c r="Q63">
        <v>100000</v>
      </c>
      <c r="Z63" s="102"/>
      <c r="AA63" s="102"/>
    </row>
    <row r="64" spans="1:27" x14ac:dyDescent="0.35">
      <c r="A64" s="102">
        <v>44278</v>
      </c>
      <c r="C64" t="s">
        <v>1131</v>
      </c>
      <c r="F64" t="s">
        <v>218</v>
      </c>
      <c r="G64" t="s">
        <v>1318</v>
      </c>
      <c r="H64" t="s">
        <v>1319</v>
      </c>
      <c r="J64" t="s">
        <v>1320</v>
      </c>
      <c r="P64" t="s">
        <v>5</v>
      </c>
      <c r="Q64">
        <v>100000</v>
      </c>
      <c r="Z64" s="102"/>
      <c r="AA64" s="102"/>
    </row>
    <row r="65" spans="1:27" x14ac:dyDescent="0.35">
      <c r="A65" s="102">
        <v>44278</v>
      </c>
      <c r="C65" t="s">
        <v>1131</v>
      </c>
      <c r="F65" t="s">
        <v>218</v>
      </c>
      <c r="G65" t="s">
        <v>1318</v>
      </c>
      <c r="H65" t="s">
        <v>1218</v>
      </c>
      <c r="J65" t="s">
        <v>1219</v>
      </c>
      <c r="P65" t="s">
        <v>5</v>
      </c>
      <c r="Q65">
        <v>100000</v>
      </c>
      <c r="Z65" s="102"/>
      <c r="AA65" s="102"/>
    </row>
    <row r="66" spans="1:27" x14ac:dyDescent="0.35">
      <c r="A66" s="102">
        <v>44278</v>
      </c>
      <c r="C66" t="s">
        <v>1131</v>
      </c>
      <c r="F66" t="s">
        <v>218</v>
      </c>
      <c r="G66" t="s">
        <v>1318</v>
      </c>
      <c r="H66" t="s">
        <v>1278</v>
      </c>
      <c r="J66" t="s">
        <v>1279</v>
      </c>
      <c r="P66" t="s">
        <v>5</v>
      </c>
      <c r="Q66">
        <v>100000</v>
      </c>
      <c r="Z66" s="102"/>
      <c r="AA66" s="102"/>
    </row>
    <row r="67" spans="1:27" x14ac:dyDescent="0.35">
      <c r="A67" s="102">
        <v>44278</v>
      </c>
      <c r="C67" t="s">
        <v>1131</v>
      </c>
      <c r="F67" t="s">
        <v>218</v>
      </c>
      <c r="G67" t="s">
        <v>1318</v>
      </c>
      <c r="H67" t="s">
        <v>1321</v>
      </c>
      <c r="J67" t="s">
        <v>1322</v>
      </c>
      <c r="P67" t="s">
        <v>5</v>
      </c>
      <c r="Q67">
        <v>100000</v>
      </c>
      <c r="Z67" s="102"/>
      <c r="AA67" s="102"/>
    </row>
    <row r="68" spans="1:27" x14ac:dyDescent="0.35">
      <c r="A68" s="102">
        <v>44330</v>
      </c>
      <c r="C68" t="s">
        <v>1235</v>
      </c>
      <c r="D68" t="s">
        <v>186</v>
      </c>
      <c r="F68" t="s">
        <v>218</v>
      </c>
      <c r="H68" t="s">
        <v>1317</v>
      </c>
      <c r="Z68" s="102"/>
      <c r="AA68" s="102"/>
    </row>
    <row r="69" spans="1:27" x14ac:dyDescent="0.35">
      <c r="A69" s="102">
        <v>44369</v>
      </c>
      <c r="C69" t="s">
        <v>1176</v>
      </c>
      <c r="D69" t="s">
        <v>186</v>
      </c>
      <c r="F69" t="s">
        <v>218</v>
      </c>
      <c r="H69" t="s">
        <v>1314</v>
      </c>
      <c r="P69" t="s">
        <v>3</v>
      </c>
      <c r="Z69" s="102"/>
      <c r="AA69" s="102"/>
    </row>
    <row r="70" spans="1:27" x14ac:dyDescent="0.35">
      <c r="A70" s="102">
        <v>44412</v>
      </c>
      <c r="B70" s="102">
        <v>44387</v>
      </c>
      <c r="C70" t="s">
        <v>1144</v>
      </c>
      <c r="F70" t="s">
        <v>218</v>
      </c>
      <c r="H70" t="s">
        <v>445</v>
      </c>
      <c r="J70" t="s">
        <v>1307</v>
      </c>
      <c r="L70" t="s">
        <v>1310</v>
      </c>
      <c r="N70" t="s">
        <v>1306</v>
      </c>
      <c r="P70" t="s">
        <v>2</v>
      </c>
      <c r="Q70" t="s">
        <v>1250</v>
      </c>
      <c r="R70" t="s">
        <v>74</v>
      </c>
      <c r="S70">
        <v>268.94</v>
      </c>
      <c r="U70">
        <v>3227.2799999999997</v>
      </c>
      <c r="Z70" s="102"/>
      <c r="AA70" s="102"/>
    </row>
    <row r="71" spans="1:27" x14ac:dyDescent="0.35">
      <c r="A71" s="102">
        <v>44412</v>
      </c>
      <c r="B71" s="102">
        <v>44387</v>
      </c>
      <c r="C71" t="s">
        <v>1144</v>
      </c>
      <c r="F71" t="s">
        <v>218</v>
      </c>
      <c r="H71" t="s">
        <v>1311</v>
      </c>
      <c r="J71" t="s">
        <v>1312</v>
      </c>
      <c r="L71" t="s">
        <v>1280</v>
      </c>
      <c r="N71" t="s">
        <v>1313</v>
      </c>
      <c r="P71" t="s">
        <v>2</v>
      </c>
      <c r="Q71" t="s">
        <v>1250</v>
      </c>
      <c r="R71" t="s">
        <v>71</v>
      </c>
      <c r="S71">
        <v>83.63</v>
      </c>
      <c r="U71">
        <v>1003.56</v>
      </c>
      <c r="Z71" s="102"/>
      <c r="AA71" s="102"/>
    </row>
    <row r="72" spans="1:27" x14ac:dyDescent="0.35">
      <c r="A72" s="102">
        <v>44419</v>
      </c>
      <c r="B72" s="102">
        <v>44424</v>
      </c>
      <c r="C72" t="s">
        <v>1144</v>
      </c>
      <c r="F72" t="s">
        <v>218</v>
      </c>
      <c r="H72" t="s">
        <v>1306</v>
      </c>
      <c r="J72" t="s">
        <v>1307</v>
      </c>
      <c r="L72" t="s">
        <v>1277</v>
      </c>
      <c r="N72" t="s">
        <v>1306</v>
      </c>
      <c r="P72" t="s">
        <v>3</v>
      </c>
      <c r="Q72" t="s">
        <v>1287</v>
      </c>
      <c r="R72" t="s">
        <v>71</v>
      </c>
      <c r="S72">
        <v>38.659999999999997</v>
      </c>
      <c r="U72">
        <v>463.91999999999996</v>
      </c>
      <c r="Z72" s="102"/>
      <c r="AA72" s="102"/>
    </row>
    <row r="73" spans="1:27" x14ac:dyDescent="0.35">
      <c r="A73" s="102">
        <v>44434</v>
      </c>
      <c r="B73" s="102">
        <v>44440</v>
      </c>
      <c r="C73" t="s">
        <v>1144</v>
      </c>
      <c r="F73" t="s">
        <v>218</v>
      </c>
      <c r="H73" t="s">
        <v>1293</v>
      </c>
      <c r="J73" t="s">
        <v>1294</v>
      </c>
      <c r="L73" t="s">
        <v>1280</v>
      </c>
      <c r="N73" t="s">
        <v>1293</v>
      </c>
      <c r="P73" t="s">
        <v>3</v>
      </c>
      <c r="Q73" t="s">
        <v>1287</v>
      </c>
      <c r="R73" t="s">
        <v>71</v>
      </c>
      <c r="S73">
        <v>60.58</v>
      </c>
      <c r="U73">
        <v>726.96</v>
      </c>
      <c r="Z73" s="102"/>
      <c r="AA73" s="102"/>
    </row>
    <row r="74" spans="1:27" x14ac:dyDescent="0.35">
      <c r="A74" s="102">
        <v>44434</v>
      </c>
      <c r="B74" s="102">
        <v>44434</v>
      </c>
      <c r="C74" t="s">
        <v>1144</v>
      </c>
      <c r="F74" t="s">
        <v>218</v>
      </c>
      <c r="H74" t="s">
        <v>1293</v>
      </c>
      <c r="J74" t="s">
        <v>1294</v>
      </c>
      <c r="L74" t="s">
        <v>1280</v>
      </c>
      <c r="N74" t="s">
        <v>1293</v>
      </c>
      <c r="P74" t="s">
        <v>1138</v>
      </c>
      <c r="Q74" t="s">
        <v>1301</v>
      </c>
      <c r="Z74" s="102"/>
      <c r="AA74" s="102"/>
    </row>
    <row r="75" spans="1:27" x14ac:dyDescent="0.35">
      <c r="A75" s="102">
        <v>44434</v>
      </c>
      <c r="B75" s="102">
        <v>44428</v>
      </c>
      <c r="C75" t="s">
        <v>1144</v>
      </c>
      <c r="F75" t="s">
        <v>218</v>
      </c>
      <c r="H75" t="s">
        <v>1302</v>
      </c>
      <c r="J75" t="s">
        <v>1303</v>
      </c>
      <c r="L75" t="s">
        <v>1280</v>
      </c>
      <c r="N75" t="s">
        <v>1302</v>
      </c>
      <c r="P75" t="s">
        <v>2</v>
      </c>
      <c r="Q75" t="s">
        <v>1250</v>
      </c>
      <c r="R75" t="s">
        <v>71</v>
      </c>
      <c r="S75">
        <v>113.36</v>
      </c>
      <c r="U75">
        <v>1360.32</v>
      </c>
      <c r="Z75" s="102"/>
      <c r="AA75" s="102"/>
    </row>
    <row r="76" spans="1:27" x14ac:dyDescent="0.35">
      <c r="A76" s="102">
        <v>44434</v>
      </c>
      <c r="B76" s="102">
        <v>44428</v>
      </c>
      <c r="C76" t="s">
        <v>1144</v>
      </c>
      <c r="F76" t="s">
        <v>218</v>
      </c>
      <c r="H76" t="s">
        <v>1304</v>
      </c>
      <c r="J76" t="s">
        <v>1305</v>
      </c>
      <c r="L76" t="s">
        <v>1280</v>
      </c>
      <c r="N76" t="s">
        <v>1304</v>
      </c>
      <c r="P76" t="s">
        <v>2</v>
      </c>
      <c r="Q76" t="s">
        <v>1250</v>
      </c>
      <c r="R76" t="s">
        <v>71</v>
      </c>
      <c r="S76">
        <v>129.65</v>
      </c>
      <c r="U76">
        <v>1555.8000000000002</v>
      </c>
      <c r="Z76" s="102"/>
      <c r="AA76" s="102"/>
    </row>
    <row r="77" spans="1:27" x14ac:dyDescent="0.35">
      <c r="A77" s="102">
        <v>44510</v>
      </c>
      <c r="C77" t="s">
        <v>1141</v>
      </c>
      <c r="D77" t="s">
        <v>186</v>
      </c>
      <c r="F77" t="s">
        <v>218</v>
      </c>
      <c r="H77" t="s">
        <v>1291</v>
      </c>
      <c r="J77" t="s">
        <v>1292</v>
      </c>
      <c r="P77" t="s">
        <v>6</v>
      </c>
      <c r="Z77" s="102"/>
      <c r="AA77" s="102"/>
    </row>
    <row r="78" spans="1:27" x14ac:dyDescent="0.35">
      <c r="A78" s="102">
        <v>44550</v>
      </c>
      <c r="B78" s="102">
        <v>44560</v>
      </c>
      <c r="C78" t="s">
        <v>1133</v>
      </c>
      <c r="F78" t="s">
        <v>218</v>
      </c>
      <c r="H78" t="s">
        <v>1288</v>
      </c>
      <c r="J78">
        <v>1900001114</v>
      </c>
      <c r="L78" t="s">
        <v>88</v>
      </c>
      <c r="N78" t="s">
        <v>1289</v>
      </c>
      <c r="P78" t="s">
        <v>3</v>
      </c>
      <c r="Q78" t="s">
        <v>1290</v>
      </c>
      <c r="R78" t="s">
        <v>71</v>
      </c>
      <c r="S78">
        <v>309.70999999999998</v>
      </c>
      <c r="U78">
        <v>3716.5199999999995</v>
      </c>
      <c r="Z78" s="102"/>
      <c r="AA78" s="102"/>
    </row>
    <row r="79" spans="1:27" x14ac:dyDescent="0.35">
      <c r="A79" s="102">
        <v>44553</v>
      </c>
      <c r="B79" s="102">
        <v>44553</v>
      </c>
      <c r="C79" t="s">
        <v>1133</v>
      </c>
      <c r="F79" t="s">
        <v>218</v>
      </c>
      <c r="H79" t="s">
        <v>1286</v>
      </c>
      <c r="J79" t="s">
        <v>1185</v>
      </c>
      <c r="L79" t="s">
        <v>1280</v>
      </c>
      <c r="N79" t="s">
        <v>1286</v>
      </c>
      <c r="P79" t="s">
        <v>3</v>
      </c>
      <c r="Q79" t="s">
        <v>1287</v>
      </c>
      <c r="R79" t="s">
        <v>71</v>
      </c>
      <c r="S79">
        <v>64.709999999999994</v>
      </c>
      <c r="U79">
        <v>776.52</v>
      </c>
      <c r="Z79" s="102"/>
      <c r="AA79" s="102"/>
    </row>
    <row r="80" spans="1:27" x14ac:dyDescent="0.35">
      <c r="A80" s="102">
        <v>44557</v>
      </c>
      <c r="B80" s="102">
        <v>44557</v>
      </c>
      <c r="C80" t="s">
        <v>1133</v>
      </c>
      <c r="F80" t="s">
        <v>218</v>
      </c>
      <c r="H80" t="s">
        <v>1276</v>
      </c>
      <c r="J80">
        <v>903477420</v>
      </c>
      <c r="L80" t="s">
        <v>1277</v>
      </c>
      <c r="N80" t="s">
        <v>1276</v>
      </c>
      <c r="P80" t="s">
        <v>3</v>
      </c>
      <c r="Q80" t="s">
        <v>274</v>
      </c>
      <c r="R80" t="s">
        <v>71</v>
      </c>
      <c r="S80">
        <v>342.91750000000002</v>
      </c>
      <c r="U80">
        <v>4115.01</v>
      </c>
      <c r="Z80" s="102"/>
      <c r="AA80" s="102"/>
    </row>
    <row r="81" spans="1:27" x14ac:dyDescent="0.35">
      <c r="A81" s="102">
        <v>44557</v>
      </c>
      <c r="B81" s="102">
        <v>44557</v>
      </c>
      <c r="C81" t="s">
        <v>1133</v>
      </c>
      <c r="F81" t="s">
        <v>218</v>
      </c>
      <c r="H81" t="s">
        <v>1278</v>
      </c>
      <c r="J81" t="s">
        <v>1279</v>
      </c>
      <c r="L81" t="s">
        <v>1280</v>
      </c>
      <c r="N81" t="s">
        <v>1278</v>
      </c>
      <c r="P81" t="s">
        <v>1281</v>
      </c>
      <c r="Q81" t="s">
        <v>1282</v>
      </c>
      <c r="R81" t="s">
        <v>71</v>
      </c>
      <c r="U81">
        <v>450</v>
      </c>
      <c r="Z81" s="102"/>
      <c r="AA81" s="102"/>
    </row>
    <row r="82" spans="1:27" x14ac:dyDescent="0.35">
      <c r="A82" s="102">
        <v>44557</v>
      </c>
      <c r="B82" s="102">
        <v>44550</v>
      </c>
      <c r="C82" t="s">
        <v>1133</v>
      </c>
      <c r="D82" t="s">
        <v>152</v>
      </c>
      <c r="F82" t="s">
        <v>218</v>
      </c>
      <c r="H82" t="s">
        <v>1285</v>
      </c>
      <c r="J82">
        <v>915781496</v>
      </c>
      <c r="L82" t="s">
        <v>1277</v>
      </c>
      <c r="N82" t="s">
        <v>1285</v>
      </c>
      <c r="P82" t="s">
        <v>2</v>
      </c>
      <c r="Q82" t="s">
        <v>1250</v>
      </c>
      <c r="R82" t="s">
        <v>71</v>
      </c>
      <c r="S82">
        <v>95.6</v>
      </c>
      <c r="U82">
        <v>1147</v>
      </c>
      <c r="Z82" s="102"/>
      <c r="AA82" s="102"/>
    </row>
    <row r="83" spans="1:27" x14ac:dyDescent="0.35">
      <c r="A83" s="102">
        <v>44694</v>
      </c>
      <c r="B83" s="102">
        <v>44694</v>
      </c>
      <c r="C83" t="s">
        <v>1235</v>
      </c>
      <c r="F83" t="s">
        <v>218</v>
      </c>
      <c r="H83" t="s">
        <v>1275</v>
      </c>
      <c r="L83" t="s">
        <v>88</v>
      </c>
      <c r="N83" t="s">
        <v>1275</v>
      </c>
      <c r="P83" t="s">
        <v>3</v>
      </c>
      <c r="Q83" t="s">
        <v>274</v>
      </c>
      <c r="R83" t="s">
        <v>71</v>
      </c>
      <c r="S83">
        <v>615.12</v>
      </c>
      <c r="U83">
        <v>7381.4400000000005</v>
      </c>
      <c r="Z83" s="102"/>
      <c r="AA83" s="102"/>
    </row>
    <row r="84" spans="1:27" x14ac:dyDescent="0.35">
      <c r="A84" s="102">
        <v>44708</v>
      </c>
      <c r="B84" s="102">
        <v>44708</v>
      </c>
      <c r="C84" t="s">
        <v>1235</v>
      </c>
      <c r="F84" t="s">
        <v>218</v>
      </c>
      <c r="H84" t="s">
        <v>1271</v>
      </c>
      <c r="L84" t="s">
        <v>1272</v>
      </c>
      <c r="N84" t="s">
        <v>1273</v>
      </c>
      <c r="P84" t="s">
        <v>1138</v>
      </c>
      <c r="Q84" t="s">
        <v>1274</v>
      </c>
      <c r="R84" t="s">
        <v>71</v>
      </c>
      <c r="S84">
        <v>255.87</v>
      </c>
      <c r="U84">
        <v>3070.44</v>
      </c>
      <c r="Z84" s="102"/>
      <c r="AA84" s="102"/>
    </row>
    <row r="85" spans="1:27" x14ac:dyDescent="0.35">
      <c r="A85" s="102">
        <v>44724</v>
      </c>
      <c r="B85" s="102">
        <v>44728</v>
      </c>
      <c r="C85" t="s">
        <v>1176</v>
      </c>
      <c r="F85" t="s">
        <v>218</v>
      </c>
      <c r="H85" t="s">
        <v>1268</v>
      </c>
      <c r="J85" t="s">
        <v>1269</v>
      </c>
      <c r="L85" t="s">
        <v>88</v>
      </c>
      <c r="N85" t="s">
        <v>685</v>
      </c>
      <c r="P85" t="s">
        <v>3</v>
      </c>
      <c r="Q85" t="s">
        <v>1270</v>
      </c>
      <c r="R85" t="s">
        <v>71</v>
      </c>
      <c r="S85">
        <v>735.4</v>
      </c>
      <c r="U85">
        <v>8824.7999999999993</v>
      </c>
      <c r="V85" t="s">
        <v>15</v>
      </c>
      <c r="Z85" s="102"/>
      <c r="AA85" s="102"/>
    </row>
    <row r="86" spans="1:27" x14ac:dyDescent="0.35">
      <c r="A86" s="102">
        <v>44785</v>
      </c>
      <c r="B86" s="102">
        <v>44788</v>
      </c>
      <c r="C86" t="s">
        <v>1144</v>
      </c>
      <c r="F86" t="s">
        <v>218</v>
      </c>
      <c r="H86" t="s">
        <v>1265</v>
      </c>
      <c r="J86" t="s">
        <v>1266</v>
      </c>
      <c r="L86" t="s">
        <v>88</v>
      </c>
      <c r="N86" t="s">
        <v>1265</v>
      </c>
      <c r="P86" t="s">
        <v>455</v>
      </c>
      <c r="Q86" t="s">
        <v>1267</v>
      </c>
      <c r="R86" t="s">
        <v>71</v>
      </c>
      <c r="S86">
        <v>499.95</v>
      </c>
      <c r="U86">
        <v>5999.4</v>
      </c>
      <c r="Z86" s="102"/>
      <c r="AA86" s="102"/>
    </row>
    <row r="87" spans="1:27" x14ac:dyDescent="0.35">
      <c r="A87" s="102">
        <v>44802</v>
      </c>
      <c r="B87" s="102">
        <v>44802</v>
      </c>
      <c r="C87" t="s">
        <v>1144</v>
      </c>
      <c r="F87" t="s">
        <v>218</v>
      </c>
      <c r="H87" t="s">
        <v>1262</v>
      </c>
      <c r="J87" t="s">
        <v>1257</v>
      </c>
      <c r="L87" t="s">
        <v>700</v>
      </c>
      <c r="N87" t="s">
        <v>1262</v>
      </c>
      <c r="P87" t="s">
        <v>1138</v>
      </c>
      <c r="Q87" t="s">
        <v>171</v>
      </c>
      <c r="R87" t="s">
        <v>71</v>
      </c>
      <c r="S87">
        <v>194.14</v>
      </c>
      <c r="U87">
        <v>2329.6799999999998</v>
      </c>
      <c r="Z87" s="102"/>
      <c r="AA87" s="102"/>
    </row>
    <row r="88" spans="1:27" x14ac:dyDescent="0.35">
      <c r="A88" s="102">
        <v>44806</v>
      </c>
      <c r="B88" s="102">
        <v>44806</v>
      </c>
      <c r="C88" t="s">
        <v>1147</v>
      </c>
      <c r="F88" t="s">
        <v>218</v>
      </c>
      <c r="H88" t="s">
        <v>1258</v>
      </c>
      <c r="M88" t="s">
        <v>70</v>
      </c>
      <c r="N88" t="s">
        <v>1258</v>
      </c>
      <c r="P88" t="s">
        <v>1138</v>
      </c>
      <c r="S88">
        <v>313.16000000000003</v>
      </c>
      <c r="U88">
        <v>5095.0447761194027</v>
      </c>
      <c r="W88" t="s">
        <v>136</v>
      </c>
      <c r="Z88" s="102"/>
      <c r="AA88" s="102"/>
    </row>
    <row r="89" spans="1:27" x14ac:dyDescent="0.35">
      <c r="A89" s="102">
        <v>44861</v>
      </c>
      <c r="B89" s="102">
        <v>44861</v>
      </c>
      <c r="C89" t="s">
        <v>1253</v>
      </c>
      <c r="F89" t="s">
        <v>218</v>
      </c>
      <c r="H89" t="s">
        <v>1254</v>
      </c>
      <c r="J89" t="s">
        <v>1255</v>
      </c>
      <c r="L89" t="s">
        <v>69</v>
      </c>
      <c r="M89" t="s">
        <v>70</v>
      </c>
      <c r="N89" t="s">
        <v>1254</v>
      </c>
      <c r="O89" t="s">
        <v>71</v>
      </c>
      <c r="P89" t="s">
        <v>1138</v>
      </c>
      <c r="Q89" t="s">
        <v>352</v>
      </c>
      <c r="R89" t="s">
        <v>71</v>
      </c>
      <c r="S89">
        <v>73</v>
      </c>
      <c r="U89">
        <v>876</v>
      </c>
      <c r="Z89" s="102"/>
      <c r="AA89" s="102"/>
    </row>
    <row r="90" spans="1:27" x14ac:dyDescent="0.35">
      <c r="A90" s="102">
        <v>44861</v>
      </c>
      <c r="B90" s="102">
        <v>44861</v>
      </c>
      <c r="C90" t="s">
        <v>1253</v>
      </c>
      <c r="F90" t="s">
        <v>218</v>
      </c>
      <c r="H90" t="s">
        <v>1256</v>
      </c>
      <c r="J90" t="s">
        <v>1257</v>
      </c>
      <c r="L90" t="s">
        <v>168</v>
      </c>
      <c r="M90" t="s">
        <v>70</v>
      </c>
      <c r="N90" t="s">
        <v>1256</v>
      </c>
      <c r="O90" t="s">
        <v>71</v>
      </c>
      <c r="P90" t="s">
        <v>1138</v>
      </c>
      <c r="Q90" t="s">
        <v>352</v>
      </c>
      <c r="R90" t="s">
        <v>71</v>
      </c>
      <c r="S90">
        <v>135</v>
      </c>
      <c r="U90">
        <v>1620</v>
      </c>
      <c r="Z90" s="102"/>
      <c r="AA90" s="102"/>
    </row>
    <row r="91" spans="1:27" x14ac:dyDescent="0.35">
      <c r="A91" s="102">
        <v>44881</v>
      </c>
      <c r="B91" s="102">
        <v>44905</v>
      </c>
      <c r="C91" t="s">
        <v>1141</v>
      </c>
      <c r="F91" t="s">
        <v>218</v>
      </c>
      <c r="H91" t="s">
        <v>1246</v>
      </c>
      <c r="J91" t="s">
        <v>1247</v>
      </c>
      <c r="L91" t="s">
        <v>88</v>
      </c>
      <c r="M91" t="s">
        <v>1248</v>
      </c>
      <c r="N91" t="s">
        <v>1249</v>
      </c>
      <c r="O91" t="s">
        <v>71</v>
      </c>
      <c r="P91" t="s">
        <v>2</v>
      </c>
      <c r="Q91" t="s">
        <v>1250</v>
      </c>
      <c r="R91" t="s">
        <v>71</v>
      </c>
      <c r="S91">
        <v>139.11000000000001</v>
      </c>
      <c r="U91">
        <v>1669.3200000000002</v>
      </c>
      <c r="Z91" s="102"/>
      <c r="AA91" s="102"/>
    </row>
    <row r="92" spans="1:27" x14ac:dyDescent="0.35">
      <c r="A92" s="102">
        <v>44908</v>
      </c>
      <c r="B92" s="102">
        <v>44908</v>
      </c>
      <c r="C92" t="s">
        <v>1133</v>
      </c>
      <c r="F92" t="s">
        <v>218</v>
      </c>
      <c r="H92" t="s">
        <v>416</v>
      </c>
      <c r="J92" t="s">
        <v>1245</v>
      </c>
      <c r="L92" t="s">
        <v>88</v>
      </c>
      <c r="M92" t="s">
        <v>70</v>
      </c>
      <c r="N92" t="s">
        <v>416</v>
      </c>
      <c r="O92" t="s">
        <v>71</v>
      </c>
      <c r="P92" t="s">
        <v>3</v>
      </c>
      <c r="Q92" t="s">
        <v>274</v>
      </c>
      <c r="R92" t="s">
        <v>71</v>
      </c>
      <c r="S92">
        <v>307.85000000000002</v>
      </c>
      <c r="U92">
        <v>3694.2000000000003</v>
      </c>
      <c r="Z92" s="102"/>
      <c r="AA92" s="102"/>
    </row>
    <row r="93" spans="1:27" x14ac:dyDescent="0.35">
      <c r="A93" s="102">
        <v>44938</v>
      </c>
      <c r="B93" s="102">
        <v>44942</v>
      </c>
      <c r="C93" t="s">
        <v>1226</v>
      </c>
      <c r="F93" t="s">
        <v>218</v>
      </c>
      <c r="G93" t="s">
        <v>1238</v>
      </c>
      <c r="H93" t="s">
        <v>1239</v>
      </c>
      <c r="I93" t="s">
        <v>1239</v>
      </c>
      <c r="J93">
        <v>1301636096</v>
      </c>
      <c r="L93" t="s">
        <v>88</v>
      </c>
      <c r="M93" t="s">
        <v>108</v>
      </c>
      <c r="N93" t="s">
        <v>1240</v>
      </c>
      <c r="O93" t="s">
        <v>71</v>
      </c>
      <c r="P93" t="s">
        <v>3</v>
      </c>
      <c r="Q93" t="s">
        <v>64</v>
      </c>
      <c r="R93" t="s">
        <v>71</v>
      </c>
      <c r="S93" t="s">
        <v>1156</v>
      </c>
      <c r="T93">
        <v>814.66</v>
      </c>
      <c r="U93">
        <v>711.33</v>
      </c>
      <c r="W93" t="s">
        <v>73</v>
      </c>
      <c r="X93" t="s">
        <v>74</v>
      </c>
      <c r="Z93" s="102"/>
      <c r="AA93" s="102"/>
    </row>
    <row r="94" spans="1:27" x14ac:dyDescent="0.35">
      <c r="A94" s="102">
        <v>44938</v>
      </c>
      <c r="B94" s="102">
        <v>44942</v>
      </c>
      <c r="C94" t="s">
        <v>1226</v>
      </c>
      <c r="F94" t="s">
        <v>218</v>
      </c>
      <c r="G94" t="s">
        <v>1243</v>
      </c>
      <c r="H94" t="s">
        <v>1244</v>
      </c>
      <c r="I94" t="s">
        <v>1204</v>
      </c>
      <c r="J94">
        <v>1305876110</v>
      </c>
      <c r="L94" t="s">
        <v>88</v>
      </c>
      <c r="M94" t="s">
        <v>70</v>
      </c>
      <c r="N94" t="s">
        <v>1244</v>
      </c>
      <c r="O94" t="s">
        <v>71</v>
      </c>
      <c r="P94" t="s">
        <v>3</v>
      </c>
      <c r="Q94" t="s">
        <v>64</v>
      </c>
      <c r="R94" t="s">
        <v>71</v>
      </c>
      <c r="S94">
        <v>51.87</v>
      </c>
      <c r="T94" t="s">
        <v>1156</v>
      </c>
      <c r="U94">
        <v>499.43</v>
      </c>
      <c r="W94" t="s">
        <v>73</v>
      </c>
      <c r="X94" t="s">
        <v>74</v>
      </c>
      <c r="Z94" s="102"/>
      <c r="AA94" s="102"/>
    </row>
    <row r="95" spans="1:27" x14ac:dyDescent="0.35">
      <c r="A95" s="102">
        <v>44943</v>
      </c>
      <c r="C95" t="s">
        <v>1226</v>
      </c>
      <c r="D95" t="s">
        <v>186</v>
      </c>
      <c r="F95" t="s">
        <v>218</v>
      </c>
      <c r="G95" t="s">
        <v>1232</v>
      </c>
      <c r="H95" t="s">
        <v>1200</v>
      </c>
      <c r="J95" t="s">
        <v>1201</v>
      </c>
      <c r="P95" t="s">
        <v>3</v>
      </c>
      <c r="Z95" s="102"/>
      <c r="AA95" s="102"/>
    </row>
    <row r="96" spans="1:27" x14ac:dyDescent="0.35">
      <c r="A96" s="102">
        <v>44943</v>
      </c>
      <c r="C96" t="s">
        <v>1226</v>
      </c>
      <c r="D96" t="s">
        <v>186</v>
      </c>
      <c r="F96" t="s">
        <v>218</v>
      </c>
      <c r="H96" t="s">
        <v>1233</v>
      </c>
      <c r="J96" t="s">
        <v>1234</v>
      </c>
      <c r="P96" t="s">
        <v>3</v>
      </c>
      <c r="Z96" s="102"/>
      <c r="AA96" s="102"/>
    </row>
    <row r="97" spans="1:27" x14ac:dyDescent="0.35">
      <c r="A97" s="102">
        <v>44952</v>
      </c>
      <c r="B97" s="102">
        <v>44973</v>
      </c>
      <c r="C97" t="s">
        <v>1226</v>
      </c>
      <c r="F97" t="s">
        <v>218</v>
      </c>
      <c r="G97" t="s">
        <v>1229</v>
      </c>
      <c r="H97" t="s">
        <v>1230</v>
      </c>
      <c r="I97" t="s">
        <v>1230</v>
      </c>
      <c r="J97" t="s">
        <v>1231</v>
      </c>
      <c r="L97" t="s">
        <v>209</v>
      </c>
      <c r="M97" t="s">
        <v>108</v>
      </c>
      <c r="N97" t="s">
        <v>1230</v>
      </c>
      <c r="O97" t="s">
        <v>74</v>
      </c>
      <c r="P97" t="s">
        <v>3</v>
      </c>
      <c r="Q97" t="s">
        <v>1031</v>
      </c>
      <c r="R97" t="s">
        <v>71</v>
      </c>
      <c r="S97" t="s">
        <v>1156</v>
      </c>
      <c r="T97">
        <v>3583.55</v>
      </c>
      <c r="U97">
        <v>3465.63</v>
      </c>
      <c r="W97" t="s">
        <v>73</v>
      </c>
      <c r="X97" t="s">
        <v>74</v>
      </c>
      <c r="Z97" s="102"/>
      <c r="AA97" s="102"/>
    </row>
    <row r="98" spans="1:27" x14ac:dyDescent="0.35">
      <c r="A98" s="102">
        <v>44953</v>
      </c>
      <c r="B98" s="102">
        <v>44953</v>
      </c>
      <c r="C98" t="s">
        <v>1226</v>
      </c>
      <c r="F98" t="s">
        <v>218</v>
      </c>
      <c r="G98">
        <v>4163926</v>
      </c>
      <c r="H98" t="s">
        <v>1227</v>
      </c>
      <c r="I98" t="s">
        <v>1227</v>
      </c>
      <c r="J98" t="s">
        <v>1228</v>
      </c>
      <c r="L98" t="s">
        <v>209</v>
      </c>
      <c r="M98" t="s">
        <v>108</v>
      </c>
      <c r="N98" t="s">
        <v>1227</v>
      </c>
      <c r="O98" t="s">
        <v>71</v>
      </c>
      <c r="P98" t="s">
        <v>1138</v>
      </c>
      <c r="Q98" t="s">
        <v>1142</v>
      </c>
      <c r="R98" t="s">
        <v>71</v>
      </c>
      <c r="S98" t="s">
        <v>1156</v>
      </c>
      <c r="T98">
        <v>3466.95</v>
      </c>
      <c r="U98">
        <v>3415.44</v>
      </c>
      <c r="W98" t="s">
        <v>73</v>
      </c>
      <c r="X98" t="s">
        <v>74</v>
      </c>
      <c r="Z98" s="102"/>
      <c r="AA98" s="102"/>
    </row>
    <row r="99" spans="1:27" x14ac:dyDescent="0.35">
      <c r="A99" s="102">
        <v>44967</v>
      </c>
      <c r="B99" s="102">
        <v>44973</v>
      </c>
      <c r="C99" t="s">
        <v>1132</v>
      </c>
      <c r="F99" t="s">
        <v>218</v>
      </c>
      <c r="G99" t="s">
        <v>1220</v>
      </c>
      <c r="H99" t="s">
        <v>1214</v>
      </c>
      <c r="I99" t="s">
        <v>1221</v>
      </c>
      <c r="J99" t="s">
        <v>1215</v>
      </c>
      <c r="L99" t="s">
        <v>1222</v>
      </c>
      <c r="M99" t="s">
        <v>108</v>
      </c>
      <c r="N99" t="s">
        <v>1216</v>
      </c>
      <c r="O99" t="s">
        <v>71</v>
      </c>
      <c r="P99" t="s">
        <v>3</v>
      </c>
      <c r="Q99" t="s">
        <v>1223</v>
      </c>
      <c r="R99" t="s">
        <v>71</v>
      </c>
      <c r="S99" t="s">
        <v>1156</v>
      </c>
      <c r="T99">
        <v>4270.67</v>
      </c>
      <c r="U99">
        <v>3974.1660000000002</v>
      </c>
      <c r="W99" t="s">
        <v>73</v>
      </c>
      <c r="X99" t="s">
        <v>74</v>
      </c>
      <c r="Z99" s="102"/>
      <c r="AA99" s="102"/>
    </row>
    <row r="100" spans="1:27" x14ac:dyDescent="0.35">
      <c r="A100" s="102">
        <v>44972</v>
      </c>
      <c r="B100" s="102">
        <v>44979</v>
      </c>
      <c r="C100" t="s">
        <v>1132</v>
      </c>
      <c r="F100" t="s">
        <v>218</v>
      </c>
      <c r="G100">
        <v>738591</v>
      </c>
      <c r="H100" t="s">
        <v>1214</v>
      </c>
      <c r="I100" t="s">
        <v>1204</v>
      </c>
      <c r="J100" t="s">
        <v>1215</v>
      </c>
      <c r="L100" t="s">
        <v>88</v>
      </c>
      <c r="M100" t="s">
        <v>108</v>
      </c>
      <c r="N100" t="s">
        <v>1216</v>
      </c>
      <c r="O100" t="s">
        <v>74</v>
      </c>
      <c r="P100" t="s">
        <v>455</v>
      </c>
      <c r="Q100" t="s">
        <v>1217</v>
      </c>
      <c r="R100" t="s">
        <v>71</v>
      </c>
      <c r="S100" t="s">
        <v>1156</v>
      </c>
      <c r="T100">
        <v>3304.08</v>
      </c>
      <c r="U100">
        <v>3257.5590000000002</v>
      </c>
      <c r="V100" t="s">
        <v>1213</v>
      </c>
      <c r="W100" t="s">
        <v>73</v>
      </c>
      <c r="X100" t="s">
        <v>74</v>
      </c>
      <c r="Z100" s="102"/>
      <c r="AA100" s="102"/>
    </row>
    <row r="101" spans="1:27" x14ac:dyDescent="0.35">
      <c r="A101" s="102">
        <v>44972</v>
      </c>
      <c r="B101" s="102">
        <v>44979</v>
      </c>
      <c r="C101" t="s">
        <v>1132</v>
      </c>
      <c r="F101" t="s">
        <v>218</v>
      </c>
      <c r="G101">
        <v>738592</v>
      </c>
      <c r="H101" t="s">
        <v>1218</v>
      </c>
      <c r="I101" t="s">
        <v>1218</v>
      </c>
      <c r="J101" t="s">
        <v>1219</v>
      </c>
      <c r="L101" t="s">
        <v>88</v>
      </c>
      <c r="M101" t="s">
        <v>108</v>
      </c>
      <c r="N101" t="s">
        <v>1216</v>
      </c>
      <c r="O101" t="s">
        <v>71</v>
      </c>
      <c r="P101" t="s">
        <v>455</v>
      </c>
      <c r="Q101" t="s">
        <v>1217</v>
      </c>
      <c r="R101" t="s">
        <v>71</v>
      </c>
      <c r="S101" t="s">
        <v>1156</v>
      </c>
      <c r="T101">
        <v>898.56</v>
      </c>
      <c r="U101">
        <v>894.06700000000001</v>
      </c>
      <c r="V101" t="s">
        <v>1213</v>
      </c>
      <c r="W101" t="s">
        <v>73</v>
      </c>
      <c r="X101" t="s">
        <v>74</v>
      </c>
      <c r="Z101" s="102"/>
      <c r="AA101" s="102"/>
    </row>
    <row r="102" spans="1:27" x14ac:dyDescent="0.35">
      <c r="A102" s="102">
        <v>44985</v>
      </c>
      <c r="B102" s="102">
        <v>44985</v>
      </c>
      <c r="C102" t="s">
        <v>1132</v>
      </c>
      <c r="F102" t="s">
        <v>218</v>
      </c>
      <c r="G102">
        <v>30034</v>
      </c>
      <c r="H102" t="s">
        <v>1209</v>
      </c>
      <c r="I102" t="s">
        <v>1209</v>
      </c>
      <c r="J102" t="s">
        <v>1210</v>
      </c>
      <c r="L102" t="s">
        <v>1211</v>
      </c>
      <c r="M102" t="s">
        <v>70</v>
      </c>
      <c r="N102" t="s">
        <v>1212</v>
      </c>
      <c r="O102" t="s">
        <v>71</v>
      </c>
      <c r="P102" t="s">
        <v>2</v>
      </c>
      <c r="Q102" t="s">
        <v>358</v>
      </c>
      <c r="R102" t="s">
        <v>71</v>
      </c>
      <c r="S102">
        <v>212.79</v>
      </c>
      <c r="T102" t="s">
        <v>1156</v>
      </c>
      <c r="U102">
        <v>2362.8620000000001</v>
      </c>
      <c r="V102" t="s">
        <v>1213</v>
      </c>
      <c r="W102" t="s">
        <v>73</v>
      </c>
      <c r="X102" t="s">
        <v>74</v>
      </c>
      <c r="Z102" s="102"/>
      <c r="AA102" s="102"/>
    </row>
    <row r="103" spans="1:27" x14ac:dyDescent="0.35">
      <c r="A103" s="102">
        <v>44999</v>
      </c>
      <c r="C103" t="s">
        <v>1131</v>
      </c>
      <c r="D103" t="s">
        <v>186</v>
      </c>
      <c r="F103" t="s">
        <v>218</v>
      </c>
      <c r="H103" t="s">
        <v>1200</v>
      </c>
      <c r="J103" t="s">
        <v>1201</v>
      </c>
      <c r="P103" t="s">
        <v>455</v>
      </c>
      <c r="Z103" s="102"/>
      <c r="AA103" s="102"/>
    </row>
    <row r="104" spans="1:27" x14ac:dyDescent="0.35">
      <c r="A104" s="102">
        <v>44999</v>
      </c>
      <c r="B104" s="102">
        <v>44995</v>
      </c>
      <c r="C104" t="s">
        <v>1131</v>
      </c>
      <c r="F104" t="s">
        <v>218</v>
      </c>
      <c r="G104">
        <v>30120</v>
      </c>
      <c r="H104" t="s">
        <v>428</v>
      </c>
      <c r="I104" t="s">
        <v>1204</v>
      </c>
      <c r="J104" t="s">
        <v>1205</v>
      </c>
      <c r="L104" t="s">
        <v>88</v>
      </c>
      <c r="M104" t="s">
        <v>70</v>
      </c>
      <c r="N104" t="s">
        <v>1206</v>
      </c>
      <c r="O104" t="s">
        <v>71</v>
      </c>
      <c r="P104" t="s">
        <v>2</v>
      </c>
      <c r="Q104" t="s">
        <v>143</v>
      </c>
      <c r="R104" t="s">
        <v>71</v>
      </c>
      <c r="S104">
        <v>302.83</v>
      </c>
      <c r="T104" t="s">
        <v>1156</v>
      </c>
      <c r="U104">
        <v>3362.68</v>
      </c>
      <c r="W104" t="s">
        <v>73</v>
      </c>
      <c r="X104" t="s">
        <v>74</v>
      </c>
      <c r="Z104" s="102"/>
      <c r="AA104" s="102"/>
    </row>
    <row r="105" spans="1:27" x14ac:dyDescent="0.35">
      <c r="A105" s="102">
        <v>45000</v>
      </c>
      <c r="B105" s="102">
        <v>45000</v>
      </c>
      <c r="C105" t="s">
        <v>1131</v>
      </c>
      <c r="F105" t="s">
        <v>218</v>
      </c>
      <c r="G105" t="s">
        <v>1195</v>
      </c>
      <c r="H105" t="s">
        <v>519</v>
      </c>
      <c r="I105" t="s">
        <v>519</v>
      </c>
      <c r="J105" t="s">
        <v>1196</v>
      </c>
      <c r="L105" t="s">
        <v>88</v>
      </c>
      <c r="M105" t="s">
        <v>70</v>
      </c>
      <c r="N105" t="s">
        <v>519</v>
      </c>
      <c r="O105" t="s">
        <v>71</v>
      </c>
      <c r="P105" t="s">
        <v>3</v>
      </c>
      <c r="Q105" t="s">
        <v>64</v>
      </c>
      <c r="R105" t="s">
        <v>71</v>
      </c>
      <c r="S105">
        <v>27.64</v>
      </c>
      <c r="T105" t="s">
        <v>1156</v>
      </c>
      <c r="U105">
        <v>236.4153</v>
      </c>
      <c r="W105" t="s">
        <v>73</v>
      </c>
      <c r="X105" t="s">
        <v>74</v>
      </c>
      <c r="Z105" s="102"/>
      <c r="AA105" s="102"/>
    </row>
    <row r="106" spans="1:27" x14ac:dyDescent="0.35">
      <c r="A106" s="102">
        <v>45000</v>
      </c>
      <c r="B106" s="102">
        <v>45000</v>
      </c>
      <c r="C106" t="s">
        <v>1131</v>
      </c>
      <c r="F106" t="s">
        <v>218</v>
      </c>
      <c r="G106" t="s">
        <v>1199</v>
      </c>
      <c r="H106" t="s">
        <v>519</v>
      </c>
      <c r="I106" t="s">
        <v>519</v>
      </c>
      <c r="J106" t="s">
        <v>1196</v>
      </c>
      <c r="L106" t="s">
        <v>88</v>
      </c>
      <c r="M106" t="s">
        <v>70</v>
      </c>
      <c r="N106" t="s">
        <v>519</v>
      </c>
      <c r="O106" t="s">
        <v>71</v>
      </c>
      <c r="P106" t="s">
        <v>3</v>
      </c>
      <c r="Q106" t="s">
        <v>274</v>
      </c>
      <c r="R106" t="s">
        <v>71</v>
      </c>
      <c r="S106">
        <v>133.77000000000001</v>
      </c>
      <c r="T106" t="s">
        <v>1156</v>
      </c>
      <c r="U106">
        <v>1379.2860000000001</v>
      </c>
      <c r="W106" t="s">
        <v>73</v>
      </c>
      <c r="X106" t="s">
        <v>74</v>
      </c>
      <c r="Z106" s="102"/>
      <c r="AA106" s="102"/>
    </row>
    <row r="107" spans="1:27" x14ac:dyDescent="0.35">
      <c r="A107" s="102">
        <v>45078</v>
      </c>
      <c r="B107" s="102">
        <v>45076</v>
      </c>
      <c r="C107" t="s">
        <v>1176</v>
      </c>
      <c r="D107" t="s">
        <v>792</v>
      </c>
      <c r="F107" t="s">
        <v>218</v>
      </c>
      <c r="G107">
        <v>30515</v>
      </c>
      <c r="H107" t="s">
        <v>1189</v>
      </c>
      <c r="I107" t="s">
        <v>1189</v>
      </c>
      <c r="J107">
        <v>1201512017</v>
      </c>
      <c r="K107" t="s">
        <v>1190</v>
      </c>
      <c r="L107" t="s">
        <v>69</v>
      </c>
      <c r="M107" t="s">
        <v>70</v>
      </c>
      <c r="N107" t="s">
        <v>1189</v>
      </c>
      <c r="O107" t="s">
        <v>71</v>
      </c>
      <c r="P107" t="s">
        <v>2</v>
      </c>
      <c r="Q107" t="s">
        <v>143</v>
      </c>
      <c r="R107" t="s">
        <v>71</v>
      </c>
      <c r="S107">
        <v>207.3</v>
      </c>
      <c r="T107" t="s">
        <v>1156</v>
      </c>
      <c r="U107">
        <v>2301.9</v>
      </c>
      <c r="W107" t="s">
        <v>73</v>
      </c>
      <c r="X107" t="s">
        <v>74</v>
      </c>
      <c r="Z107" s="102"/>
      <c r="AA107" s="102"/>
    </row>
    <row r="108" spans="1:27" x14ac:dyDescent="0.35">
      <c r="A108" s="102">
        <v>45090</v>
      </c>
      <c r="B108" s="102">
        <v>45093</v>
      </c>
      <c r="C108" t="s">
        <v>1176</v>
      </c>
      <c r="D108" t="s">
        <v>792</v>
      </c>
      <c r="F108" t="s">
        <v>218</v>
      </c>
      <c r="G108" t="s">
        <v>1188</v>
      </c>
      <c r="H108" t="s">
        <v>1189</v>
      </c>
      <c r="I108" t="s">
        <v>1189</v>
      </c>
      <c r="J108">
        <v>1201512017</v>
      </c>
      <c r="K108" t="s">
        <v>1190</v>
      </c>
      <c r="L108" t="s">
        <v>69</v>
      </c>
      <c r="M108" t="s">
        <v>70</v>
      </c>
      <c r="N108" t="s">
        <v>1189</v>
      </c>
      <c r="O108" t="s">
        <v>71</v>
      </c>
      <c r="P108" t="s">
        <v>3</v>
      </c>
      <c r="Q108" t="s">
        <v>64</v>
      </c>
      <c r="R108" t="s">
        <v>71</v>
      </c>
      <c r="S108">
        <v>59.2</v>
      </c>
      <c r="T108" t="s">
        <v>1156</v>
      </c>
      <c r="U108">
        <v>583.46</v>
      </c>
      <c r="W108" t="s">
        <v>73</v>
      </c>
      <c r="X108" t="s">
        <v>74</v>
      </c>
      <c r="Z108" s="102"/>
      <c r="AA108" s="102"/>
    </row>
    <row r="109" spans="1:27" x14ac:dyDescent="0.35">
      <c r="A109" s="102">
        <v>45092</v>
      </c>
      <c r="B109" s="102">
        <v>45093</v>
      </c>
      <c r="C109" t="s">
        <v>1176</v>
      </c>
      <c r="F109" t="s">
        <v>218</v>
      </c>
      <c r="G109" t="s">
        <v>1177</v>
      </c>
      <c r="H109" t="s">
        <v>1178</v>
      </c>
      <c r="I109" t="s">
        <v>1178</v>
      </c>
      <c r="J109" t="s">
        <v>1166</v>
      </c>
      <c r="K109" t="s">
        <v>1167</v>
      </c>
      <c r="L109" t="s">
        <v>69</v>
      </c>
      <c r="M109" t="s">
        <v>70</v>
      </c>
      <c r="N109" t="s">
        <v>1178</v>
      </c>
      <c r="O109" t="s">
        <v>71</v>
      </c>
      <c r="P109" t="s">
        <v>3</v>
      </c>
      <c r="Q109" t="s">
        <v>64</v>
      </c>
      <c r="R109" t="s">
        <v>71</v>
      </c>
      <c r="S109" t="s">
        <v>1156</v>
      </c>
      <c r="T109" t="s">
        <v>1156</v>
      </c>
      <c r="U109">
        <v>204</v>
      </c>
      <c r="W109" t="s">
        <v>73</v>
      </c>
      <c r="X109" t="s">
        <v>71</v>
      </c>
      <c r="Z109" s="102"/>
      <c r="AA109" s="102"/>
    </row>
    <row r="110" spans="1:27" x14ac:dyDescent="0.35">
      <c r="A110" s="102">
        <v>45092</v>
      </c>
      <c r="B110" s="102">
        <v>45090</v>
      </c>
      <c r="C110" t="s">
        <v>1176</v>
      </c>
      <c r="D110" t="s">
        <v>792</v>
      </c>
      <c r="F110" t="s">
        <v>218</v>
      </c>
      <c r="G110" t="s">
        <v>1179</v>
      </c>
      <c r="H110" t="s">
        <v>1180</v>
      </c>
      <c r="I110" t="s">
        <v>1181</v>
      </c>
      <c r="J110" t="s">
        <v>1182</v>
      </c>
      <c r="K110" t="s">
        <v>1183</v>
      </c>
      <c r="L110" t="s">
        <v>88</v>
      </c>
      <c r="M110" t="s">
        <v>70</v>
      </c>
      <c r="N110" t="s">
        <v>1180</v>
      </c>
      <c r="O110" t="s">
        <v>71</v>
      </c>
      <c r="P110" t="s">
        <v>3</v>
      </c>
      <c r="Q110" t="s">
        <v>274</v>
      </c>
      <c r="R110" t="s">
        <v>71</v>
      </c>
      <c r="S110" t="s">
        <v>1156</v>
      </c>
      <c r="T110" t="s">
        <v>1156</v>
      </c>
      <c r="U110">
        <v>3521</v>
      </c>
      <c r="W110" t="s">
        <v>73</v>
      </c>
      <c r="X110" t="s">
        <v>71</v>
      </c>
      <c r="Z110" s="102"/>
      <c r="AA110" s="102"/>
    </row>
    <row r="111" spans="1:27" x14ac:dyDescent="0.35">
      <c r="A111" s="102">
        <v>45118</v>
      </c>
      <c r="B111" s="102">
        <v>45117</v>
      </c>
      <c r="C111" t="s">
        <v>1151</v>
      </c>
      <c r="F111" t="s">
        <v>218</v>
      </c>
      <c r="G111">
        <v>30751</v>
      </c>
      <c r="H111" t="s">
        <v>1165</v>
      </c>
      <c r="I111" t="s">
        <v>1165</v>
      </c>
      <c r="J111" t="s">
        <v>1166</v>
      </c>
      <c r="K111" t="s">
        <v>1167</v>
      </c>
      <c r="L111" t="s">
        <v>69</v>
      </c>
      <c r="M111" t="s">
        <v>70</v>
      </c>
      <c r="N111" t="s">
        <v>1165</v>
      </c>
      <c r="O111" t="s">
        <v>71</v>
      </c>
      <c r="P111" t="s">
        <v>2</v>
      </c>
      <c r="Q111" t="s">
        <v>143</v>
      </c>
      <c r="R111" t="s">
        <v>71</v>
      </c>
      <c r="S111">
        <v>95.95</v>
      </c>
      <c r="T111" t="s">
        <v>1156</v>
      </c>
      <c r="U111">
        <v>1065.4469999999999</v>
      </c>
      <c r="W111" t="s">
        <v>136</v>
      </c>
      <c r="X111" t="s">
        <v>74</v>
      </c>
      <c r="Z111" s="102"/>
      <c r="AA111" s="102"/>
    </row>
    <row r="112" spans="1:27" x14ac:dyDescent="0.35">
      <c r="A112" s="102">
        <v>45118</v>
      </c>
      <c r="B112" s="102">
        <v>45117</v>
      </c>
      <c r="C112" t="s">
        <v>1151</v>
      </c>
      <c r="F112" t="s">
        <v>218</v>
      </c>
      <c r="H112" t="s">
        <v>1168</v>
      </c>
      <c r="I112" t="s">
        <v>1168</v>
      </c>
      <c r="J112" t="s">
        <v>1169</v>
      </c>
      <c r="K112" t="s">
        <v>1170</v>
      </c>
      <c r="L112" t="s">
        <v>88</v>
      </c>
      <c r="M112" t="s">
        <v>70</v>
      </c>
      <c r="N112" t="s">
        <v>1171</v>
      </c>
      <c r="O112" t="s">
        <v>71</v>
      </c>
      <c r="P112" t="s">
        <v>2</v>
      </c>
      <c r="Q112" t="s">
        <v>1172</v>
      </c>
      <c r="R112" t="s">
        <v>71</v>
      </c>
      <c r="S112">
        <v>339.39</v>
      </c>
      <c r="T112" t="s">
        <v>1156</v>
      </c>
      <c r="U112">
        <v>3768.6350000000002</v>
      </c>
      <c r="W112" t="s">
        <v>136</v>
      </c>
      <c r="Z112" s="102"/>
      <c r="AA112" s="102"/>
    </row>
    <row r="113" spans="1:27" x14ac:dyDescent="0.35">
      <c r="A113" s="102">
        <v>45132</v>
      </c>
      <c r="B113" s="102">
        <v>45131</v>
      </c>
      <c r="C113" t="s">
        <v>1151</v>
      </c>
      <c r="D113" t="s">
        <v>51</v>
      </c>
      <c r="F113" t="s">
        <v>218</v>
      </c>
      <c r="G113">
        <v>4173591</v>
      </c>
      <c r="H113" t="s">
        <v>1152</v>
      </c>
      <c r="I113" t="s">
        <v>68</v>
      </c>
      <c r="J113" t="s">
        <v>1155</v>
      </c>
      <c r="K113" t="s">
        <v>1154</v>
      </c>
      <c r="L113" t="s">
        <v>69</v>
      </c>
      <c r="M113" t="s">
        <v>70</v>
      </c>
      <c r="N113" t="s">
        <v>1152</v>
      </c>
      <c r="O113" t="s">
        <v>71</v>
      </c>
      <c r="P113" t="s">
        <v>1138</v>
      </c>
      <c r="Q113" t="s">
        <v>122</v>
      </c>
      <c r="R113" t="s">
        <v>71</v>
      </c>
      <c r="S113">
        <v>70.98</v>
      </c>
      <c r="T113" t="s">
        <v>1156</v>
      </c>
      <c r="U113">
        <v>847.56</v>
      </c>
      <c r="W113" t="s">
        <v>73</v>
      </c>
      <c r="X113" t="s">
        <v>74</v>
      </c>
      <c r="Z113" s="102"/>
      <c r="AA113" s="102"/>
    </row>
    <row r="114" spans="1:27" x14ac:dyDescent="0.35">
      <c r="A114" s="102">
        <v>45132</v>
      </c>
      <c r="B114" s="102">
        <v>45128</v>
      </c>
      <c r="C114" t="s">
        <v>1151</v>
      </c>
      <c r="D114" t="s">
        <v>51</v>
      </c>
      <c r="F114" t="s">
        <v>218</v>
      </c>
      <c r="G114">
        <v>4173516</v>
      </c>
      <c r="H114" t="s">
        <v>1143</v>
      </c>
      <c r="I114" t="s">
        <v>28</v>
      </c>
      <c r="J114">
        <v>1309139200</v>
      </c>
      <c r="K114" t="s">
        <v>1160</v>
      </c>
      <c r="L114" t="s">
        <v>69</v>
      </c>
      <c r="M114" t="s">
        <v>70</v>
      </c>
      <c r="N114" t="s">
        <v>1143</v>
      </c>
      <c r="O114" t="s">
        <v>71</v>
      </c>
      <c r="P114" t="s">
        <v>1138</v>
      </c>
      <c r="Q114" t="s">
        <v>1161</v>
      </c>
      <c r="R114" t="s">
        <v>71</v>
      </c>
      <c r="S114">
        <v>479.84</v>
      </c>
      <c r="T114" t="s">
        <v>1156</v>
      </c>
      <c r="U114">
        <v>6130.32</v>
      </c>
      <c r="W114" t="s">
        <v>73</v>
      </c>
      <c r="X114" t="s">
        <v>74</v>
      </c>
      <c r="Z114" s="102"/>
      <c r="AA114" s="102"/>
    </row>
    <row r="115" spans="1:27" x14ac:dyDescent="0.35">
      <c r="A115" s="102">
        <v>45137</v>
      </c>
      <c r="C115" t="s">
        <v>1151</v>
      </c>
      <c r="D115" t="s">
        <v>51</v>
      </c>
      <c r="F115" t="s">
        <v>218</v>
      </c>
      <c r="H115" t="s">
        <v>1152</v>
      </c>
      <c r="I115" t="s">
        <v>68</v>
      </c>
      <c r="J115" t="s">
        <v>1153</v>
      </c>
      <c r="K115" t="s">
        <v>1154</v>
      </c>
      <c r="L115" t="s">
        <v>69</v>
      </c>
      <c r="M115" t="s">
        <v>70</v>
      </c>
      <c r="N115" t="s">
        <v>1152</v>
      </c>
      <c r="O115" t="s">
        <v>71</v>
      </c>
      <c r="P115" t="s">
        <v>2</v>
      </c>
      <c r="Q115" t="s">
        <v>143</v>
      </c>
      <c r="R115" t="s">
        <v>71</v>
      </c>
      <c r="S115">
        <v>215.63</v>
      </c>
      <c r="U115">
        <v>2406.2491281908219</v>
      </c>
      <c r="W115" t="s">
        <v>136</v>
      </c>
      <c r="X115" t="s">
        <v>71</v>
      </c>
      <c r="Z115" s="102"/>
      <c r="AA115" s="102"/>
    </row>
    <row r="116" spans="1:27" x14ac:dyDescent="0.35">
      <c r="A116" s="102">
        <v>45154</v>
      </c>
      <c r="B116" s="102">
        <v>45170</v>
      </c>
      <c r="C116" t="s">
        <v>1144</v>
      </c>
      <c r="D116" t="s">
        <v>51</v>
      </c>
      <c r="F116" t="s">
        <v>218</v>
      </c>
      <c r="G116">
        <v>15554</v>
      </c>
      <c r="H116" t="s">
        <v>1145</v>
      </c>
      <c r="I116" t="s">
        <v>28</v>
      </c>
      <c r="J116">
        <v>907771281</v>
      </c>
      <c r="K116">
        <v>999536803</v>
      </c>
      <c r="L116" t="s">
        <v>88</v>
      </c>
      <c r="M116" t="s">
        <v>108</v>
      </c>
      <c r="N116" t="s">
        <v>1145</v>
      </c>
      <c r="O116" t="s">
        <v>71</v>
      </c>
      <c r="P116" t="s">
        <v>5</v>
      </c>
      <c r="Q116" t="s">
        <v>1146</v>
      </c>
      <c r="R116" t="s">
        <v>71</v>
      </c>
      <c r="S116">
        <v>500.13</v>
      </c>
      <c r="U116">
        <v>5971.7014925373132</v>
      </c>
      <c r="W116" t="s">
        <v>73</v>
      </c>
      <c r="X116" t="s">
        <v>71</v>
      </c>
      <c r="Z116" s="102"/>
      <c r="AA116" s="102"/>
    </row>
    <row r="117" spans="1:27" x14ac:dyDescent="0.35">
      <c r="A117" s="102">
        <v>45257</v>
      </c>
      <c r="C117" t="s">
        <v>1141</v>
      </c>
      <c r="D117" t="s">
        <v>51</v>
      </c>
      <c r="F117" t="s">
        <v>218</v>
      </c>
      <c r="G117">
        <v>4181091</v>
      </c>
      <c r="H117" t="s">
        <v>685</v>
      </c>
      <c r="I117" t="s">
        <v>208</v>
      </c>
      <c r="J117">
        <v>915232060</v>
      </c>
      <c r="K117">
        <v>987271967</v>
      </c>
      <c r="L117" t="s">
        <v>88</v>
      </c>
      <c r="M117" t="s">
        <v>70</v>
      </c>
      <c r="N117" t="s">
        <v>685</v>
      </c>
      <c r="O117" t="s">
        <v>71</v>
      </c>
      <c r="P117" t="s">
        <v>1138</v>
      </c>
      <c r="Q117" t="s">
        <v>1142</v>
      </c>
      <c r="R117" t="s">
        <v>74</v>
      </c>
      <c r="S117">
        <v>760.26</v>
      </c>
      <c r="U117">
        <v>9077.7313432835817</v>
      </c>
      <c r="Z117" s="102"/>
      <c r="AA117" s="102"/>
    </row>
    <row r="118" spans="1:27" x14ac:dyDescent="0.35">
      <c r="A118" s="102">
        <v>45257</v>
      </c>
      <c r="C118" t="s">
        <v>1141</v>
      </c>
      <c r="D118" t="s">
        <v>51</v>
      </c>
      <c r="F118" t="s">
        <v>218</v>
      </c>
      <c r="H118" t="s">
        <v>1143</v>
      </c>
      <c r="P118" t="s">
        <v>455</v>
      </c>
      <c r="S118">
        <v>332.95</v>
      </c>
      <c r="U118">
        <v>3841.7307692307686</v>
      </c>
      <c r="Z118" s="102"/>
      <c r="AA118" s="102"/>
    </row>
    <row r="119" spans="1:27" x14ac:dyDescent="0.35">
      <c r="A119" s="102">
        <v>45275</v>
      </c>
      <c r="B119" s="102">
        <v>45275</v>
      </c>
      <c r="C119" t="s">
        <v>1133</v>
      </c>
      <c r="D119" t="s">
        <v>51</v>
      </c>
      <c r="F119" t="s">
        <v>218</v>
      </c>
      <c r="G119">
        <v>15772</v>
      </c>
      <c r="H119" t="s">
        <v>1139</v>
      </c>
      <c r="I119" t="s">
        <v>28</v>
      </c>
      <c r="J119">
        <v>1707990907</v>
      </c>
      <c r="K119">
        <v>994909846</v>
      </c>
      <c r="L119" t="s">
        <v>88</v>
      </c>
      <c r="M119" t="s">
        <v>70</v>
      </c>
      <c r="N119" t="s">
        <v>1140</v>
      </c>
      <c r="O119" t="s">
        <v>71</v>
      </c>
      <c r="P119" t="s">
        <v>5</v>
      </c>
      <c r="Q119" t="s">
        <v>177</v>
      </c>
      <c r="R119" t="s">
        <v>71</v>
      </c>
      <c r="S119">
        <v>281.95999999999998</v>
      </c>
      <c r="U119">
        <v>3366.686567164179</v>
      </c>
      <c r="W119" t="s">
        <v>73</v>
      </c>
      <c r="X119" t="s">
        <v>74</v>
      </c>
      <c r="Z119" s="102"/>
      <c r="AA119" s="102"/>
    </row>
    <row r="120" spans="1:27" x14ac:dyDescent="0.35">
      <c r="A120" s="102">
        <v>45286</v>
      </c>
      <c r="B120" s="102">
        <v>45282</v>
      </c>
      <c r="C120" t="s">
        <v>1133</v>
      </c>
      <c r="D120" t="s">
        <v>51</v>
      </c>
      <c r="F120" t="s">
        <v>218</v>
      </c>
      <c r="G120">
        <v>4182515</v>
      </c>
      <c r="H120" t="s">
        <v>1135</v>
      </c>
      <c r="I120" t="s">
        <v>68</v>
      </c>
      <c r="J120">
        <v>912408119</v>
      </c>
      <c r="K120">
        <v>983355046</v>
      </c>
      <c r="L120" t="s">
        <v>69</v>
      </c>
      <c r="M120" t="s">
        <v>70</v>
      </c>
      <c r="N120" t="s">
        <v>1135</v>
      </c>
      <c r="O120" t="s">
        <v>71</v>
      </c>
      <c r="P120" t="s">
        <v>1138</v>
      </c>
      <c r="Q120" t="s">
        <v>122</v>
      </c>
      <c r="R120" t="s">
        <v>71</v>
      </c>
      <c r="S120">
        <v>80.33</v>
      </c>
      <c r="U120">
        <v>959.16417910447774</v>
      </c>
      <c r="W120" t="s">
        <v>73</v>
      </c>
      <c r="X120" t="s">
        <v>74</v>
      </c>
      <c r="Z120" s="102"/>
      <c r="AA120" s="102"/>
    </row>
    <row r="121" spans="1:27" x14ac:dyDescent="0.35">
      <c r="A121" s="102">
        <v>45287</v>
      </c>
      <c r="C121" t="s">
        <v>1133</v>
      </c>
      <c r="D121" t="s">
        <v>51</v>
      </c>
      <c r="F121" t="s">
        <v>218</v>
      </c>
      <c r="G121">
        <v>15824</v>
      </c>
      <c r="H121" t="s">
        <v>1134</v>
      </c>
      <c r="I121" t="s">
        <v>28</v>
      </c>
      <c r="J121">
        <v>901527432</v>
      </c>
      <c r="K121">
        <v>939405548</v>
      </c>
      <c r="L121" t="s">
        <v>69</v>
      </c>
      <c r="M121" t="s">
        <v>70</v>
      </c>
      <c r="N121" t="s">
        <v>1134</v>
      </c>
      <c r="O121" t="s">
        <v>71</v>
      </c>
      <c r="P121" t="s">
        <v>5</v>
      </c>
      <c r="Q121" t="s">
        <v>177</v>
      </c>
      <c r="R121" t="s">
        <v>71</v>
      </c>
      <c r="S121">
        <v>225.2</v>
      </c>
      <c r="U121">
        <v>2688.9552238805968</v>
      </c>
      <c r="W121" t="s">
        <v>136</v>
      </c>
      <c r="X121" t="s">
        <v>71</v>
      </c>
      <c r="Z121" s="102"/>
      <c r="AA121" s="102"/>
    </row>
    <row r="122" spans="1:27" x14ac:dyDescent="0.35">
      <c r="A122" s="102">
        <v>45287</v>
      </c>
      <c r="C122" t="s">
        <v>1133</v>
      </c>
      <c r="D122" t="s">
        <v>51</v>
      </c>
      <c r="F122" t="s">
        <v>218</v>
      </c>
      <c r="G122">
        <v>15827</v>
      </c>
      <c r="H122" t="s">
        <v>1135</v>
      </c>
      <c r="I122" t="s">
        <v>28</v>
      </c>
      <c r="J122">
        <v>912408119</v>
      </c>
      <c r="K122">
        <v>983355046</v>
      </c>
      <c r="L122" t="s">
        <v>69</v>
      </c>
      <c r="M122" t="s">
        <v>70</v>
      </c>
      <c r="N122" t="s">
        <v>1135</v>
      </c>
      <c r="O122" t="s">
        <v>71</v>
      </c>
      <c r="P122" t="s">
        <v>5</v>
      </c>
      <c r="Q122" t="s">
        <v>169</v>
      </c>
      <c r="R122" t="s">
        <v>71</v>
      </c>
      <c r="S122">
        <v>155.11000000000001</v>
      </c>
      <c r="U122">
        <v>1852.0597014925377</v>
      </c>
      <c r="W122" t="s">
        <v>136</v>
      </c>
      <c r="X122" t="s">
        <v>71</v>
      </c>
      <c r="Z122" s="102"/>
      <c r="AA122" s="102"/>
    </row>
    <row r="123" spans="1:27" x14ac:dyDescent="0.35">
      <c r="A123" s="102">
        <v>45287</v>
      </c>
      <c r="B123" s="102">
        <v>45306</v>
      </c>
      <c r="C123" t="s">
        <v>1133</v>
      </c>
      <c r="D123" t="s">
        <v>51</v>
      </c>
      <c r="F123" t="s">
        <v>218</v>
      </c>
      <c r="G123">
        <v>15813</v>
      </c>
      <c r="H123" t="s">
        <v>1136</v>
      </c>
      <c r="I123" t="s">
        <v>28</v>
      </c>
      <c r="J123">
        <v>924778038</v>
      </c>
      <c r="K123">
        <v>983355048</v>
      </c>
      <c r="L123" t="s">
        <v>168</v>
      </c>
      <c r="M123" t="s">
        <v>70</v>
      </c>
      <c r="N123" t="s">
        <v>1136</v>
      </c>
      <c r="O123" t="s">
        <v>74</v>
      </c>
      <c r="P123" t="s">
        <v>5</v>
      </c>
      <c r="Q123" t="s">
        <v>232</v>
      </c>
      <c r="R123" t="s">
        <v>71</v>
      </c>
      <c r="S123">
        <v>88.85</v>
      </c>
      <c r="U123">
        <v>1060.8955223880596</v>
      </c>
      <c r="W123" t="s">
        <v>73</v>
      </c>
      <c r="X123" t="s">
        <v>74</v>
      </c>
      <c r="Z123" s="102"/>
      <c r="AA123" s="102"/>
    </row>
    <row r="124" spans="1:27" x14ac:dyDescent="0.35">
      <c r="A124" s="102">
        <v>45287</v>
      </c>
      <c r="B124" s="102">
        <v>45306</v>
      </c>
      <c r="C124" t="s">
        <v>1133</v>
      </c>
      <c r="D124" t="s">
        <v>51</v>
      </c>
      <c r="F124" t="s">
        <v>218</v>
      </c>
      <c r="G124">
        <v>15808</v>
      </c>
      <c r="H124" t="s">
        <v>1137</v>
      </c>
      <c r="I124" t="s">
        <v>28</v>
      </c>
      <c r="J124">
        <v>1206474411</v>
      </c>
      <c r="K124">
        <v>991156223</v>
      </c>
      <c r="L124" t="s">
        <v>69</v>
      </c>
      <c r="M124" t="s">
        <v>70</v>
      </c>
      <c r="N124" t="s">
        <v>1137</v>
      </c>
      <c r="O124" t="s">
        <v>71</v>
      </c>
      <c r="P124" t="s">
        <v>5</v>
      </c>
      <c r="Q124" t="s">
        <v>232</v>
      </c>
      <c r="R124" t="s">
        <v>71</v>
      </c>
      <c r="S124">
        <v>94.93</v>
      </c>
      <c r="U124">
        <v>1133.4925373134331</v>
      </c>
      <c r="W124" t="s">
        <v>73</v>
      </c>
      <c r="X124" t="s">
        <v>74</v>
      </c>
      <c r="Z124" s="102"/>
      <c r="AA124" s="102"/>
    </row>
    <row r="125" spans="1:27" x14ac:dyDescent="0.35">
      <c r="A125" s="102">
        <v>45348</v>
      </c>
      <c r="C125" t="s">
        <v>137</v>
      </c>
      <c r="D125" t="s">
        <v>51</v>
      </c>
      <c r="E125" t="s">
        <v>66</v>
      </c>
      <c r="F125" t="s">
        <v>218</v>
      </c>
      <c r="H125" t="s">
        <v>219</v>
      </c>
      <c r="I125" t="s">
        <v>28</v>
      </c>
      <c r="J125">
        <v>942498882</v>
      </c>
      <c r="K125">
        <v>968692621</v>
      </c>
      <c r="L125" t="s">
        <v>69</v>
      </c>
      <c r="M125" t="s">
        <v>70</v>
      </c>
      <c r="N125" t="s">
        <v>219</v>
      </c>
      <c r="O125" t="s">
        <v>71</v>
      </c>
      <c r="P125" t="s">
        <v>2</v>
      </c>
      <c r="Q125" t="s">
        <v>220</v>
      </c>
      <c r="R125" t="s">
        <v>71</v>
      </c>
      <c r="S125">
        <v>228.95</v>
      </c>
      <c r="U125">
        <v>2554.8891058725067</v>
      </c>
      <c r="W125" t="s">
        <v>136</v>
      </c>
      <c r="Y125" t="s">
        <v>71</v>
      </c>
      <c r="Z125" s="102">
        <v>366</v>
      </c>
      <c r="AA125">
        <v>45347</v>
      </c>
    </row>
    <row r="126" spans="1:27" x14ac:dyDescent="0.35">
      <c r="A126" s="102">
        <v>45348</v>
      </c>
      <c r="C126" t="s">
        <v>1132</v>
      </c>
      <c r="D126" t="s">
        <v>51</v>
      </c>
      <c r="F126" t="s">
        <v>218</v>
      </c>
      <c r="H126" t="s">
        <v>219</v>
      </c>
      <c r="I126" t="s">
        <v>28</v>
      </c>
      <c r="J126">
        <v>942498882</v>
      </c>
      <c r="K126">
        <v>968692621</v>
      </c>
      <c r="L126" t="s">
        <v>69</v>
      </c>
      <c r="M126" t="s">
        <v>70</v>
      </c>
      <c r="N126" t="s">
        <v>219</v>
      </c>
      <c r="O126" t="s">
        <v>71</v>
      </c>
      <c r="P126" t="s">
        <v>2</v>
      </c>
      <c r="Q126" t="s">
        <v>220</v>
      </c>
      <c r="R126" t="s">
        <v>71</v>
      </c>
      <c r="S126">
        <v>228.95</v>
      </c>
      <c r="U126">
        <v>2554.8891058725067</v>
      </c>
      <c r="W126" t="s">
        <v>136</v>
      </c>
      <c r="X126" t="s">
        <v>71</v>
      </c>
      <c r="Z126" s="102"/>
      <c r="AA126" s="102"/>
    </row>
    <row r="127" spans="1:27" x14ac:dyDescent="0.35">
      <c r="A127" s="102">
        <v>45363</v>
      </c>
      <c r="C127" t="s">
        <v>242</v>
      </c>
      <c r="D127" t="s">
        <v>51</v>
      </c>
      <c r="E127" t="s">
        <v>66</v>
      </c>
      <c r="F127" t="s">
        <v>218</v>
      </c>
      <c r="H127" t="s">
        <v>293</v>
      </c>
      <c r="I127" t="s">
        <v>294</v>
      </c>
      <c r="J127">
        <v>915236996</v>
      </c>
      <c r="K127">
        <v>998159181</v>
      </c>
      <c r="L127" t="s">
        <v>88</v>
      </c>
      <c r="M127" t="s">
        <v>70</v>
      </c>
      <c r="N127" t="s">
        <v>293</v>
      </c>
      <c r="O127" t="s">
        <v>71</v>
      </c>
      <c r="P127" t="s">
        <v>5</v>
      </c>
      <c r="Q127" t="s">
        <v>295</v>
      </c>
      <c r="R127" t="s">
        <v>71</v>
      </c>
      <c r="S127">
        <v>205.02</v>
      </c>
      <c r="U127">
        <v>2448.0000000000005</v>
      </c>
      <c r="W127" t="s">
        <v>136</v>
      </c>
      <c r="Y127" t="s">
        <v>71</v>
      </c>
      <c r="Z127" s="102">
        <v>366</v>
      </c>
      <c r="AA127">
        <v>45347</v>
      </c>
    </row>
    <row r="128" spans="1:27" x14ac:dyDescent="0.35">
      <c r="A128" s="102">
        <v>45363</v>
      </c>
      <c r="C128" t="s">
        <v>1131</v>
      </c>
      <c r="D128" t="s">
        <v>51</v>
      </c>
      <c r="F128" t="s">
        <v>218</v>
      </c>
      <c r="H128" t="s">
        <v>293</v>
      </c>
      <c r="I128" t="s">
        <v>294</v>
      </c>
      <c r="J128">
        <v>915236996</v>
      </c>
      <c r="K128">
        <v>998159181</v>
      </c>
      <c r="L128" t="s">
        <v>88</v>
      </c>
      <c r="M128" t="s">
        <v>70</v>
      </c>
      <c r="N128" t="s">
        <v>293</v>
      </c>
      <c r="O128" t="s">
        <v>71</v>
      </c>
      <c r="P128" t="s">
        <v>5</v>
      </c>
      <c r="Q128" t="s">
        <v>295</v>
      </c>
      <c r="R128" t="s">
        <v>71</v>
      </c>
      <c r="S128">
        <v>205.02</v>
      </c>
      <c r="U128">
        <v>2448.0000000000005</v>
      </c>
      <c r="W128" t="s">
        <v>136</v>
      </c>
      <c r="X128" t="s">
        <v>71</v>
      </c>
      <c r="Z128" s="102"/>
      <c r="AA128" s="102"/>
    </row>
    <row r="129" spans="1:27" x14ac:dyDescent="0.35">
      <c r="A129" s="102">
        <v>45372</v>
      </c>
      <c r="C129" t="s">
        <v>242</v>
      </c>
      <c r="D129" t="s">
        <v>51</v>
      </c>
      <c r="E129" t="s">
        <v>66</v>
      </c>
      <c r="F129" t="s">
        <v>218</v>
      </c>
      <c r="H129" t="s">
        <v>333</v>
      </c>
      <c r="I129" t="s">
        <v>87</v>
      </c>
      <c r="J129">
        <v>917757973</v>
      </c>
      <c r="K129">
        <v>979463131</v>
      </c>
      <c r="L129" t="s">
        <v>88</v>
      </c>
      <c r="M129" t="s">
        <v>70</v>
      </c>
      <c r="N129" t="s">
        <v>333</v>
      </c>
      <c r="O129" t="s">
        <v>71</v>
      </c>
      <c r="P129" t="s">
        <v>5</v>
      </c>
      <c r="Q129" t="s">
        <v>232</v>
      </c>
      <c r="R129" t="s">
        <v>71</v>
      </c>
      <c r="S129">
        <v>168.51</v>
      </c>
      <c r="U129">
        <v>2012.0597014925374</v>
      </c>
      <c r="W129" t="s">
        <v>136</v>
      </c>
      <c r="Y129" t="s">
        <v>71</v>
      </c>
      <c r="Z129" s="102">
        <v>366</v>
      </c>
      <c r="AA129">
        <v>45347</v>
      </c>
    </row>
    <row r="130" spans="1:27" x14ac:dyDescent="0.35">
      <c r="A130" s="102">
        <v>45372</v>
      </c>
      <c r="C130" t="s">
        <v>242</v>
      </c>
      <c r="D130" t="s">
        <v>51</v>
      </c>
      <c r="E130" t="s">
        <v>66</v>
      </c>
      <c r="F130" t="s">
        <v>218</v>
      </c>
      <c r="H130" t="s">
        <v>332</v>
      </c>
      <c r="I130" t="s">
        <v>28</v>
      </c>
      <c r="J130">
        <v>921846901</v>
      </c>
      <c r="K130">
        <v>983341038</v>
      </c>
      <c r="L130" t="s">
        <v>88</v>
      </c>
      <c r="M130" t="s">
        <v>70</v>
      </c>
      <c r="N130" t="s">
        <v>332</v>
      </c>
      <c r="O130" t="s">
        <v>71</v>
      </c>
      <c r="P130" t="s">
        <v>5</v>
      </c>
      <c r="Q130" t="s">
        <v>169</v>
      </c>
      <c r="R130" t="s">
        <v>71</v>
      </c>
      <c r="S130">
        <v>78.98</v>
      </c>
      <c r="U130">
        <v>943.04477611940308</v>
      </c>
      <c r="W130" t="s">
        <v>136</v>
      </c>
      <c r="Y130" t="s">
        <v>71</v>
      </c>
      <c r="Z130" s="102">
        <v>366</v>
      </c>
      <c r="AA130">
        <v>45347</v>
      </c>
    </row>
    <row r="131" spans="1:27" x14ac:dyDescent="0.35">
      <c r="A131" s="102">
        <v>45372</v>
      </c>
      <c r="C131" t="s">
        <v>1131</v>
      </c>
      <c r="D131" t="s">
        <v>51</v>
      </c>
      <c r="F131" t="s">
        <v>218</v>
      </c>
      <c r="H131" t="s">
        <v>333</v>
      </c>
      <c r="I131" t="s">
        <v>87</v>
      </c>
      <c r="J131">
        <v>917757973</v>
      </c>
      <c r="K131">
        <v>979463131</v>
      </c>
      <c r="L131" t="s">
        <v>88</v>
      </c>
      <c r="M131" t="s">
        <v>70</v>
      </c>
      <c r="N131" t="s">
        <v>333</v>
      </c>
      <c r="O131" t="s">
        <v>71</v>
      </c>
      <c r="P131" t="s">
        <v>5</v>
      </c>
      <c r="Q131" t="s">
        <v>232</v>
      </c>
      <c r="R131" t="s">
        <v>71</v>
      </c>
      <c r="S131">
        <v>168.51</v>
      </c>
      <c r="U131">
        <v>2012.0597014925374</v>
      </c>
      <c r="W131" t="s">
        <v>136</v>
      </c>
      <c r="X131" t="s">
        <v>71</v>
      </c>
      <c r="Z131" s="102"/>
      <c r="AA131" s="102"/>
    </row>
    <row r="132" spans="1:27" x14ac:dyDescent="0.35">
      <c r="A132" s="102">
        <v>45372</v>
      </c>
      <c r="C132" t="s">
        <v>1131</v>
      </c>
      <c r="D132" t="s">
        <v>51</v>
      </c>
      <c r="F132" t="s">
        <v>218</v>
      </c>
      <c r="H132" t="s">
        <v>332</v>
      </c>
      <c r="I132" t="s">
        <v>28</v>
      </c>
      <c r="J132">
        <v>921846901</v>
      </c>
      <c r="K132">
        <v>983341038</v>
      </c>
      <c r="L132" t="s">
        <v>88</v>
      </c>
      <c r="M132" t="s">
        <v>70</v>
      </c>
      <c r="N132" t="s">
        <v>332</v>
      </c>
      <c r="O132" t="s">
        <v>71</v>
      </c>
      <c r="P132" t="s">
        <v>5</v>
      </c>
      <c r="Q132" t="s">
        <v>169</v>
      </c>
      <c r="R132" t="s">
        <v>71</v>
      </c>
      <c r="S132">
        <v>78.98</v>
      </c>
      <c r="U132">
        <v>943.04477611940308</v>
      </c>
      <c r="W132" t="s">
        <v>136</v>
      </c>
      <c r="X132" t="s">
        <v>71</v>
      </c>
      <c r="Z132" s="102"/>
      <c r="AA132" s="102"/>
    </row>
    <row r="133" spans="1:27" x14ac:dyDescent="0.35">
      <c r="A133" s="102">
        <v>45379</v>
      </c>
      <c r="C133" t="s">
        <v>242</v>
      </c>
      <c r="D133" t="s">
        <v>51</v>
      </c>
      <c r="E133" t="s">
        <v>66</v>
      </c>
      <c r="F133" t="s">
        <v>218</v>
      </c>
      <c r="H133" t="s">
        <v>362</v>
      </c>
      <c r="I133" t="s">
        <v>68</v>
      </c>
      <c r="J133">
        <v>906265087</v>
      </c>
      <c r="K133">
        <v>939566499</v>
      </c>
      <c r="L133" t="s">
        <v>69</v>
      </c>
      <c r="M133" t="s">
        <v>70</v>
      </c>
      <c r="N133" t="s">
        <v>362</v>
      </c>
      <c r="O133" t="s">
        <v>71</v>
      </c>
      <c r="P133" t="s">
        <v>2</v>
      </c>
      <c r="Q133" t="s">
        <v>200</v>
      </c>
      <c r="R133" t="s">
        <v>71</v>
      </c>
      <c r="S133">
        <v>78.61</v>
      </c>
      <c r="U133">
        <v>877.22136978658102</v>
      </c>
      <c r="W133" t="s">
        <v>136</v>
      </c>
      <c r="Y133" t="s">
        <v>71</v>
      </c>
      <c r="Z133" s="102">
        <v>366</v>
      </c>
      <c r="AA133">
        <v>45347</v>
      </c>
    </row>
    <row r="134" spans="1:27" x14ac:dyDescent="0.35">
      <c r="A134" s="102">
        <v>45397</v>
      </c>
      <c r="C134" t="s">
        <v>185</v>
      </c>
      <c r="D134" t="s">
        <v>51</v>
      </c>
      <c r="E134" t="s">
        <v>66</v>
      </c>
      <c r="F134" t="s">
        <v>218</v>
      </c>
      <c r="H134" t="s">
        <v>418</v>
      </c>
      <c r="I134" t="s">
        <v>28</v>
      </c>
      <c r="J134">
        <v>903477420</v>
      </c>
      <c r="K134">
        <v>997721266</v>
      </c>
      <c r="L134" t="s">
        <v>88</v>
      </c>
      <c r="M134" t="s">
        <v>70</v>
      </c>
      <c r="N134" t="s">
        <v>418</v>
      </c>
      <c r="O134" t="s">
        <v>71</v>
      </c>
      <c r="P134" t="s">
        <v>5</v>
      </c>
      <c r="Q134" t="s">
        <v>232</v>
      </c>
      <c r="S134">
        <v>440.41</v>
      </c>
      <c r="U134">
        <v>5258.626865671642</v>
      </c>
      <c r="W134" t="s">
        <v>136</v>
      </c>
      <c r="Y134" t="s">
        <v>71</v>
      </c>
      <c r="Z134" s="102">
        <v>366</v>
      </c>
      <c r="AA134">
        <v>45347</v>
      </c>
    </row>
    <row r="135" spans="1:27" x14ac:dyDescent="0.35">
      <c r="A135" s="102">
        <v>45397</v>
      </c>
      <c r="C135" t="s">
        <v>185</v>
      </c>
      <c r="D135" t="s">
        <v>51</v>
      </c>
      <c r="E135" t="s">
        <v>66</v>
      </c>
      <c r="F135" t="s">
        <v>218</v>
      </c>
      <c r="H135" t="s">
        <v>416</v>
      </c>
      <c r="I135" t="s">
        <v>28</v>
      </c>
      <c r="J135">
        <v>912634854</v>
      </c>
      <c r="K135">
        <v>987383545</v>
      </c>
      <c r="L135" t="s">
        <v>88</v>
      </c>
      <c r="M135" t="s">
        <v>70</v>
      </c>
      <c r="N135" t="s">
        <v>417</v>
      </c>
      <c r="O135" t="s">
        <v>71</v>
      </c>
      <c r="P135" t="s">
        <v>5</v>
      </c>
      <c r="Q135" t="s">
        <v>295</v>
      </c>
      <c r="R135" t="s">
        <v>71</v>
      </c>
      <c r="S135">
        <v>194.66</v>
      </c>
      <c r="U135">
        <v>2324.2985074626868</v>
      </c>
      <c r="W135" t="s">
        <v>136</v>
      </c>
      <c r="Y135" t="s">
        <v>71</v>
      </c>
      <c r="Z135" s="102">
        <v>366</v>
      </c>
      <c r="AA135">
        <v>45347</v>
      </c>
    </row>
    <row r="136" spans="1:27" x14ac:dyDescent="0.35">
      <c r="A136" s="102">
        <v>45400</v>
      </c>
      <c r="C136" t="s">
        <v>185</v>
      </c>
      <c r="D136" t="s">
        <v>51</v>
      </c>
      <c r="E136" t="s">
        <v>66</v>
      </c>
      <c r="F136" t="s">
        <v>218</v>
      </c>
      <c r="H136" t="s">
        <v>425</v>
      </c>
      <c r="I136" t="s">
        <v>28</v>
      </c>
      <c r="J136">
        <v>923236293</v>
      </c>
      <c r="K136">
        <v>980025324</v>
      </c>
      <c r="L136" t="s">
        <v>88</v>
      </c>
      <c r="M136" t="s">
        <v>70</v>
      </c>
      <c r="N136" t="s">
        <v>425</v>
      </c>
      <c r="O136" t="s">
        <v>426</v>
      </c>
      <c r="P136" t="s">
        <v>6</v>
      </c>
      <c r="Q136" t="s">
        <v>122</v>
      </c>
      <c r="S136">
        <v>204.71</v>
      </c>
      <c r="U136">
        <v>2456.52</v>
      </c>
      <c r="W136" t="s">
        <v>136</v>
      </c>
      <c r="Y136" t="s">
        <v>71</v>
      </c>
      <c r="Z136" s="102">
        <v>366</v>
      </c>
      <c r="AA136">
        <v>45347</v>
      </c>
    </row>
    <row r="137" spans="1:27" x14ac:dyDescent="0.35">
      <c r="A137" s="102">
        <v>45402</v>
      </c>
      <c r="C137" t="s">
        <v>185</v>
      </c>
      <c r="D137" t="s">
        <v>51</v>
      </c>
      <c r="E137" t="s">
        <v>66</v>
      </c>
      <c r="F137" t="s">
        <v>218</v>
      </c>
      <c r="H137" t="s">
        <v>428</v>
      </c>
      <c r="I137" t="s">
        <v>121</v>
      </c>
      <c r="J137">
        <v>921897039</v>
      </c>
      <c r="K137">
        <v>979029020</v>
      </c>
      <c r="L137" t="s">
        <v>88</v>
      </c>
      <c r="M137" t="s">
        <v>70</v>
      </c>
      <c r="N137" t="s">
        <v>429</v>
      </c>
      <c r="O137" t="s">
        <v>71</v>
      </c>
      <c r="P137" t="s">
        <v>5</v>
      </c>
      <c r="Q137" t="s">
        <v>232</v>
      </c>
      <c r="R137" t="s">
        <v>71</v>
      </c>
      <c r="S137">
        <v>154.84</v>
      </c>
      <c r="U137">
        <v>1848.8358208955226</v>
      </c>
      <c r="W137" t="s">
        <v>136</v>
      </c>
      <c r="Y137" t="s">
        <v>71</v>
      </c>
      <c r="Z137" s="102">
        <v>366</v>
      </c>
      <c r="AA137">
        <v>45347</v>
      </c>
    </row>
    <row r="138" spans="1:27" x14ac:dyDescent="0.35">
      <c r="A138" s="102">
        <v>45408</v>
      </c>
      <c r="C138" t="s">
        <v>185</v>
      </c>
      <c r="D138" t="s">
        <v>51</v>
      </c>
      <c r="E138" t="s">
        <v>66</v>
      </c>
      <c r="F138" t="s">
        <v>218</v>
      </c>
      <c r="H138" t="s">
        <v>445</v>
      </c>
      <c r="L138" t="s">
        <v>88</v>
      </c>
      <c r="M138" t="s">
        <v>70</v>
      </c>
      <c r="O138" t="s">
        <v>71</v>
      </c>
      <c r="P138" t="s">
        <v>3</v>
      </c>
      <c r="Q138" t="s">
        <v>64</v>
      </c>
      <c r="S138">
        <v>49.052500000000002</v>
      </c>
      <c r="U138">
        <v>520.70149253731347</v>
      </c>
      <c r="W138" t="s">
        <v>136</v>
      </c>
      <c r="Y138" t="s">
        <v>71</v>
      </c>
      <c r="Z138" s="102">
        <v>366</v>
      </c>
      <c r="AA138">
        <v>45347</v>
      </c>
    </row>
    <row r="139" spans="1:27" x14ac:dyDescent="0.35">
      <c r="A139" s="102">
        <v>45408</v>
      </c>
      <c r="C139" t="s">
        <v>185</v>
      </c>
      <c r="D139" t="s">
        <v>51</v>
      </c>
      <c r="E139" t="s">
        <v>66</v>
      </c>
      <c r="F139" t="s">
        <v>218</v>
      </c>
      <c r="H139" t="s">
        <v>293</v>
      </c>
      <c r="L139" t="s">
        <v>88</v>
      </c>
      <c r="M139" t="s">
        <v>70</v>
      </c>
      <c r="O139" t="s">
        <v>71</v>
      </c>
      <c r="P139" t="s">
        <v>3</v>
      </c>
      <c r="Q139" t="s">
        <v>64</v>
      </c>
      <c r="S139">
        <v>49.514166666666661</v>
      </c>
      <c r="U139">
        <v>526.21393034825871</v>
      </c>
      <c r="W139" t="s">
        <v>136</v>
      </c>
      <c r="Y139" t="s">
        <v>71</v>
      </c>
      <c r="Z139" s="102">
        <v>366</v>
      </c>
      <c r="AA139">
        <v>45347</v>
      </c>
    </row>
    <row r="140" spans="1:27" x14ac:dyDescent="0.35">
      <c r="A140" s="102">
        <v>45443</v>
      </c>
      <c r="C140" t="s">
        <v>453</v>
      </c>
      <c r="D140" t="s">
        <v>51</v>
      </c>
      <c r="E140" t="s">
        <v>66</v>
      </c>
      <c r="F140" t="s">
        <v>218</v>
      </c>
      <c r="H140" t="s">
        <v>526</v>
      </c>
      <c r="P140" t="s">
        <v>5</v>
      </c>
      <c r="Q140" t="s">
        <v>295</v>
      </c>
      <c r="S140">
        <v>354.21</v>
      </c>
      <c r="U140">
        <v>4229.373134328358</v>
      </c>
      <c r="W140" t="s">
        <v>136</v>
      </c>
      <c r="Y140" t="s">
        <v>71</v>
      </c>
      <c r="Z140" s="102">
        <v>366</v>
      </c>
    </row>
    <row r="141" spans="1:27" x14ac:dyDescent="0.35">
      <c r="A141" s="102">
        <v>45443</v>
      </c>
      <c r="C141" t="s">
        <v>453</v>
      </c>
      <c r="D141" t="s">
        <v>51</v>
      </c>
      <c r="E141" t="s">
        <v>66</v>
      </c>
      <c r="F141" t="s">
        <v>218</v>
      </c>
      <c r="H141" t="s">
        <v>517</v>
      </c>
      <c r="I141" t="s">
        <v>520</v>
      </c>
      <c r="P141" t="s">
        <v>2</v>
      </c>
      <c r="Q141" t="s">
        <v>220</v>
      </c>
      <c r="S141">
        <v>146.99</v>
      </c>
      <c r="U141">
        <v>1640.2845585158323</v>
      </c>
      <c r="W141" t="s">
        <v>136</v>
      </c>
      <c r="Y141" t="s">
        <v>71</v>
      </c>
      <c r="Z141" s="102">
        <v>366</v>
      </c>
    </row>
    <row r="142" spans="1:27" x14ac:dyDescent="0.35">
      <c r="A142" s="102">
        <v>45443</v>
      </c>
      <c r="C142" t="s">
        <v>453</v>
      </c>
      <c r="D142" t="s">
        <v>51</v>
      </c>
      <c r="E142" t="s">
        <v>66</v>
      </c>
      <c r="F142" t="s">
        <v>218</v>
      </c>
      <c r="H142" t="s">
        <v>517</v>
      </c>
      <c r="I142" t="s">
        <v>519</v>
      </c>
      <c r="P142" t="s">
        <v>2</v>
      </c>
      <c r="Q142" t="s">
        <v>358</v>
      </c>
      <c r="S142">
        <v>20.36</v>
      </c>
      <c r="U142">
        <v>227.20044636629936</v>
      </c>
      <c r="W142" t="s">
        <v>136</v>
      </c>
      <c r="Y142" t="s">
        <v>71</v>
      </c>
      <c r="Z142" s="102">
        <v>366</v>
      </c>
    </row>
    <row r="143" spans="1:27" x14ac:dyDescent="0.35">
      <c r="A143" s="102">
        <v>45443</v>
      </c>
      <c r="C143" t="s">
        <v>453</v>
      </c>
      <c r="D143" t="s">
        <v>51</v>
      </c>
      <c r="E143" t="s">
        <v>66</v>
      </c>
      <c r="F143" t="s">
        <v>218</v>
      </c>
      <c r="H143" t="s">
        <v>219</v>
      </c>
      <c r="I143" t="s">
        <v>518</v>
      </c>
      <c r="P143" t="s">
        <v>2</v>
      </c>
      <c r="Q143" t="s">
        <v>143</v>
      </c>
      <c r="S143">
        <v>100.66</v>
      </c>
      <c r="U143">
        <v>1123.2807923001815</v>
      </c>
      <c r="W143" t="s">
        <v>136</v>
      </c>
      <c r="Y143" t="s">
        <v>71</v>
      </c>
      <c r="Z143" s="102">
        <v>366</v>
      </c>
    </row>
    <row r="144" spans="1:27" x14ac:dyDescent="0.35">
      <c r="A144" s="102">
        <v>45443</v>
      </c>
      <c r="C144" t="s">
        <v>453</v>
      </c>
      <c r="D144" t="s">
        <v>51</v>
      </c>
      <c r="E144" t="s">
        <v>66</v>
      </c>
      <c r="F144" t="s">
        <v>218</v>
      </c>
      <c r="H144" t="s">
        <v>517</v>
      </c>
      <c r="P144" t="s">
        <v>2</v>
      </c>
      <c r="Q144" t="s">
        <v>358</v>
      </c>
      <c r="S144">
        <v>122.79</v>
      </c>
      <c r="U144">
        <v>1370.2329474124704</v>
      </c>
      <c r="W144" t="s">
        <v>136</v>
      </c>
      <c r="Y144" t="s">
        <v>71</v>
      </c>
      <c r="Z144" s="102">
        <v>366</v>
      </c>
    </row>
    <row r="145" spans="1:26" x14ac:dyDescent="0.35">
      <c r="A145" s="102">
        <v>45443</v>
      </c>
      <c r="C145" t="s">
        <v>453</v>
      </c>
      <c r="D145" t="s">
        <v>51</v>
      </c>
      <c r="E145" t="s">
        <v>66</v>
      </c>
      <c r="F145" t="s">
        <v>218</v>
      </c>
      <c r="H145" t="s">
        <v>219</v>
      </c>
      <c r="I145" t="s">
        <v>515</v>
      </c>
      <c r="P145" t="s">
        <v>2</v>
      </c>
      <c r="Q145" t="s">
        <v>516</v>
      </c>
      <c r="S145">
        <v>166.68</v>
      </c>
      <c r="U145">
        <v>1860.0083693681129</v>
      </c>
      <c r="W145" t="s">
        <v>136</v>
      </c>
      <c r="Y145" t="s">
        <v>71</v>
      </c>
      <c r="Z145" s="102">
        <v>366</v>
      </c>
    </row>
    <row r="146" spans="1:26" x14ac:dyDescent="0.35">
      <c r="A146" s="102">
        <v>45478</v>
      </c>
      <c r="C146" t="s">
        <v>579</v>
      </c>
      <c r="D146" t="s">
        <v>51</v>
      </c>
      <c r="E146" t="s">
        <v>66</v>
      </c>
      <c r="F146" t="s">
        <v>218</v>
      </c>
      <c r="H146" t="s">
        <v>588</v>
      </c>
      <c r="L146" t="s">
        <v>88</v>
      </c>
      <c r="M146" t="s">
        <v>108</v>
      </c>
      <c r="N146" t="s">
        <v>588</v>
      </c>
      <c r="O146" t="s">
        <v>71</v>
      </c>
      <c r="P146" t="s">
        <v>5</v>
      </c>
      <c r="Q146" t="s">
        <v>169</v>
      </c>
      <c r="S146">
        <v>215.17</v>
      </c>
      <c r="U146">
        <v>2569.1940298507466</v>
      </c>
    </row>
    <row r="147" spans="1:26" x14ac:dyDescent="0.35">
      <c r="A147" s="102">
        <v>45482</v>
      </c>
      <c r="C147" t="s">
        <v>579</v>
      </c>
      <c r="D147" t="s">
        <v>51</v>
      </c>
      <c r="E147" t="s">
        <v>66</v>
      </c>
      <c r="F147" t="s">
        <v>218</v>
      </c>
      <c r="H147" t="s">
        <v>593</v>
      </c>
      <c r="L147" t="s">
        <v>69</v>
      </c>
      <c r="M147" t="s">
        <v>70</v>
      </c>
      <c r="N147" t="s">
        <v>593</v>
      </c>
      <c r="O147" t="s">
        <v>71</v>
      </c>
      <c r="P147" t="s">
        <v>5</v>
      </c>
      <c r="Q147" t="s">
        <v>169</v>
      </c>
      <c r="S147">
        <v>215.17</v>
      </c>
      <c r="U147">
        <v>2569.1940298507466</v>
      </c>
    </row>
    <row r="148" spans="1:26" x14ac:dyDescent="0.35">
      <c r="A148" s="102">
        <v>45491</v>
      </c>
      <c r="C148" t="s">
        <v>579</v>
      </c>
      <c r="D148" t="s">
        <v>51</v>
      </c>
      <c r="E148" t="s">
        <v>66</v>
      </c>
      <c r="F148" t="s">
        <v>218</v>
      </c>
      <c r="H148" t="s">
        <v>614</v>
      </c>
      <c r="L148" t="s">
        <v>88</v>
      </c>
      <c r="M148" t="s">
        <v>615</v>
      </c>
      <c r="N148" t="s">
        <v>614</v>
      </c>
      <c r="O148" t="s">
        <v>71</v>
      </c>
      <c r="P148" t="s">
        <v>5</v>
      </c>
      <c r="Q148" t="s">
        <v>232</v>
      </c>
      <c r="S148">
        <v>84.41</v>
      </c>
      <c r="U148">
        <v>1007.8805970149255</v>
      </c>
    </row>
    <row r="149" spans="1:26" x14ac:dyDescent="0.35">
      <c r="A149" s="102">
        <v>45552</v>
      </c>
      <c r="C149" t="s">
        <v>666</v>
      </c>
      <c r="D149" t="s">
        <v>51</v>
      </c>
      <c r="E149" t="s">
        <v>66</v>
      </c>
      <c r="F149" t="s">
        <v>218</v>
      </c>
      <c r="G149">
        <v>4199267</v>
      </c>
      <c r="H149" t="s">
        <v>685</v>
      </c>
      <c r="P149" t="s">
        <v>6</v>
      </c>
      <c r="Q149" t="s">
        <v>686</v>
      </c>
      <c r="S149">
        <v>959.66</v>
      </c>
      <c r="U149">
        <v>11515.92</v>
      </c>
    </row>
    <row r="150" spans="1:26" x14ac:dyDescent="0.35">
      <c r="A150" s="102">
        <v>45553</v>
      </c>
      <c r="C150" t="s">
        <v>666</v>
      </c>
      <c r="D150" t="s">
        <v>51</v>
      </c>
      <c r="E150" t="s">
        <v>66</v>
      </c>
      <c r="F150" t="s">
        <v>218</v>
      </c>
      <c r="H150" t="s">
        <v>694</v>
      </c>
      <c r="J150">
        <v>909004269</v>
      </c>
      <c r="P150" t="s">
        <v>2</v>
      </c>
      <c r="Q150" t="s">
        <v>358</v>
      </c>
      <c r="S150">
        <v>101.24</v>
      </c>
      <c r="U150">
        <v>1114.5688073394494</v>
      </c>
    </row>
    <row r="151" spans="1:26" x14ac:dyDescent="0.35">
      <c r="A151" s="102">
        <v>45553</v>
      </c>
      <c r="C151" t="s">
        <v>666</v>
      </c>
      <c r="D151" t="s">
        <v>51</v>
      </c>
      <c r="E151" t="s">
        <v>66</v>
      </c>
      <c r="F151" t="s">
        <v>218</v>
      </c>
      <c r="H151" t="s">
        <v>692</v>
      </c>
      <c r="J151">
        <v>1203922933</v>
      </c>
      <c r="P151" t="s">
        <v>3</v>
      </c>
      <c r="S151">
        <v>48.33</v>
      </c>
      <c r="U151">
        <v>512.07462686567169</v>
      </c>
    </row>
    <row r="152" spans="1:26" x14ac:dyDescent="0.35">
      <c r="A152" s="102">
        <v>45615</v>
      </c>
      <c r="C152" t="s">
        <v>855</v>
      </c>
      <c r="D152" t="s">
        <v>51</v>
      </c>
      <c r="E152" t="s">
        <v>66</v>
      </c>
      <c r="F152" t="s">
        <v>218</v>
      </c>
      <c r="H152" t="s">
        <v>899</v>
      </c>
      <c r="P152" t="s">
        <v>5</v>
      </c>
      <c r="Q152" t="s">
        <v>295</v>
      </c>
      <c r="S152">
        <v>72.13</v>
      </c>
      <c r="U152">
        <v>861.25373134328368</v>
      </c>
    </row>
    <row r="153" spans="1:26" x14ac:dyDescent="0.35">
      <c r="A153" s="102">
        <v>45615</v>
      </c>
      <c r="C153" t="s">
        <v>855</v>
      </c>
      <c r="D153" t="s">
        <v>51</v>
      </c>
      <c r="E153" t="s">
        <v>66</v>
      </c>
      <c r="F153" t="s">
        <v>218</v>
      </c>
      <c r="H153" t="s">
        <v>898</v>
      </c>
      <c r="P153" t="s">
        <v>5</v>
      </c>
      <c r="Q153" t="s">
        <v>177</v>
      </c>
      <c r="S153">
        <v>98.62</v>
      </c>
      <c r="U153">
        <v>1177.5522388059703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7E7B-27A5-4B84-ADBF-8B1950C7E494}">
  <dimension ref="A1:AD8"/>
  <sheetViews>
    <sheetView workbookViewId="0"/>
  </sheetViews>
  <sheetFormatPr baseColWidth="10" defaultRowHeight="14.5" x14ac:dyDescent="0.35"/>
  <cols>
    <col min="2" max="2" width="19.7265625" customWidth="1"/>
    <col min="4" max="4" width="19.453125" customWidth="1"/>
    <col min="7" max="7" width="12.453125" customWidth="1"/>
    <col min="9" max="9" width="15.7265625" customWidth="1"/>
    <col min="11" max="11" width="23.26953125" customWidth="1"/>
    <col min="12" max="12" width="17.26953125" customWidth="1"/>
    <col min="13" max="13" width="13.54296875" customWidth="1"/>
    <col min="15" max="15" width="27.453125" customWidth="1"/>
    <col min="16" max="16" width="15.81640625" customWidth="1"/>
    <col min="17" max="17" width="19.1796875" customWidth="1"/>
    <col min="18" max="18" width="13.26953125" customWidth="1"/>
    <col min="19" max="19" width="16.7265625" customWidth="1"/>
    <col min="20" max="20" width="14.26953125" customWidth="1"/>
    <col min="21" max="21" width="20.1796875" customWidth="1"/>
    <col min="22" max="22" width="17.26953125" customWidth="1"/>
    <col min="26" max="26" width="20.81640625" customWidth="1"/>
    <col min="27" max="27" width="25.453125" customWidth="1"/>
    <col min="28" max="28" width="25.81640625" customWidth="1"/>
    <col min="29" max="29" width="24.26953125" customWidth="1"/>
  </cols>
  <sheetData>
    <row r="1" spans="1:30" x14ac:dyDescent="0.35">
      <c r="A1" t="s">
        <v>24</v>
      </c>
      <c r="B1" t="s">
        <v>25</v>
      </c>
      <c r="C1" t="s">
        <v>0</v>
      </c>
      <c r="D1" t="s">
        <v>26</v>
      </c>
      <c r="E1" t="s">
        <v>27</v>
      </c>
      <c r="F1" t="s">
        <v>9</v>
      </c>
      <c r="G1" t="s">
        <v>1426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956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950</v>
      </c>
    </row>
    <row r="2" spans="1:30" x14ac:dyDescent="0.35">
      <c r="A2" s="102">
        <v>45691</v>
      </c>
      <c r="B2" s="102">
        <v>45698</v>
      </c>
      <c r="C2" t="s">
        <v>137</v>
      </c>
      <c r="D2" t="s">
        <v>51</v>
      </c>
      <c r="E2" t="s">
        <v>1006</v>
      </c>
      <c r="F2" t="s">
        <v>1007</v>
      </c>
      <c r="G2">
        <v>36088</v>
      </c>
      <c r="H2" t="s">
        <v>1051</v>
      </c>
      <c r="P2" t="s">
        <v>2</v>
      </c>
      <c r="S2">
        <v>68.739999999999995</v>
      </c>
      <c r="U2">
        <v>824.87999999999988</v>
      </c>
      <c r="W2" t="s">
        <v>1067</v>
      </c>
    </row>
    <row r="3" spans="1:30" x14ac:dyDescent="0.35">
      <c r="A3" s="102">
        <v>45688</v>
      </c>
      <c r="C3" t="s">
        <v>50</v>
      </c>
      <c r="D3" t="s">
        <v>51</v>
      </c>
      <c r="E3" t="s">
        <v>1006</v>
      </c>
      <c r="F3" t="s">
        <v>1007</v>
      </c>
      <c r="H3" t="s">
        <v>1018</v>
      </c>
      <c r="P3" t="s">
        <v>2</v>
      </c>
      <c r="Q3" t="s">
        <v>1016</v>
      </c>
      <c r="U3">
        <v>0</v>
      </c>
      <c r="W3" t="s">
        <v>1067</v>
      </c>
    </row>
    <row r="4" spans="1:30" x14ac:dyDescent="0.35">
      <c r="A4" s="102">
        <v>45688</v>
      </c>
      <c r="C4" t="s">
        <v>50</v>
      </c>
      <c r="D4" t="s">
        <v>51</v>
      </c>
      <c r="E4" t="s">
        <v>1006</v>
      </c>
      <c r="F4" t="s">
        <v>1007</v>
      </c>
      <c r="H4" t="s">
        <v>1017</v>
      </c>
      <c r="P4" t="s">
        <v>2</v>
      </c>
      <c r="Q4" t="s">
        <v>1016</v>
      </c>
      <c r="U4">
        <v>0</v>
      </c>
      <c r="W4" t="s">
        <v>1067</v>
      </c>
    </row>
    <row r="5" spans="1:30" x14ac:dyDescent="0.35">
      <c r="A5" s="102">
        <v>45686</v>
      </c>
      <c r="C5" t="s">
        <v>50</v>
      </c>
      <c r="D5" t="s">
        <v>51</v>
      </c>
      <c r="E5" t="s">
        <v>1006</v>
      </c>
      <c r="F5" t="s">
        <v>1007</v>
      </c>
      <c r="H5" t="s">
        <v>1015</v>
      </c>
      <c r="P5" t="s">
        <v>2</v>
      </c>
      <c r="Q5" t="s">
        <v>1016</v>
      </c>
      <c r="S5">
        <v>58.35</v>
      </c>
      <c r="U5">
        <v>700.2</v>
      </c>
      <c r="W5" t="s">
        <v>73</v>
      </c>
    </row>
    <row r="6" spans="1:30" x14ac:dyDescent="0.35">
      <c r="A6" s="102">
        <v>45677</v>
      </c>
      <c r="C6" t="s">
        <v>50</v>
      </c>
      <c r="D6" t="s">
        <v>51</v>
      </c>
      <c r="E6" t="s">
        <v>1006</v>
      </c>
      <c r="F6" t="s">
        <v>1007</v>
      </c>
      <c r="G6">
        <v>35960</v>
      </c>
      <c r="H6" t="s">
        <v>1013</v>
      </c>
      <c r="P6" t="s">
        <v>2</v>
      </c>
      <c r="Q6" t="s">
        <v>421</v>
      </c>
      <c r="S6">
        <v>234.16499999999996</v>
      </c>
      <c r="U6">
        <v>2809.9799999999996</v>
      </c>
      <c r="V6" t="s">
        <v>1048</v>
      </c>
      <c r="W6" t="s">
        <v>73</v>
      </c>
    </row>
    <row r="7" spans="1:30" x14ac:dyDescent="0.35">
      <c r="A7" s="102">
        <v>45670</v>
      </c>
      <c r="C7" t="s">
        <v>50</v>
      </c>
      <c r="D7" t="s">
        <v>51</v>
      </c>
      <c r="E7" t="s">
        <v>1006</v>
      </c>
      <c r="F7" t="s">
        <v>1007</v>
      </c>
      <c r="G7">
        <v>35904</v>
      </c>
      <c r="H7" t="s">
        <v>1008</v>
      </c>
      <c r="P7" t="s">
        <v>2</v>
      </c>
      <c r="Q7" t="s">
        <v>777</v>
      </c>
      <c r="S7">
        <v>257.37044999999995</v>
      </c>
      <c r="U7">
        <v>3088.4453999999996</v>
      </c>
      <c r="W7" t="s">
        <v>73</v>
      </c>
    </row>
    <row r="8" spans="1:30" x14ac:dyDescent="0.35">
      <c r="A8" s="102">
        <v>45670</v>
      </c>
      <c r="C8" t="s">
        <v>50</v>
      </c>
      <c r="D8" t="s">
        <v>51</v>
      </c>
      <c r="E8" t="s">
        <v>1006</v>
      </c>
      <c r="F8" t="s">
        <v>1007</v>
      </c>
      <c r="G8">
        <v>35903</v>
      </c>
      <c r="H8" t="s">
        <v>1008</v>
      </c>
      <c r="P8" t="s">
        <v>2</v>
      </c>
      <c r="Q8" t="s">
        <v>358</v>
      </c>
      <c r="S8">
        <v>55.998599999999996</v>
      </c>
      <c r="U8">
        <v>671.9831999999999</v>
      </c>
      <c r="W8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546"/>
  <sheetViews>
    <sheetView zoomScale="79" zoomScaleNormal="36" workbookViewId="0">
      <selection activeCell="C5" sqref="C5"/>
    </sheetView>
  </sheetViews>
  <sheetFormatPr baseColWidth="10" defaultColWidth="11.453125" defaultRowHeight="14.5" x14ac:dyDescent="0.35"/>
  <cols>
    <col min="1" max="1" width="5.7265625" customWidth="1"/>
    <col min="2" max="2" width="23.54296875" bestFit="1" customWidth="1"/>
    <col min="3" max="3" width="24.26953125" bestFit="1" customWidth="1"/>
    <col min="4" max="4" width="11.7265625" style="24" bestFit="1" customWidth="1"/>
    <col min="5" max="5" width="12.453125" bestFit="1" customWidth="1"/>
    <col min="6" max="6" width="10.26953125" bestFit="1" customWidth="1"/>
    <col min="7" max="7" width="7" bestFit="1" customWidth="1"/>
    <col min="8" max="8" width="7.7265625" bestFit="1" customWidth="1"/>
    <col min="9" max="9" width="12.453125" bestFit="1" customWidth="1"/>
    <col min="10" max="10" width="11.81640625" bestFit="1" customWidth="1"/>
    <col min="11" max="13" width="15.7265625" customWidth="1"/>
    <col min="14" max="14" width="17.26953125" bestFit="1" customWidth="1"/>
    <col min="15" max="15" width="24.453125" bestFit="1" customWidth="1"/>
    <col min="16" max="16" width="14.26953125" bestFit="1" customWidth="1"/>
    <col min="17" max="17" width="13.7265625" bestFit="1" customWidth="1"/>
    <col min="18" max="18" width="33.81640625" bestFit="1" customWidth="1"/>
    <col min="19" max="19" width="32.54296875" bestFit="1" customWidth="1"/>
    <col min="20" max="20" width="15.54296875" bestFit="1" customWidth="1"/>
    <col min="21" max="21" width="28.453125" bestFit="1" customWidth="1"/>
    <col min="22" max="22" width="30.26953125" bestFit="1" customWidth="1"/>
    <col min="23" max="23" width="11.26953125" bestFit="1" customWidth="1"/>
    <col min="24" max="32" width="11.81640625" bestFit="1" customWidth="1"/>
    <col min="33" max="47" width="10.81640625" bestFit="1" customWidth="1"/>
    <col min="48" max="48" width="10" bestFit="1" customWidth="1"/>
    <col min="49" max="49" width="9.26953125" bestFit="1" customWidth="1"/>
    <col min="50" max="51" width="10" bestFit="1" customWidth="1"/>
    <col min="52" max="52" width="9.26953125" bestFit="1" customWidth="1"/>
    <col min="53" max="56" width="10" bestFit="1" customWidth="1"/>
    <col min="57" max="67" width="10.453125" bestFit="1" customWidth="1"/>
    <col min="68" max="71" width="10" bestFit="1" customWidth="1"/>
    <col min="72" max="72" width="11" bestFit="1" customWidth="1"/>
    <col min="73" max="80" width="10" bestFit="1" customWidth="1"/>
    <col min="81" max="81" width="9.26953125" bestFit="1" customWidth="1"/>
    <col min="82" max="84" width="10" bestFit="1" customWidth="1"/>
    <col min="85" max="85" width="9.26953125" bestFit="1" customWidth="1"/>
    <col min="86" max="86" width="11" bestFit="1" customWidth="1"/>
    <col min="87" max="87" width="9.26953125" bestFit="1" customWidth="1"/>
    <col min="88" max="92" width="10" bestFit="1" customWidth="1"/>
    <col min="93" max="93" width="11" bestFit="1" customWidth="1"/>
    <col min="94" max="94" width="12" bestFit="1" customWidth="1"/>
  </cols>
  <sheetData>
    <row r="1" spans="1:24" ht="59.5" customHeight="1" x14ac:dyDescent="0.35"/>
    <row r="2" spans="1:24" x14ac:dyDescent="0.35">
      <c r="A2" t="s">
        <v>701</v>
      </c>
      <c r="B2" s="124" t="s">
        <v>955</v>
      </c>
      <c r="C2" s="125" t="s">
        <v>1577</v>
      </c>
      <c r="D2"/>
    </row>
    <row r="3" spans="1:24" ht="43.9" customHeight="1" x14ac:dyDescent="0.35">
      <c r="B3" s="123" t="s">
        <v>8</v>
      </c>
      <c r="C3" s="123"/>
      <c r="D3" s="123"/>
    </row>
    <row r="4" spans="1:24" s="48" customFormat="1" ht="29" x14ac:dyDescent="0.35">
      <c r="B4" s="30" t="s">
        <v>9</v>
      </c>
      <c r="C4" s="25" t="s">
        <v>778</v>
      </c>
      <c r="D4" s="25" t="s">
        <v>10</v>
      </c>
      <c r="E4"/>
      <c r="F4"/>
      <c r="G4"/>
      <c r="H4"/>
      <c r="I4"/>
      <c r="J4"/>
    </row>
    <row r="5" spans="1:24" x14ac:dyDescent="0.35">
      <c r="B5" s="26" t="s">
        <v>1607</v>
      </c>
      <c r="C5" s="29">
        <v>71623.78</v>
      </c>
      <c r="D5" s="27">
        <v>32</v>
      </c>
    </row>
    <row r="6" spans="1:24" s="25" customFormat="1" x14ac:dyDescent="0.35">
      <c r="B6" s="26" t="s">
        <v>60</v>
      </c>
      <c r="C6" s="29">
        <v>39509.11</v>
      </c>
      <c r="D6" s="27">
        <v>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s="25" customFormat="1" x14ac:dyDescent="0.35">
      <c r="B7" s="26" t="s">
        <v>819</v>
      </c>
      <c r="C7" s="29">
        <v>31056.170000000002</v>
      </c>
      <c r="D7" s="27">
        <v>6</v>
      </c>
      <c r="E7"/>
      <c r="F7"/>
      <c r="G7"/>
      <c r="H7"/>
      <c r="I7"/>
      <c r="J7"/>
      <c r="K7"/>
      <c r="L7"/>
      <c r="M7"/>
      <c r="N7"/>
      <c r="O7"/>
      <c r="P7"/>
    </row>
    <row r="8" spans="1:24" x14ac:dyDescent="0.35">
      <c r="B8" s="26" t="s">
        <v>98</v>
      </c>
      <c r="C8" s="29">
        <v>24983.3</v>
      </c>
      <c r="D8" s="27">
        <v>10</v>
      </c>
    </row>
    <row r="9" spans="1:24" x14ac:dyDescent="0.35">
      <c r="B9" s="26" t="s">
        <v>118</v>
      </c>
      <c r="C9" s="29">
        <v>17721.14</v>
      </c>
      <c r="D9" s="27">
        <v>17</v>
      </c>
    </row>
    <row r="10" spans="1:24" x14ac:dyDescent="0.35">
      <c r="B10" s="26" t="s">
        <v>129</v>
      </c>
      <c r="C10" s="29">
        <v>17501.39</v>
      </c>
      <c r="D10" s="27">
        <v>13</v>
      </c>
    </row>
    <row r="11" spans="1:24" x14ac:dyDescent="0.35">
      <c r="B11" s="26" t="s">
        <v>218</v>
      </c>
      <c r="C11" s="104">
        <v>16953.199999999997</v>
      </c>
      <c r="D11" s="27">
        <v>13</v>
      </c>
    </row>
    <row r="12" spans="1:24" x14ac:dyDescent="0.35">
      <c r="B12" s="26" t="s">
        <v>18</v>
      </c>
      <c r="C12" s="104">
        <v>16807.239999999998</v>
      </c>
      <c r="D12" s="27">
        <v>18</v>
      </c>
    </row>
    <row r="13" spans="1:24" x14ac:dyDescent="0.35">
      <c r="B13" s="26" t="s">
        <v>175</v>
      </c>
      <c r="C13" s="104">
        <v>16553.440000000002</v>
      </c>
      <c r="D13" s="27">
        <v>10</v>
      </c>
    </row>
    <row r="14" spans="1:24" x14ac:dyDescent="0.35">
      <c r="B14" s="26" t="s">
        <v>790</v>
      </c>
      <c r="C14" s="29">
        <v>15227.9622</v>
      </c>
      <c r="D14" s="27">
        <v>12</v>
      </c>
    </row>
    <row r="15" spans="1:24" x14ac:dyDescent="0.35">
      <c r="B15" s="26" t="s">
        <v>78</v>
      </c>
      <c r="C15" s="29">
        <v>14798.880000000001</v>
      </c>
      <c r="D15" s="27">
        <v>11</v>
      </c>
    </row>
    <row r="16" spans="1:24" x14ac:dyDescent="0.35">
      <c r="B16" s="26" t="s">
        <v>155</v>
      </c>
      <c r="C16" s="29">
        <v>14711.489999999998</v>
      </c>
      <c r="D16" s="27">
        <v>8</v>
      </c>
    </row>
    <row r="17" spans="2:4" x14ac:dyDescent="0.35">
      <c r="B17" s="26" t="s">
        <v>1023</v>
      </c>
      <c r="C17" s="29">
        <v>14659.279999999999</v>
      </c>
      <c r="D17" s="27">
        <v>9</v>
      </c>
    </row>
    <row r="18" spans="2:4" x14ac:dyDescent="0.35">
      <c r="B18" s="26" t="s">
        <v>57</v>
      </c>
      <c r="C18" s="29">
        <v>11761.42</v>
      </c>
      <c r="D18" s="27">
        <v>9</v>
      </c>
    </row>
    <row r="19" spans="2:4" x14ac:dyDescent="0.35">
      <c r="B19" s="26" t="s">
        <v>14</v>
      </c>
      <c r="C19" s="104">
        <v>10810.462799999999</v>
      </c>
      <c r="D19" s="27">
        <v>13</v>
      </c>
    </row>
    <row r="20" spans="2:4" x14ac:dyDescent="0.35">
      <c r="B20" s="26" t="s">
        <v>90</v>
      </c>
      <c r="C20" s="29">
        <v>9626.2799999999988</v>
      </c>
      <c r="D20" s="27">
        <v>8</v>
      </c>
    </row>
    <row r="21" spans="2:4" x14ac:dyDescent="0.35">
      <c r="B21" s="26" t="s">
        <v>1640</v>
      </c>
      <c r="C21" s="29">
        <v>9180.7199999999993</v>
      </c>
      <c r="D21" s="27">
        <v>9</v>
      </c>
    </row>
    <row r="22" spans="2:4" x14ac:dyDescent="0.35">
      <c r="B22" s="26" t="s">
        <v>1007</v>
      </c>
      <c r="C22" s="29">
        <v>8095.4885999999988</v>
      </c>
      <c r="D22" s="27">
        <v>7</v>
      </c>
    </row>
    <row r="23" spans="2:4" x14ac:dyDescent="0.35">
      <c r="B23" s="26" t="s">
        <v>20</v>
      </c>
      <c r="C23" s="29">
        <v>6184.08</v>
      </c>
      <c r="D23" s="27">
        <v>4</v>
      </c>
    </row>
    <row r="24" spans="2:4" x14ac:dyDescent="0.35">
      <c r="B24" s="26" t="s">
        <v>113</v>
      </c>
      <c r="C24" s="29">
        <v>5829.75</v>
      </c>
      <c r="D24" s="27">
        <v>2</v>
      </c>
    </row>
    <row r="25" spans="2:4" x14ac:dyDescent="0.35">
      <c r="B25" s="26" t="s">
        <v>330</v>
      </c>
      <c r="C25" s="29">
        <v>5181.6900000000005</v>
      </c>
      <c r="D25" s="27">
        <v>3</v>
      </c>
    </row>
    <row r="26" spans="2:4" x14ac:dyDescent="0.35">
      <c r="B26" s="26" t="s">
        <v>994</v>
      </c>
      <c r="C26" s="29">
        <v>4861.57</v>
      </c>
      <c r="D26" s="27">
        <v>2</v>
      </c>
    </row>
    <row r="27" spans="2:4" x14ac:dyDescent="0.35">
      <c r="B27" s="26" t="s">
        <v>11</v>
      </c>
      <c r="C27" s="104">
        <v>4584.8</v>
      </c>
      <c r="D27" s="27">
        <v>3</v>
      </c>
    </row>
    <row r="28" spans="2:4" x14ac:dyDescent="0.35">
      <c r="B28" s="26" t="s">
        <v>569</v>
      </c>
      <c r="C28" s="29">
        <v>4497.4399999999996</v>
      </c>
      <c r="D28" s="27">
        <v>1</v>
      </c>
    </row>
    <row r="29" spans="2:4" x14ac:dyDescent="0.35">
      <c r="B29" s="26" t="s">
        <v>1406</v>
      </c>
      <c r="C29" s="29">
        <v>4343.5200000000004</v>
      </c>
      <c r="D29" s="27">
        <v>2</v>
      </c>
    </row>
    <row r="30" spans="2:4" x14ac:dyDescent="0.35">
      <c r="B30" s="26" t="s">
        <v>240</v>
      </c>
      <c r="C30" s="104">
        <v>3985.7142000000003</v>
      </c>
      <c r="D30" s="27">
        <v>4</v>
      </c>
    </row>
    <row r="31" spans="2:4" x14ac:dyDescent="0.35">
      <c r="B31" s="26" t="s">
        <v>13</v>
      </c>
      <c r="C31" s="104">
        <v>3624.4000000000005</v>
      </c>
      <c r="D31" s="27">
        <v>5</v>
      </c>
    </row>
    <row r="32" spans="2:4" x14ac:dyDescent="0.35">
      <c r="B32" s="26" t="s">
        <v>820</v>
      </c>
      <c r="C32" s="29">
        <v>2976.37</v>
      </c>
      <c r="D32" s="27">
        <v>4</v>
      </c>
    </row>
    <row r="33" spans="2:4" x14ac:dyDescent="0.35">
      <c r="B33" s="26" t="s">
        <v>53</v>
      </c>
      <c r="C33" s="29">
        <v>2960.03</v>
      </c>
      <c r="D33" s="27">
        <v>2</v>
      </c>
    </row>
    <row r="34" spans="2:4" x14ac:dyDescent="0.35">
      <c r="B34" s="26" t="s">
        <v>15</v>
      </c>
      <c r="C34" s="104">
        <v>2746.92</v>
      </c>
      <c r="D34" s="27">
        <v>3</v>
      </c>
    </row>
    <row r="35" spans="2:4" x14ac:dyDescent="0.35">
      <c r="B35" s="26" t="s">
        <v>674</v>
      </c>
      <c r="C35" s="29">
        <v>2610.96</v>
      </c>
      <c r="D35" s="27">
        <v>3</v>
      </c>
    </row>
    <row r="36" spans="2:4" x14ac:dyDescent="0.35">
      <c r="B36" s="26" t="s">
        <v>275</v>
      </c>
      <c r="C36" s="104">
        <v>2602.8000000000002</v>
      </c>
      <c r="D36" s="27">
        <v>1</v>
      </c>
    </row>
    <row r="37" spans="2:4" x14ac:dyDescent="0.35">
      <c r="B37" s="26" t="s">
        <v>145</v>
      </c>
      <c r="C37" s="104">
        <v>2170.56</v>
      </c>
      <c r="D37" s="27">
        <v>3</v>
      </c>
    </row>
    <row r="38" spans="2:4" x14ac:dyDescent="0.35">
      <c r="B38" s="26" t="s">
        <v>16</v>
      </c>
      <c r="C38" s="104">
        <v>1420.83</v>
      </c>
      <c r="D38" s="27">
        <v>4</v>
      </c>
    </row>
    <row r="39" spans="2:4" x14ac:dyDescent="0.35">
      <c r="B39" s="26" t="s">
        <v>19</v>
      </c>
      <c r="C39" s="29">
        <v>1388.6399999999999</v>
      </c>
      <c r="D39" s="27">
        <v>3</v>
      </c>
    </row>
    <row r="40" spans="2:4" x14ac:dyDescent="0.35">
      <c r="B40" s="26" t="s">
        <v>166</v>
      </c>
      <c r="C40" s="104">
        <v>1105.1999999999998</v>
      </c>
      <c r="D40" s="27">
        <v>1</v>
      </c>
    </row>
    <row r="41" spans="2:4" x14ac:dyDescent="0.35">
      <c r="B41" s="26" t="s">
        <v>12</v>
      </c>
      <c r="C41" s="104">
        <v>828</v>
      </c>
      <c r="D41" s="27">
        <v>3</v>
      </c>
    </row>
    <row r="42" spans="2:4" x14ac:dyDescent="0.35">
      <c r="B42" s="26" t="s">
        <v>1643</v>
      </c>
      <c r="C42" s="29">
        <v>773.40000000000009</v>
      </c>
      <c r="D42" s="27">
        <v>1</v>
      </c>
    </row>
    <row r="43" spans="2:4" x14ac:dyDescent="0.35">
      <c r="B43" s="26" t="s">
        <v>158</v>
      </c>
      <c r="C43" s="104">
        <v>770.04</v>
      </c>
      <c r="D43" s="27">
        <v>1</v>
      </c>
    </row>
    <row r="44" spans="2:4" x14ac:dyDescent="0.35">
      <c r="B44" s="26" t="s">
        <v>262</v>
      </c>
      <c r="C44" s="104">
        <v>496.91999999999996</v>
      </c>
      <c r="D44" s="27">
        <v>1</v>
      </c>
    </row>
    <row r="45" spans="2:4" x14ac:dyDescent="0.35">
      <c r="B45" s="26" t="s">
        <v>930</v>
      </c>
      <c r="C45" s="29">
        <v>45</v>
      </c>
      <c r="D45" s="27">
        <v>1</v>
      </c>
    </row>
    <row r="46" spans="2:4" x14ac:dyDescent="0.35">
      <c r="B46" s="26" t="s">
        <v>1623</v>
      </c>
      <c r="C46" s="29">
        <v>0</v>
      </c>
      <c r="D46" s="27">
        <v>1</v>
      </c>
    </row>
    <row r="47" spans="2:4" x14ac:dyDescent="0.35">
      <c r="B47" s="26" t="s">
        <v>7</v>
      </c>
      <c r="C47" s="29">
        <v>427569.38779999973</v>
      </c>
      <c r="D47" s="27">
        <v>290</v>
      </c>
    </row>
    <row r="48" spans="2:4" x14ac:dyDescent="0.35">
      <c r="D48"/>
    </row>
    <row r="49" spans="4:4" x14ac:dyDescent="0.35">
      <c r="D49"/>
    </row>
    <row r="50" spans="4:4" x14ac:dyDescent="0.35">
      <c r="D50"/>
    </row>
    <row r="51" spans="4:4" x14ac:dyDescent="0.35">
      <c r="D51"/>
    </row>
    <row r="52" spans="4:4" x14ac:dyDescent="0.35">
      <c r="D52"/>
    </row>
    <row r="53" spans="4:4" x14ac:dyDescent="0.35">
      <c r="D53"/>
    </row>
    <row r="54" spans="4:4" x14ac:dyDescent="0.35">
      <c r="D54"/>
    </row>
    <row r="55" spans="4:4" x14ac:dyDescent="0.35">
      <c r="D55"/>
    </row>
    <row r="56" spans="4:4" x14ac:dyDescent="0.35">
      <c r="D56"/>
    </row>
    <row r="57" spans="4:4" x14ac:dyDescent="0.35">
      <c r="D57"/>
    </row>
    <row r="58" spans="4:4" x14ac:dyDescent="0.35">
      <c r="D58"/>
    </row>
    <row r="59" spans="4:4" x14ac:dyDescent="0.35">
      <c r="D59"/>
    </row>
    <row r="60" spans="4:4" x14ac:dyDescent="0.35">
      <c r="D60"/>
    </row>
    <row r="61" spans="4:4" x14ac:dyDescent="0.35">
      <c r="D61"/>
    </row>
    <row r="62" spans="4:4" x14ac:dyDescent="0.35">
      <c r="D62"/>
    </row>
    <row r="63" spans="4:4" x14ac:dyDescent="0.35">
      <c r="D63"/>
    </row>
    <row r="64" spans="4:4" x14ac:dyDescent="0.35">
      <c r="D64"/>
    </row>
    <row r="65" spans="4:4" x14ac:dyDescent="0.35">
      <c r="D65"/>
    </row>
    <row r="66" spans="4:4" x14ac:dyDescent="0.35">
      <c r="D66"/>
    </row>
    <row r="67" spans="4:4" x14ac:dyDescent="0.35">
      <c r="D67"/>
    </row>
    <row r="68" spans="4:4" x14ac:dyDescent="0.35">
      <c r="D68"/>
    </row>
    <row r="69" spans="4:4" x14ac:dyDescent="0.35">
      <c r="D69"/>
    </row>
    <row r="70" spans="4:4" x14ac:dyDescent="0.35">
      <c r="D70"/>
    </row>
    <row r="71" spans="4:4" x14ac:dyDescent="0.35">
      <c r="D71"/>
    </row>
    <row r="72" spans="4:4" x14ac:dyDescent="0.35">
      <c r="D72"/>
    </row>
    <row r="73" spans="4:4" x14ac:dyDescent="0.35">
      <c r="D73"/>
    </row>
    <row r="74" spans="4:4" x14ac:dyDescent="0.35">
      <c r="D74"/>
    </row>
    <row r="75" spans="4:4" x14ac:dyDescent="0.35">
      <c r="D75"/>
    </row>
    <row r="76" spans="4:4" x14ac:dyDescent="0.35">
      <c r="D76"/>
    </row>
    <row r="77" spans="4:4" x14ac:dyDescent="0.35">
      <c r="D77"/>
    </row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x14ac:dyDescent="0.35">
      <c r="D86"/>
    </row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x14ac:dyDescent="0.35">
      <c r="D92"/>
    </row>
    <row r="93" spans="4:4" x14ac:dyDescent="0.35">
      <c r="D93"/>
    </row>
    <row r="94" spans="4:4" x14ac:dyDescent="0.35">
      <c r="D94"/>
    </row>
    <row r="95" spans="4:4" x14ac:dyDescent="0.35">
      <c r="D95"/>
    </row>
    <row r="96" spans="4:4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  <row r="117" spans="4:4" x14ac:dyDescent="0.35">
      <c r="D117"/>
    </row>
    <row r="118" spans="4:4" x14ac:dyDescent="0.35">
      <c r="D118"/>
    </row>
    <row r="119" spans="4:4" x14ac:dyDescent="0.35">
      <c r="D119"/>
    </row>
    <row r="120" spans="4:4" x14ac:dyDescent="0.35">
      <c r="D120"/>
    </row>
    <row r="121" spans="4:4" x14ac:dyDescent="0.35">
      <c r="D121"/>
    </row>
    <row r="122" spans="4:4" x14ac:dyDescent="0.35">
      <c r="D122"/>
    </row>
    <row r="123" spans="4:4" x14ac:dyDescent="0.35">
      <c r="D123"/>
    </row>
    <row r="124" spans="4:4" x14ac:dyDescent="0.35">
      <c r="D124"/>
    </row>
    <row r="125" spans="4:4" x14ac:dyDescent="0.35">
      <c r="D125"/>
    </row>
    <row r="126" spans="4:4" x14ac:dyDescent="0.35">
      <c r="D126"/>
    </row>
    <row r="127" spans="4:4" x14ac:dyDescent="0.35">
      <c r="D127"/>
    </row>
    <row r="128" spans="4:4" x14ac:dyDescent="0.35">
      <c r="D128"/>
    </row>
    <row r="129" spans="4:4" x14ac:dyDescent="0.35">
      <c r="D129"/>
    </row>
    <row r="130" spans="4:4" x14ac:dyDescent="0.35">
      <c r="D130"/>
    </row>
    <row r="131" spans="4:4" x14ac:dyDescent="0.35">
      <c r="D131"/>
    </row>
    <row r="132" spans="4:4" x14ac:dyDescent="0.35">
      <c r="D132"/>
    </row>
    <row r="133" spans="4:4" x14ac:dyDescent="0.35">
      <c r="D133"/>
    </row>
    <row r="134" spans="4:4" x14ac:dyDescent="0.35">
      <c r="D134"/>
    </row>
    <row r="135" spans="4:4" x14ac:dyDescent="0.35">
      <c r="D135"/>
    </row>
    <row r="136" spans="4:4" x14ac:dyDescent="0.35">
      <c r="D136"/>
    </row>
    <row r="137" spans="4:4" x14ac:dyDescent="0.35">
      <c r="D137"/>
    </row>
    <row r="138" spans="4:4" x14ac:dyDescent="0.35">
      <c r="D138"/>
    </row>
    <row r="139" spans="4:4" x14ac:dyDescent="0.35">
      <c r="D139"/>
    </row>
    <row r="140" spans="4:4" x14ac:dyDescent="0.35">
      <c r="D140"/>
    </row>
    <row r="141" spans="4:4" x14ac:dyDescent="0.35">
      <c r="D141"/>
    </row>
    <row r="142" spans="4:4" x14ac:dyDescent="0.35">
      <c r="D142"/>
    </row>
    <row r="143" spans="4:4" x14ac:dyDescent="0.35">
      <c r="D143"/>
    </row>
    <row r="144" spans="4:4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  <row r="243" spans="4:4" x14ac:dyDescent="0.35">
      <c r="D243"/>
    </row>
    <row r="244" spans="4:4" x14ac:dyDescent="0.35">
      <c r="D244"/>
    </row>
    <row r="245" spans="4:4" x14ac:dyDescent="0.35">
      <c r="D245"/>
    </row>
    <row r="246" spans="4:4" x14ac:dyDescent="0.35">
      <c r="D246"/>
    </row>
    <row r="247" spans="4:4" x14ac:dyDescent="0.35">
      <c r="D247"/>
    </row>
    <row r="248" spans="4:4" x14ac:dyDescent="0.35">
      <c r="D248"/>
    </row>
    <row r="249" spans="4:4" x14ac:dyDescent="0.35">
      <c r="D249"/>
    </row>
    <row r="250" spans="4:4" x14ac:dyDescent="0.35">
      <c r="D250"/>
    </row>
    <row r="251" spans="4:4" x14ac:dyDescent="0.35">
      <c r="D251"/>
    </row>
    <row r="252" spans="4:4" x14ac:dyDescent="0.35">
      <c r="D252"/>
    </row>
    <row r="253" spans="4:4" x14ac:dyDescent="0.35">
      <c r="D253"/>
    </row>
    <row r="254" spans="4:4" x14ac:dyDescent="0.35">
      <c r="D254"/>
    </row>
    <row r="255" spans="4:4" x14ac:dyDescent="0.35">
      <c r="D255"/>
    </row>
    <row r="256" spans="4:4" x14ac:dyDescent="0.35">
      <c r="D256"/>
    </row>
    <row r="257" spans="4:4" x14ac:dyDescent="0.35">
      <c r="D257"/>
    </row>
    <row r="258" spans="4:4" x14ac:dyDescent="0.35">
      <c r="D258"/>
    </row>
    <row r="259" spans="4:4" x14ac:dyDescent="0.35">
      <c r="D259"/>
    </row>
    <row r="260" spans="4:4" x14ac:dyDescent="0.35">
      <c r="D260"/>
    </row>
    <row r="261" spans="4:4" x14ac:dyDescent="0.35">
      <c r="D261"/>
    </row>
    <row r="262" spans="4:4" x14ac:dyDescent="0.35">
      <c r="D262"/>
    </row>
    <row r="263" spans="4:4" x14ac:dyDescent="0.35">
      <c r="D263"/>
    </row>
    <row r="264" spans="4:4" x14ac:dyDescent="0.35">
      <c r="D264"/>
    </row>
    <row r="265" spans="4:4" x14ac:dyDescent="0.35">
      <c r="D265"/>
    </row>
    <row r="266" spans="4:4" x14ac:dyDescent="0.35">
      <c r="D266"/>
    </row>
    <row r="267" spans="4:4" x14ac:dyDescent="0.35">
      <c r="D267"/>
    </row>
    <row r="268" spans="4:4" x14ac:dyDescent="0.35">
      <c r="D268"/>
    </row>
    <row r="269" spans="4:4" x14ac:dyDescent="0.35">
      <c r="D269"/>
    </row>
    <row r="270" spans="4:4" x14ac:dyDescent="0.35">
      <c r="D270"/>
    </row>
    <row r="271" spans="4:4" x14ac:dyDescent="0.35">
      <c r="D271"/>
    </row>
    <row r="272" spans="4:4" x14ac:dyDescent="0.35">
      <c r="D272"/>
    </row>
    <row r="273" spans="4:4" x14ac:dyDescent="0.35">
      <c r="D273"/>
    </row>
    <row r="274" spans="4:4" x14ac:dyDescent="0.35">
      <c r="D274"/>
    </row>
    <row r="275" spans="4:4" x14ac:dyDescent="0.35">
      <c r="D275"/>
    </row>
    <row r="276" spans="4:4" x14ac:dyDescent="0.35">
      <c r="D276"/>
    </row>
    <row r="277" spans="4:4" x14ac:dyDescent="0.35">
      <c r="D277"/>
    </row>
    <row r="278" spans="4:4" x14ac:dyDescent="0.35">
      <c r="D278"/>
    </row>
    <row r="279" spans="4:4" x14ac:dyDescent="0.35">
      <c r="D279"/>
    </row>
    <row r="280" spans="4:4" x14ac:dyDescent="0.35">
      <c r="D280"/>
    </row>
    <row r="281" spans="4:4" x14ac:dyDescent="0.35">
      <c r="D281"/>
    </row>
    <row r="282" spans="4:4" x14ac:dyDescent="0.35">
      <c r="D282"/>
    </row>
    <row r="283" spans="4:4" x14ac:dyDescent="0.35">
      <c r="D283"/>
    </row>
    <row r="284" spans="4:4" x14ac:dyDescent="0.35">
      <c r="D284"/>
    </row>
    <row r="285" spans="4:4" x14ac:dyDescent="0.35">
      <c r="D285"/>
    </row>
    <row r="286" spans="4:4" x14ac:dyDescent="0.35">
      <c r="D286"/>
    </row>
    <row r="287" spans="4:4" x14ac:dyDescent="0.35">
      <c r="D287"/>
    </row>
    <row r="288" spans="4:4" x14ac:dyDescent="0.35">
      <c r="D288"/>
    </row>
    <row r="289" spans="4:4" x14ac:dyDescent="0.35">
      <c r="D289"/>
    </row>
    <row r="290" spans="4:4" x14ac:dyDescent="0.35">
      <c r="D290"/>
    </row>
    <row r="291" spans="4:4" x14ac:dyDescent="0.35">
      <c r="D291"/>
    </row>
    <row r="292" spans="4:4" x14ac:dyDescent="0.35">
      <c r="D292"/>
    </row>
    <row r="293" spans="4:4" x14ac:dyDescent="0.35">
      <c r="D293"/>
    </row>
    <row r="294" spans="4:4" x14ac:dyDescent="0.35">
      <c r="D294"/>
    </row>
    <row r="295" spans="4:4" x14ac:dyDescent="0.35">
      <c r="D295"/>
    </row>
    <row r="296" spans="4:4" x14ac:dyDescent="0.35">
      <c r="D296"/>
    </row>
    <row r="297" spans="4:4" x14ac:dyDescent="0.35">
      <c r="D297"/>
    </row>
    <row r="298" spans="4:4" x14ac:dyDescent="0.35">
      <c r="D298"/>
    </row>
    <row r="299" spans="4:4" x14ac:dyDescent="0.35">
      <c r="D299"/>
    </row>
    <row r="300" spans="4:4" x14ac:dyDescent="0.35">
      <c r="D300"/>
    </row>
    <row r="301" spans="4:4" x14ac:dyDescent="0.35">
      <c r="D301"/>
    </row>
    <row r="302" spans="4:4" x14ac:dyDescent="0.35">
      <c r="D302"/>
    </row>
    <row r="303" spans="4:4" x14ac:dyDescent="0.35">
      <c r="D303"/>
    </row>
    <row r="304" spans="4:4" x14ac:dyDescent="0.35">
      <c r="D304"/>
    </row>
    <row r="305" spans="4:4" x14ac:dyDescent="0.35">
      <c r="D305"/>
    </row>
    <row r="306" spans="4:4" x14ac:dyDescent="0.35">
      <c r="D306"/>
    </row>
    <row r="307" spans="4:4" x14ac:dyDescent="0.35">
      <c r="D307"/>
    </row>
    <row r="308" spans="4:4" x14ac:dyDescent="0.35">
      <c r="D308"/>
    </row>
    <row r="309" spans="4:4" x14ac:dyDescent="0.35">
      <c r="D309"/>
    </row>
    <row r="310" spans="4:4" x14ac:dyDescent="0.35">
      <c r="D310"/>
    </row>
    <row r="311" spans="4:4" x14ac:dyDescent="0.35">
      <c r="D311"/>
    </row>
    <row r="312" spans="4:4" x14ac:dyDescent="0.35">
      <c r="D312"/>
    </row>
    <row r="313" spans="4:4" x14ac:dyDescent="0.35">
      <c r="D313"/>
    </row>
    <row r="314" spans="4:4" x14ac:dyDescent="0.35">
      <c r="D314"/>
    </row>
    <row r="315" spans="4:4" x14ac:dyDescent="0.35">
      <c r="D315"/>
    </row>
    <row r="316" spans="4:4" x14ac:dyDescent="0.35">
      <c r="D316"/>
    </row>
    <row r="317" spans="4:4" x14ac:dyDescent="0.35">
      <c r="D317"/>
    </row>
    <row r="318" spans="4:4" x14ac:dyDescent="0.35">
      <c r="D318"/>
    </row>
    <row r="319" spans="4:4" x14ac:dyDescent="0.35">
      <c r="D319"/>
    </row>
    <row r="320" spans="4:4" x14ac:dyDescent="0.35">
      <c r="D320"/>
    </row>
    <row r="321" spans="4:4" x14ac:dyDescent="0.35">
      <c r="D321"/>
    </row>
    <row r="322" spans="4:4" x14ac:dyDescent="0.35">
      <c r="D322"/>
    </row>
    <row r="323" spans="4:4" x14ac:dyDescent="0.35">
      <c r="D323"/>
    </row>
    <row r="324" spans="4:4" x14ac:dyDescent="0.35">
      <c r="D324"/>
    </row>
    <row r="325" spans="4:4" x14ac:dyDescent="0.35">
      <c r="D325"/>
    </row>
    <row r="326" spans="4:4" x14ac:dyDescent="0.35">
      <c r="D326"/>
    </row>
    <row r="327" spans="4:4" x14ac:dyDescent="0.35">
      <c r="D327"/>
    </row>
    <row r="328" spans="4:4" x14ac:dyDescent="0.35">
      <c r="D328"/>
    </row>
    <row r="329" spans="4:4" x14ac:dyDescent="0.35">
      <c r="D329"/>
    </row>
    <row r="330" spans="4:4" x14ac:dyDescent="0.35">
      <c r="D330"/>
    </row>
    <row r="331" spans="4:4" x14ac:dyDescent="0.35">
      <c r="D331"/>
    </row>
    <row r="332" spans="4:4" x14ac:dyDescent="0.35">
      <c r="D332"/>
    </row>
    <row r="333" spans="4:4" x14ac:dyDescent="0.35">
      <c r="D333"/>
    </row>
    <row r="334" spans="4:4" x14ac:dyDescent="0.35">
      <c r="D334"/>
    </row>
    <row r="335" spans="4:4" x14ac:dyDescent="0.35">
      <c r="D335"/>
    </row>
    <row r="336" spans="4:4" x14ac:dyDescent="0.35">
      <c r="D336"/>
    </row>
    <row r="337" spans="4:4" x14ac:dyDescent="0.35">
      <c r="D337"/>
    </row>
    <row r="338" spans="4:4" x14ac:dyDescent="0.35">
      <c r="D338"/>
    </row>
    <row r="339" spans="4:4" x14ac:dyDescent="0.35">
      <c r="D339"/>
    </row>
    <row r="340" spans="4:4" x14ac:dyDescent="0.35">
      <c r="D340"/>
    </row>
    <row r="341" spans="4:4" x14ac:dyDescent="0.35">
      <c r="D341"/>
    </row>
    <row r="342" spans="4:4" x14ac:dyDescent="0.35">
      <c r="D342"/>
    </row>
    <row r="343" spans="4:4" x14ac:dyDescent="0.35">
      <c r="D343"/>
    </row>
    <row r="344" spans="4:4" x14ac:dyDescent="0.35">
      <c r="D344"/>
    </row>
    <row r="345" spans="4:4" x14ac:dyDescent="0.35">
      <c r="D345"/>
    </row>
    <row r="346" spans="4:4" x14ac:dyDescent="0.35">
      <c r="D346"/>
    </row>
    <row r="347" spans="4:4" x14ac:dyDescent="0.35">
      <c r="D347"/>
    </row>
    <row r="348" spans="4:4" x14ac:dyDescent="0.35">
      <c r="D348"/>
    </row>
    <row r="349" spans="4:4" x14ac:dyDescent="0.35">
      <c r="D349"/>
    </row>
    <row r="350" spans="4:4" x14ac:dyDescent="0.35">
      <c r="D350"/>
    </row>
    <row r="351" spans="4:4" x14ac:dyDescent="0.35">
      <c r="D351"/>
    </row>
    <row r="352" spans="4:4" x14ac:dyDescent="0.35">
      <c r="D352"/>
    </row>
    <row r="353" spans="4:4" x14ac:dyDescent="0.35">
      <c r="D353"/>
    </row>
    <row r="354" spans="4:4" x14ac:dyDescent="0.35">
      <c r="D354"/>
    </row>
    <row r="355" spans="4:4" x14ac:dyDescent="0.35">
      <c r="D355"/>
    </row>
    <row r="356" spans="4:4" x14ac:dyDescent="0.35">
      <c r="D356"/>
    </row>
    <row r="357" spans="4:4" x14ac:dyDescent="0.35">
      <c r="D357"/>
    </row>
    <row r="358" spans="4:4" x14ac:dyDescent="0.35">
      <c r="D358"/>
    </row>
    <row r="359" spans="4:4" x14ac:dyDescent="0.35">
      <c r="D359"/>
    </row>
    <row r="360" spans="4:4" x14ac:dyDescent="0.35">
      <c r="D360"/>
    </row>
    <row r="361" spans="4:4" x14ac:dyDescent="0.35">
      <c r="D361"/>
    </row>
    <row r="362" spans="4:4" x14ac:dyDescent="0.35">
      <c r="D362"/>
    </row>
    <row r="363" spans="4:4" x14ac:dyDescent="0.35">
      <c r="D363"/>
    </row>
    <row r="364" spans="4:4" x14ac:dyDescent="0.35">
      <c r="D364"/>
    </row>
    <row r="365" spans="4:4" x14ac:dyDescent="0.35">
      <c r="D365"/>
    </row>
    <row r="366" spans="4:4" x14ac:dyDescent="0.35">
      <c r="D366"/>
    </row>
    <row r="367" spans="4:4" x14ac:dyDescent="0.35">
      <c r="D367"/>
    </row>
    <row r="368" spans="4:4" x14ac:dyDescent="0.35">
      <c r="D368"/>
    </row>
    <row r="369" spans="4:4" x14ac:dyDescent="0.35">
      <c r="D369"/>
    </row>
    <row r="370" spans="4:4" x14ac:dyDescent="0.35">
      <c r="D370"/>
    </row>
    <row r="371" spans="4:4" x14ac:dyDescent="0.35">
      <c r="D371"/>
    </row>
    <row r="372" spans="4:4" x14ac:dyDescent="0.35">
      <c r="D372"/>
    </row>
    <row r="373" spans="4:4" x14ac:dyDescent="0.35">
      <c r="D373"/>
    </row>
    <row r="374" spans="4:4" x14ac:dyDescent="0.35">
      <c r="D374"/>
    </row>
    <row r="375" spans="4:4" x14ac:dyDescent="0.35">
      <c r="D375"/>
    </row>
    <row r="376" spans="4:4" x14ac:dyDescent="0.35">
      <c r="D376"/>
    </row>
    <row r="377" spans="4:4" x14ac:dyDescent="0.35">
      <c r="D377"/>
    </row>
    <row r="378" spans="4:4" x14ac:dyDescent="0.35">
      <c r="D378"/>
    </row>
    <row r="379" spans="4:4" x14ac:dyDescent="0.35">
      <c r="D379"/>
    </row>
    <row r="380" spans="4:4" x14ac:dyDescent="0.35">
      <c r="D380"/>
    </row>
    <row r="381" spans="4:4" x14ac:dyDescent="0.35">
      <c r="D381"/>
    </row>
    <row r="382" spans="4:4" x14ac:dyDescent="0.35">
      <c r="D382"/>
    </row>
    <row r="383" spans="4:4" x14ac:dyDescent="0.35">
      <c r="D383"/>
    </row>
    <row r="384" spans="4:4" x14ac:dyDescent="0.35">
      <c r="D384"/>
    </row>
    <row r="385" spans="4:4" x14ac:dyDescent="0.35">
      <c r="D385"/>
    </row>
    <row r="386" spans="4:4" x14ac:dyDescent="0.35">
      <c r="D386"/>
    </row>
    <row r="387" spans="4:4" x14ac:dyDescent="0.35">
      <c r="D387"/>
    </row>
    <row r="388" spans="4:4" x14ac:dyDescent="0.35">
      <c r="D388"/>
    </row>
    <row r="389" spans="4:4" x14ac:dyDescent="0.35">
      <c r="D389"/>
    </row>
    <row r="390" spans="4:4" x14ac:dyDescent="0.35">
      <c r="D390"/>
    </row>
    <row r="391" spans="4:4" x14ac:dyDescent="0.35">
      <c r="D391"/>
    </row>
    <row r="392" spans="4:4" x14ac:dyDescent="0.35">
      <c r="D392"/>
    </row>
    <row r="393" spans="4:4" x14ac:dyDescent="0.35">
      <c r="D393"/>
    </row>
    <row r="394" spans="4:4" x14ac:dyDescent="0.35">
      <c r="D394"/>
    </row>
    <row r="395" spans="4:4" x14ac:dyDescent="0.35">
      <c r="D395"/>
    </row>
    <row r="396" spans="4:4" x14ac:dyDescent="0.35">
      <c r="D396"/>
    </row>
    <row r="397" spans="4:4" x14ac:dyDescent="0.35">
      <c r="D397"/>
    </row>
    <row r="398" spans="4:4" x14ac:dyDescent="0.35">
      <c r="D398"/>
    </row>
    <row r="399" spans="4:4" x14ac:dyDescent="0.35">
      <c r="D399"/>
    </row>
    <row r="400" spans="4:4" x14ac:dyDescent="0.35">
      <c r="D400"/>
    </row>
    <row r="401" spans="4:4" x14ac:dyDescent="0.35">
      <c r="D401"/>
    </row>
    <row r="402" spans="4:4" x14ac:dyDescent="0.35">
      <c r="D402"/>
    </row>
    <row r="403" spans="4:4" x14ac:dyDescent="0.35">
      <c r="D403"/>
    </row>
    <row r="404" spans="4:4" x14ac:dyDescent="0.35">
      <c r="D404"/>
    </row>
    <row r="405" spans="4:4" x14ac:dyDescent="0.35">
      <c r="D405"/>
    </row>
    <row r="406" spans="4:4" x14ac:dyDescent="0.35">
      <c r="D406"/>
    </row>
    <row r="407" spans="4:4" x14ac:dyDescent="0.35">
      <c r="D407"/>
    </row>
    <row r="408" spans="4:4" x14ac:dyDescent="0.35">
      <c r="D408"/>
    </row>
    <row r="409" spans="4:4" x14ac:dyDescent="0.35">
      <c r="D409"/>
    </row>
    <row r="410" spans="4:4" x14ac:dyDescent="0.35">
      <c r="D410"/>
    </row>
    <row r="411" spans="4:4" x14ac:dyDescent="0.35">
      <c r="D411"/>
    </row>
    <row r="412" spans="4:4" x14ac:dyDescent="0.35">
      <c r="D412"/>
    </row>
    <row r="413" spans="4:4" x14ac:dyDescent="0.35">
      <c r="D413"/>
    </row>
    <row r="414" spans="4:4" x14ac:dyDescent="0.35">
      <c r="D414"/>
    </row>
    <row r="415" spans="4:4" x14ac:dyDescent="0.35">
      <c r="D415"/>
    </row>
    <row r="416" spans="4:4" x14ac:dyDescent="0.35">
      <c r="D416"/>
    </row>
    <row r="417" spans="4:4" x14ac:dyDescent="0.35">
      <c r="D417"/>
    </row>
    <row r="418" spans="4:4" x14ac:dyDescent="0.35">
      <c r="D418"/>
    </row>
    <row r="419" spans="4:4" x14ac:dyDescent="0.35">
      <c r="D419"/>
    </row>
    <row r="420" spans="4:4" x14ac:dyDescent="0.35">
      <c r="D420"/>
    </row>
    <row r="421" spans="4:4" x14ac:dyDescent="0.35">
      <c r="D421"/>
    </row>
    <row r="422" spans="4:4" x14ac:dyDescent="0.35">
      <c r="D422"/>
    </row>
    <row r="423" spans="4:4" x14ac:dyDescent="0.35">
      <c r="D423"/>
    </row>
    <row r="424" spans="4:4" x14ac:dyDescent="0.35">
      <c r="D424"/>
    </row>
    <row r="425" spans="4:4" x14ac:dyDescent="0.35">
      <c r="D425"/>
    </row>
    <row r="426" spans="4:4" x14ac:dyDescent="0.35">
      <c r="D426"/>
    </row>
    <row r="427" spans="4:4" x14ac:dyDescent="0.35">
      <c r="D427"/>
    </row>
    <row r="428" spans="4:4" x14ac:dyDescent="0.35">
      <c r="D428"/>
    </row>
    <row r="429" spans="4:4" x14ac:dyDescent="0.35">
      <c r="D429"/>
    </row>
    <row r="430" spans="4:4" x14ac:dyDescent="0.35">
      <c r="D430"/>
    </row>
    <row r="431" spans="4:4" x14ac:dyDescent="0.35">
      <c r="D431"/>
    </row>
    <row r="432" spans="4:4" x14ac:dyDescent="0.35">
      <c r="D432"/>
    </row>
    <row r="433" spans="4:4" x14ac:dyDescent="0.35">
      <c r="D433"/>
    </row>
    <row r="434" spans="4:4" x14ac:dyDescent="0.35">
      <c r="D434"/>
    </row>
    <row r="435" spans="4:4" x14ac:dyDescent="0.35">
      <c r="D435"/>
    </row>
    <row r="436" spans="4:4" x14ac:dyDescent="0.35">
      <c r="D436"/>
    </row>
    <row r="437" spans="4:4" x14ac:dyDescent="0.35">
      <c r="D437"/>
    </row>
    <row r="438" spans="4:4" x14ac:dyDescent="0.35">
      <c r="D438"/>
    </row>
    <row r="439" spans="4:4" x14ac:dyDescent="0.35">
      <c r="D439"/>
    </row>
    <row r="440" spans="4:4" x14ac:dyDescent="0.35">
      <c r="D440"/>
    </row>
    <row r="441" spans="4:4" x14ac:dyDescent="0.35">
      <c r="D441"/>
    </row>
    <row r="442" spans="4:4" x14ac:dyDescent="0.35">
      <c r="D442"/>
    </row>
    <row r="443" spans="4:4" x14ac:dyDescent="0.35">
      <c r="D443"/>
    </row>
    <row r="444" spans="4:4" x14ac:dyDescent="0.35">
      <c r="D444"/>
    </row>
    <row r="445" spans="4:4" x14ac:dyDescent="0.35">
      <c r="D445"/>
    </row>
    <row r="446" spans="4:4" x14ac:dyDescent="0.35">
      <c r="D446"/>
    </row>
    <row r="447" spans="4:4" x14ac:dyDescent="0.35">
      <c r="D447"/>
    </row>
    <row r="448" spans="4:4" x14ac:dyDescent="0.35">
      <c r="D448"/>
    </row>
    <row r="449" spans="4:4" x14ac:dyDescent="0.35">
      <c r="D449"/>
    </row>
    <row r="450" spans="4:4" x14ac:dyDescent="0.35">
      <c r="D450"/>
    </row>
    <row r="451" spans="4:4" x14ac:dyDescent="0.35">
      <c r="D451"/>
    </row>
    <row r="452" spans="4:4" x14ac:dyDescent="0.35">
      <c r="D452"/>
    </row>
    <row r="453" spans="4:4" x14ac:dyDescent="0.35">
      <c r="D453"/>
    </row>
    <row r="454" spans="4:4" x14ac:dyDescent="0.35">
      <c r="D454"/>
    </row>
    <row r="455" spans="4:4" x14ac:dyDescent="0.35">
      <c r="D455"/>
    </row>
    <row r="456" spans="4:4" x14ac:dyDescent="0.35">
      <c r="D456"/>
    </row>
    <row r="457" spans="4:4" x14ac:dyDescent="0.35">
      <c r="D457"/>
    </row>
    <row r="458" spans="4:4" x14ac:dyDescent="0.35">
      <c r="D458"/>
    </row>
    <row r="459" spans="4:4" x14ac:dyDescent="0.35">
      <c r="D459"/>
    </row>
    <row r="460" spans="4:4" x14ac:dyDescent="0.35">
      <c r="D460"/>
    </row>
    <row r="461" spans="4:4" x14ac:dyDescent="0.35">
      <c r="D461"/>
    </row>
    <row r="462" spans="4:4" x14ac:dyDescent="0.35">
      <c r="D462"/>
    </row>
    <row r="463" spans="4:4" x14ac:dyDescent="0.35">
      <c r="D463"/>
    </row>
    <row r="464" spans="4:4" x14ac:dyDescent="0.35">
      <c r="D464"/>
    </row>
    <row r="465" spans="4:4" x14ac:dyDescent="0.35">
      <c r="D465"/>
    </row>
    <row r="466" spans="4:4" x14ac:dyDescent="0.35">
      <c r="D466"/>
    </row>
    <row r="467" spans="4:4" x14ac:dyDescent="0.35">
      <c r="D467"/>
    </row>
    <row r="468" spans="4:4" x14ac:dyDescent="0.35">
      <c r="D468"/>
    </row>
    <row r="469" spans="4:4" x14ac:dyDescent="0.35">
      <c r="D469"/>
    </row>
    <row r="470" spans="4:4" x14ac:dyDescent="0.35">
      <c r="D470"/>
    </row>
    <row r="471" spans="4:4" x14ac:dyDescent="0.35">
      <c r="D471"/>
    </row>
    <row r="472" spans="4:4" x14ac:dyDescent="0.35">
      <c r="D472"/>
    </row>
    <row r="473" spans="4:4" x14ac:dyDescent="0.35">
      <c r="D473"/>
    </row>
    <row r="474" spans="4:4" x14ac:dyDescent="0.35">
      <c r="D474"/>
    </row>
    <row r="475" spans="4:4" x14ac:dyDescent="0.35">
      <c r="D475"/>
    </row>
    <row r="476" spans="4:4" x14ac:dyDescent="0.35">
      <c r="D476"/>
    </row>
    <row r="477" spans="4:4" x14ac:dyDescent="0.35">
      <c r="D477"/>
    </row>
    <row r="478" spans="4:4" x14ac:dyDescent="0.35">
      <c r="D478"/>
    </row>
    <row r="479" spans="4:4" x14ac:dyDescent="0.35">
      <c r="D479"/>
    </row>
    <row r="480" spans="4:4" x14ac:dyDescent="0.35">
      <c r="D480"/>
    </row>
    <row r="481" spans="4:4" x14ac:dyDescent="0.35">
      <c r="D481"/>
    </row>
    <row r="482" spans="4:4" x14ac:dyDescent="0.35">
      <c r="D482"/>
    </row>
    <row r="483" spans="4:4" x14ac:dyDescent="0.35">
      <c r="D483"/>
    </row>
    <row r="484" spans="4:4" x14ac:dyDescent="0.35">
      <c r="D484"/>
    </row>
    <row r="485" spans="4:4" x14ac:dyDescent="0.35">
      <c r="D485"/>
    </row>
    <row r="486" spans="4:4" x14ac:dyDescent="0.35">
      <c r="D486"/>
    </row>
    <row r="487" spans="4:4" x14ac:dyDescent="0.35">
      <c r="D487"/>
    </row>
    <row r="488" spans="4:4" x14ac:dyDescent="0.35">
      <c r="D488"/>
    </row>
    <row r="489" spans="4:4" x14ac:dyDescent="0.35">
      <c r="D489"/>
    </row>
    <row r="490" spans="4:4" x14ac:dyDescent="0.35">
      <c r="D490"/>
    </row>
    <row r="491" spans="4:4" x14ac:dyDescent="0.35">
      <c r="D491"/>
    </row>
    <row r="492" spans="4:4" x14ac:dyDescent="0.35">
      <c r="D492"/>
    </row>
    <row r="493" spans="4:4" x14ac:dyDescent="0.35">
      <c r="D493"/>
    </row>
    <row r="494" spans="4:4" x14ac:dyDescent="0.35">
      <c r="D494"/>
    </row>
    <row r="495" spans="4:4" x14ac:dyDescent="0.35">
      <c r="D495"/>
    </row>
    <row r="496" spans="4:4" x14ac:dyDescent="0.35">
      <c r="D496"/>
    </row>
    <row r="497" spans="4:4" x14ac:dyDescent="0.35">
      <c r="D497"/>
    </row>
    <row r="498" spans="4:4" x14ac:dyDescent="0.35">
      <c r="D498"/>
    </row>
    <row r="499" spans="4:4" x14ac:dyDescent="0.35">
      <c r="D499"/>
    </row>
    <row r="500" spans="4:4" x14ac:dyDescent="0.35">
      <c r="D500"/>
    </row>
    <row r="501" spans="4:4" x14ac:dyDescent="0.35">
      <c r="D501"/>
    </row>
    <row r="502" spans="4:4" x14ac:dyDescent="0.35">
      <c r="D502"/>
    </row>
    <row r="503" spans="4:4" x14ac:dyDescent="0.35">
      <c r="D503"/>
    </row>
    <row r="504" spans="4:4" x14ac:dyDescent="0.35">
      <c r="D504"/>
    </row>
    <row r="505" spans="4:4" x14ac:dyDescent="0.35">
      <c r="D505"/>
    </row>
    <row r="506" spans="4:4" x14ac:dyDescent="0.35">
      <c r="D506"/>
    </row>
    <row r="507" spans="4:4" x14ac:dyDescent="0.35">
      <c r="D507"/>
    </row>
    <row r="508" spans="4:4" x14ac:dyDescent="0.35">
      <c r="D508"/>
    </row>
    <row r="509" spans="4:4" x14ac:dyDescent="0.35">
      <c r="D509"/>
    </row>
    <row r="510" spans="4:4" x14ac:dyDescent="0.35">
      <c r="D510"/>
    </row>
    <row r="511" spans="4:4" x14ac:dyDescent="0.35">
      <c r="D511"/>
    </row>
    <row r="512" spans="4:4" x14ac:dyDescent="0.35">
      <c r="D512"/>
    </row>
    <row r="513" spans="4:4" x14ac:dyDescent="0.35">
      <c r="D513"/>
    </row>
    <row r="514" spans="4:4" x14ac:dyDescent="0.35">
      <c r="D514"/>
    </row>
    <row r="515" spans="4:4" x14ac:dyDescent="0.35">
      <c r="D515"/>
    </row>
    <row r="516" spans="4:4" x14ac:dyDescent="0.35">
      <c r="D516"/>
    </row>
    <row r="517" spans="4:4" x14ac:dyDescent="0.35">
      <c r="D517"/>
    </row>
    <row r="518" spans="4:4" x14ac:dyDescent="0.35">
      <c r="D518"/>
    </row>
    <row r="519" spans="4:4" x14ac:dyDescent="0.35">
      <c r="D519"/>
    </row>
    <row r="520" spans="4:4" x14ac:dyDescent="0.35">
      <c r="D520"/>
    </row>
    <row r="521" spans="4:4" x14ac:dyDescent="0.35">
      <c r="D521"/>
    </row>
    <row r="522" spans="4:4" x14ac:dyDescent="0.35">
      <c r="D522"/>
    </row>
    <row r="523" spans="4:4" x14ac:dyDescent="0.35">
      <c r="D523"/>
    </row>
    <row r="524" spans="4:4" x14ac:dyDescent="0.35">
      <c r="D524"/>
    </row>
    <row r="525" spans="4:4" x14ac:dyDescent="0.35">
      <c r="D525"/>
    </row>
    <row r="526" spans="4:4" x14ac:dyDescent="0.35">
      <c r="D526"/>
    </row>
    <row r="527" spans="4:4" x14ac:dyDescent="0.35">
      <c r="D527"/>
    </row>
    <row r="528" spans="4:4" x14ac:dyDescent="0.35">
      <c r="D528"/>
    </row>
    <row r="529" spans="4:4" x14ac:dyDescent="0.35">
      <c r="D529"/>
    </row>
    <row r="530" spans="4:4" x14ac:dyDescent="0.35">
      <c r="D530"/>
    </row>
    <row r="531" spans="4:4" x14ac:dyDescent="0.35">
      <c r="D531"/>
    </row>
    <row r="532" spans="4:4" x14ac:dyDescent="0.35">
      <c r="D532"/>
    </row>
    <row r="533" spans="4:4" x14ac:dyDescent="0.35">
      <c r="D533"/>
    </row>
    <row r="534" spans="4:4" x14ac:dyDescent="0.35">
      <c r="D534"/>
    </row>
    <row r="535" spans="4:4" x14ac:dyDescent="0.35">
      <c r="D535"/>
    </row>
    <row r="536" spans="4:4" x14ac:dyDescent="0.35">
      <c r="D536"/>
    </row>
    <row r="537" spans="4:4" x14ac:dyDescent="0.35">
      <c r="D537"/>
    </row>
    <row r="538" spans="4:4" x14ac:dyDescent="0.35">
      <c r="D538"/>
    </row>
    <row r="539" spans="4:4" x14ac:dyDescent="0.35">
      <c r="D539"/>
    </row>
    <row r="540" spans="4:4" x14ac:dyDescent="0.35">
      <c r="D540"/>
    </row>
    <row r="541" spans="4:4" x14ac:dyDescent="0.35">
      <c r="D541"/>
    </row>
    <row r="542" spans="4:4" x14ac:dyDescent="0.35">
      <c r="D542"/>
    </row>
    <row r="543" spans="4:4" x14ac:dyDescent="0.35">
      <c r="D543"/>
    </row>
    <row r="544" spans="4:4" x14ac:dyDescent="0.35">
      <c r="D544"/>
    </row>
    <row r="545" spans="4:4" x14ac:dyDescent="0.35">
      <c r="D545"/>
    </row>
    <row r="546" spans="4:4" x14ac:dyDescent="0.35">
      <c r="D546"/>
    </row>
  </sheetData>
  <mergeCells count="2">
    <mergeCell ref="B3:D3"/>
    <mergeCell ref="B2:C2"/>
  </mergeCells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NA1047094"/>
  <sheetViews>
    <sheetView tabSelected="1" zoomScaleNormal="100" workbookViewId="0">
      <pane xSplit="9" ySplit="3" topLeftCell="J913" activePane="bottomRight" state="frozen"/>
      <selection pane="topRight" activeCell="G1" sqref="G1"/>
      <selection pane="bottomLeft" activeCell="A2" sqref="A2"/>
      <selection pane="bottomRight" activeCell="B926" sqref="B926"/>
    </sheetView>
  </sheetViews>
  <sheetFormatPr baseColWidth="10" defaultColWidth="11.54296875" defaultRowHeight="12" x14ac:dyDescent="0.3"/>
  <cols>
    <col min="1" max="1" width="5.26953125" style="109" bestFit="1" customWidth="1"/>
    <col min="2" max="2" width="11.7265625" style="46" bestFit="1" customWidth="1"/>
    <col min="3" max="3" width="9.7265625" style="46" customWidth="1"/>
    <col min="4" max="4" width="9" style="13" bestFit="1" customWidth="1"/>
    <col min="5" max="5" width="12.81640625" style="13" bestFit="1" customWidth="1"/>
    <col min="6" max="6" width="8.7265625" style="13" bestFit="1" customWidth="1"/>
    <col min="7" max="7" width="16.7265625" style="14" customWidth="1"/>
    <col min="8" max="8" width="12.81640625" style="14" customWidth="1"/>
    <col min="9" max="9" width="35.7265625" style="14" customWidth="1"/>
    <col min="10" max="10" width="25.7265625" style="14" customWidth="1"/>
    <col min="11" max="11" width="11.7265625" style="23" bestFit="1" customWidth="1"/>
    <col min="12" max="12" width="13.7265625" style="23" bestFit="1" customWidth="1"/>
    <col min="13" max="13" width="19.26953125" style="14" bestFit="1" customWidth="1"/>
    <col min="14" max="14" width="13.81640625" style="14" customWidth="1"/>
    <col min="15" max="15" width="31.54296875" style="14" customWidth="1"/>
    <col min="16" max="16" width="16.26953125" style="14" bestFit="1" customWidth="1"/>
    <col min="17" max="17" width="15.81640625" style="14" bestFit="1" customWidth="1"/>
    <col min="18" max="18" width="15.7265625" style="14" customWidth="1"/>
    <col min="19" max="19" width="9.7265625" style="14" customWidth="1"/>
    <col min="20" max="21" width="10.7265625" style="22" customWidth="1"/>
    <col min="22" max="22" width="10.7265625" style="16" customWidth="1"/>
    <col min="23" max="23" width="22.1796875" style="17" bestFit="1" customWidth="1"/>
    <col min="24" max="24" width="11.7265625" style="14" bestFit="1" customWidth="1"/>
    <col min="25" max="26" width="6.7265625" style="14" customWidth="1"/>
    <col min="27" max="27" width="13.7265625" style="18" customWidth="1"/>
    <col min="28" max="28" width="13.7265625" style="1" customWidth="1"/>
    <col min="29" max="29" width="13.7265625" style="2" customWidth="1"/>
    <col min="30" max="31" width="13.7265625" style="1" customWidth="1"/>
    <col min="32" max="16384" width="11.54296875" style="3"/>
  </cols>
  <sheetData>
    <row r="1" spans="1:36" s="86" customFormat="1" x14ac:dyDescent="0.3">
      <c r="A1" s="105">
        <v>1</v>
      </c>
      <c r="B1" s="88">
        <v>2</v>
      </c>
      <c r="C1" s="88">
        <v>3</v>
      </c>
      <c r="D1" s="87">
        <v>4</v>
      </c>
      <c r="E1" s="88">
        <v>5</v>
      </c>
      <c r="F1" s="88">
        <v>6</v>
      </c>
      <c r="G1" s="87">
        <v>7</v>
      </c>
      <c r="H1" s="88">
        <v>8</v>
      </c>
      <c r="I1" s="88">
        <v>9</v>
      </c>
      <c r="J1" s="87">
        <v>10</v>
      </c>
      <c r="K1" s="88">
        <v>11</v>
      </c>
      <c r="L1" s="88">
        <v>12</v>
      </c>
      <c r="M1" s="87">
        <v>13</v>
      </c>
      <c r="N1" s="88">
        <v>14</v>
      </c>
      <c r="O1" s="88">
        <v>15</v>
      </c>
      <c r="P1" s="87">
        <v>16</v>
      </c>
      <c r="Q1" s="88">
        <v>17</v>
      </c>
      <c r="R1" s="88">
        <v>18</v>
      </c>
      <c r="S1" s="87">
        <v>19</v>
      </c>
      <c r="T1" s="88">
        <v>20</v>
      </c>
      <c r="U1" s="88">
        <v>21</v>
      </c>
      <c r="V1" s="87">
        <v>22</v>
      </c>
      <c r="W1" s="88">
        <v>23</v>
      </c>
      <c r="X1" s="88">
        <v>24</v>
      </c>
      <c r="Y1" s="87">
        <v>25</v>
      </c>
      <c r="Z1" s="88">
        <v>26</v>
      </c>
      <c r="AA1" s="88">
        <v>27</v>
      </c>
      <c r="AB1" s="87">
        <v>28</v>
      </c>
      <c r="AC1" s="88">
        <v>29</v>
      </c>
      <c r="AD1" s="88">
        <v>30</v>
      </c>
      <c r="AE1" s="87">
        <v>31</v>
      </c>
    </row>
    <row r="2" spans="1:36" s="59" customFormat="1" ht="21" x14ac:dyDescent="0.5">
      <c r="A2" s="107">
        <v>2</v>
      </c>
      <c r="B2" s="128" t="s">
        <v>22</v>
      </c>
      <c r="C2" s="128"/>
      <c r="D2" s="128"/>
      <c r="E2" s="126" t="s">
        <v>23</v>
      </c>
      <c r="F2" s="126"/>
      <c r="G2" s="126"/>
      <c r="H2" s="127">
        <f ca="1">+TODAY()</f>
        <v>45831</v>
      </c>
      <c r="I2" s="127"/>
      <c r="J2" s="54"/>
      <c r="K2" s="55"/>
      <c r="L2" s="55"/>
      <c r="M2" s="54"/>
      <c r="N2" s="54"/>
      <c r="O2" s="54"/>
      <c r="P2" s="54"/>
      <c r="Q2" s="54"/>
      <c r="R2" s="73"/>
      <c r="S2" s="73"/>
      <c r="T2" s="73"/>
      <c r="U2" s="73"/>
      <c r="V2" s="73"/>
      <c r="W2" s="54"/>
      <c r="X2" s="54"/>
      <c r="Y2" s="54"/>
      <c r="Z2" s="54"/>
      <c r="AA2" s="56"/>
      <c r="AB2" s="57"/>
      <c r="AC2" s="58"/>
      <c r="AD2" s="57"/>
      <c r="AE2" s="57"/>
    </row>
    <row r="3" spans="1:36" s="12" customFormat="1" ht="36.65" customHeight="1" x14ac:dyDescent="0.35">
      <c r="A3" s="108">
        <v>3</v>
      </c>
      <c r="B3" s="45" t="s">
        <v>24</v>
      </c>
      <c r="C3" s="45" t="s">
        <v>25</v>
      </c>
      <c r="D3" s="5" t="s">
        <v>0</v>
      </c>
      <c r="E3" s="5" t="s">
        <v>26</v>
      </c>
      <c r="F3" s="5" t="s">
        <v>27</v>
      </c>
      <c r="G3" s="4" t="s">
        <v>9</v>
      </c>
      <c r="H3" s="4" t="s">
        <v>1426</v>
      </c>
      <c r="I3" s="4" t="s">
        <v>28</v>
      </c>
      <c r="J3" s="4" t="s">
        <v>29</v>
      </c>
      <c r="K3" s="6" t="s">
        <v>30</v>
      </c>
      <c r="L3" s="6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7" t="s">
        <v>39</v>
      </c>
      <c r="U3" s="7" t="s">
        <v>40</v>
      </c>
      <c r="V3" s="7" t="s">
        <v>41</v>
      </c>
      <c r="W3" s="8" t="s">
        <v>42</v>
      </c>
      <c r="X3" s="4" t="s">
        <v>43</v>
      </c>
      <c r="Y3" s="4" t="s">
        <v>956</v>
      </c>
      <c r="Z3" s="4" t="s">
        <v>44</v>
      </c>
      <c r="AA3" s="9" t="s">
        <v>45</v>
      </c>
      <c r="AB3" s="10" t="s">
        <v>46</v>
      </c>
      <c r="AC3" s="11" t="s">
        <v>47</v>
      </c>
      <c r="AD3" s="10" t="s">
        <v>48</v>
      </c>
      <c r="AE3" s="10" t="s">
        <v>950</v>
      </c>
      <c r="AJ3" s="12" t="s">
        <v>49</v>
      </c>
    </row>
    <row r="4" spans="1:36" x14ac:dyDescent="0.3">
      <c r="A4" s="105">
        <v>4</v>
      </c>
      <c r="B4" s="46">
        <v>45293</v>
      </c>
      <c r="D4" s="13" t="s">
        <v>50</v>
      </c>
      <c r="E4" s="13" t="s">
        <v>51</v>
      </c>
      <c r="F4" s="13" t="s">
        <v>52</v>
      </c>
      <c r="G4" s="14" t="s">
        <v>53</v>
      </c>
      <c r="I4" s="14" t="s">
        <v>54</v>
      </c>
      <c r="K4" s="21"/>
      <c r="L4" s="21"/>
      <c r="Q4" s="14" t="s">
        <v>55</v>
      </c>
      <c r="R4" s="14" t="s">
        <v>56</v>
      </c>
      <c r="T4" s="15"/>
      <c r="U4" s="15"/>
      <c r="V4" s="16">
        <v>5411.81</v>
      </c>
      <c r="AA4" s="18">
        <f t="shared" ref="AA4:AA35" si="0">+DATE(YEAR(C4)+1,MONTH(C4),DAY(C4))</f>
        <v>366</v>
      </c>
      <c r="AB4" s="19">
        <f t="shared" ref="AB4:AB35" ca="1" si="1">+TODAY()-AA4</f>
        <v>45465</v>
      </c>
      <c r="AC4" s="20"/>
      <c r="AD4" s="19"/>
      <c r="AE4" s="98"/>
    </row>
    <row r="5" spans="1:36" x14ac:dyDescent="0.3">
      <c r="A5" s="107">
        <v>5</v>
      </c>
      <c r="B5" s="46">
        <v>45294</v>
      </c>
      <c r="D5" s="13" t="s">
        <v>50</v>
      </c>
      <c r="E5" s="13" t="s">
        <v>51</v>
      </c>
      <c r="F5" s="13" t="s">
        <v>52</v>
      </c>
      <c r="G5" s="14" t="s">
        <v>57</v>
      </c>
      <c r="I5" s="14" t="s">
        <v>58</v>
      </c>
      <c r="K5" s="21"/>
      <c r="L5" s="21"/>
      <c r="Q5" s="14" t="s">
        <v>6</v>
      </c>
      <c r="R5" s="14" t="s">
        <v>59</v>
      </c>
      <c r="T5" s="15"/>
      <c r="U5" s="15"/>
      <c r="V5" s="16">
        <v>1390.15</v>
      </c>
      <c r="AA5" s="18">
        <f t="shared" si="0"/>
        <v>366</v>
      </c>
      <c r="AB5" s="19">
        <f t="shared" ca="1" si="1"/>
        <v>45465</v>
      </c>
      <c r="AC5" s="20"/>
      <c r="AD5" s="19"/>
      <c r="AE5" s="98"/>
    </row>
    <row r="6" spans="1:36" x14ac:dyDescent="0.3">
      <c r="A6" s="108">
        <v>6</v>
      </c>
      <c r="B6" s="46">
        <v>45296</v>
      </c>
      <c r="D6" s="13" t="s">
        <v>50</v>
      </c>
      <c r="E6" s="13" t="s">
        <v>51</v>
      </c>
      <c r="F6" s="13" t="s">
        <v>52</v>
      </c>
      <c r="G6" s="14" t="s">
        <v>57</v>
      </c>
      <c r="I6" s="14" t="s">
        <v>63</v>
      </c>
      <c r="K6" s="21"/>
      <c r="L6" s="21"/>
      <c r="Q6" s="14" t="s">
        <v>3</v>
      </c>
      <c r="R6" s="14" t="s">
        <v>701</v>
      </c>
      <c r="T6" s="15"/>
      <c r="U6" s="15"/>
      <c r="V6" s="16">
        <v>540.57000000000005</v>
      </c>
      <c r="AA6" s="18">
        <f t="shared" si="0"/>
        <v>366</v>
      </c>
      <c r="AB6" s="19">
        <f t="shared" ca="1" si="1"/>
        <v>45465</v>
      </c>
      <c r="AC6" s="20"/>
      <c r="AD6" s="19"/>
      <c r="AE6" s="98"/>
    </row>
    <row r="7" spans="1:36" ht="12" customHeight="1" x14ac:dyDescent="0.3">
      <c r="A7" s="105">
        <v>7</v>
      </c>
      <c r="B7" s="46">
        <v>45296</v>
      </c>
      <c r="D7" s="13" t="s">
        <v>50</v>
      </c>
      <c r="E7" s="13" t="s">
        <v>51</v>
      </c>
      <c r="F7" s="13" t="s">
        <v>52</v>
      </c>
      <c r="G7" s="14" t="s">
        <v>60</v>
      </c>
      <c r="I7" s="14" t="s">
        <v>61</v>
      </c>
      <c r="K7" s="21"/>
      <c r="L7" s="21"/>
      <c r="Q7" s="14" t="s">
        <v>6</v>
      </c>
      <c r="R7" s="14" t="s">
        <v>62</v>
      </c>
      <c r="T7" s="15"/>
      <c r="U7" s="15"/>
      <c r="V7" s="16">
        <v>760.2</v>
      </c>
      <c r="AA7" s="18">
        <f t="shared" si="0"/>
        <v>366</v>
      </c>
      <c r="AB7" s="19">
        <f t="shared" ca="1" si="1"/>
        <v>45465</v>
      </c>
      <c r="AC7" s="20"/>
      <c r="AD7" s="19"/>
      <c r="AE7" s="98"/>
    </row>
    <row r="8" spans="1:36" ht="12" customHeight="1" x14ac:dyDescent="0.3">
      <c r="A8" s="107">
        <v>8</v>
      </c>
      <c r="B8" s="46">
        <v>45296</v>
      </c>
      <c r="D8" s="13" t="s">
        <v>50</v>
      </c>
      <c r="E8" s="13" t="s">
        <v>65</v>
      </c>
      <c r="F8" s="13" t="s">
        <v>66</v>
      </c>
      <c r="G8" s="14" t="s">
        <v>16</v>
      </c>
      <c r="H8" s="14">
        <v>15037</v>
      </c>
      <c r="I8" s="14" t="s">
        <v>67</v>
      </c>
      <c r="J8" s="14" t="s">
        <v>68</v>
      </c>
      <c r="K8" s="21">
        <v>922893987</v>
      </c>
      <c r="L8" s="21"/>
      <c r="M8" s="14" t="s">
        <v>69</v>
      </c>
      <c r="N8" s="14" t="s">
        <v>70</v>
      </c>
      <c r="O8" s="14" t="s">
        <v>67</v>
      </c>
      <c r="P8" s="14" t="s">
        <v>71</v>
      </c>
      <c r="Q8" s="14" t="s">
        <v>5</v>
      </c>
      <c r="R8" s="14" t="s">
        <v>72</v>
      </c>
      <c r="S8" s="14" t="s">
        <v>71</v>
      </c>
      <c r="T8" s="15">
        <v>104.72</v>
      </c>
      <c r="U8" s="15"/>
      <c r="V8" s="74">
        <f>+T8*12/(1.005)</f>
        <v>1250.3880597014925</v>
      </c>
      <c r="X8" s="14" t="s">
        <v>73</v>
      </c>
      <c r="Z8" s="14" t="s">
        <v>74</v>
      </c>
      <c r="AA8" s="18">
        <f t="shared" si="0"/>
        <v>366</v>
      </c>
      <c r="AB8" s="19">
        <f t="shared" ca="1" si="1"/>
        <v>45465</v>
      </c>
      <c r="AC8" s="20"/>
      <c r="AD8" s="19"/>
      <c r="AE8" s="98"/>
    </row>
    <row r="9" spans="1:36" x14ac:dyDescent="0.3">
      <c r="A9" s="108">
        <v>9</v>
      </c>
      <c r="B9" s="46">
        <v>45299</v>
      </c>
      <c r="D9" s="13" t="s">
        <v>50</v>
      </c>
      <c r="E9" s="13" t="s">
        <v>51</v>
      </c>
      <c r="F9" s="13" t="s">
        <v>52</v>
      </c>
      <c r="G9" s="14" t="s">
        <v>78</v>
      </c>
      <c r="I9" s="14" t="s">
        <v>79</v>
      </c>
      <c r="K9" s="21"/>
      <c r="L9" s="21"/>
      <c r="Q9" s="14" t="s">
        <v>6</v>
      </c>
      <c r="R9" s="14" t="s">
        <v>80</v>
      </c>
      <c r="T9" s="15"/>
      <c r="U9" s="15"/>
      <c r="V9" s="16">
        <v>3141.87</v>
      </c>
      <c r="AA9" s="18">
        <f t="shared" si="0"/>
        <v>366</v>
      </c>
      <c r="AB9" s="19">
        <f t="shared" ca="1" si="1"/>
        <v>45465</v>
      </c>
      <c r="AC9" s="20"/>
      <c r="AD9" s="19"/>
      <c r="AE9" s="98"/>
    </row>
    <row r="10" spans="1:36" x14ac:dyDescent="0.3">
      <c r="A10" s="105">
        <v>10</v>
      </c>
      <c r="B10" s="46">
        <v>45299</v>
      </c>
      <c r="D10" s="13" t="s">
        <v>50</v>
      </c>
      <c r="E10" s="13" t="s">
        <v>51</v>
      </c>
      <c r="F10" s="13" t="s">
        <v>52</v>
      </c>
      <c r="G10" s="14" t="s">
        <v>75</v>
      </c>
      <c r="I10" s="14" t="s">
        <v>76</v>
      </c>
      <c r="K10" s="21"/>
      <c r="L10" s="21"/>
      <c r="Q10" s="14" t="s">
        <v>399</v>
      </c>
      <c r="R10" s="14" t="s">
        <v>77</v>
      </c>
      <c r="T10" s="15"/>
      <c r="U10" s="15"/>
      <c r="V10" s="16">
        <v>2204.08</v>
      </c>
      <c r="AA10" s="18">
        <f t="shared" si="0"/>
        <v>366</v>
      </c>
      <c r="AB10" s="19">
        <f t="shared" ca="1" si="1"/>
        <v>45465</v>
      </c>
      <c r="AC10" s="20"/>
      <c r="AD10" s="19"/>
      <c r="AE10" s="98"/>
    </row>
    <row r="11" spans="1:36" ht="12" customHeight="1" x14ac:dyDescent="0.3">
      <c r="A11" s="107">
        <v>11</v>
      </c>
      <c r="B11" s="46">
        <v>45299</v>
      </c>
      <c r="C11" s="46">
        <v>45323</v>
      </c>
      <c r="D11" s="13" t="s">
        <v>50</v>
      </c>
      <c r="E11" s="13" t="s">
        <v>51</v>
      </c>
      <c r="F11" s="13" t="s">
        <v>66</v>
      </c>
      <c r="G11" s="14" t="s">
        <v>15</v>
      </c>
      <c r="H11" s="14" t="s">
        <v>81</v>
      </c>
      <c r="I11" s="14" t="s">
        <v>82</v>
      </c>
      <c r="J11" s="14" t="s">
        <v>28</v>
      </c>
      <c r="K11" s="21">
        <v>926312836</v>
      </c>
      <c r="L11" s="21">
        <v>992564671</v>
      </c>
      <c r="M11" s="14" t="s">
        <v>69</v>
      </c>
      <c r="N11" s="14" t="s">
        <v>70</v>
      </c>
      <c r="O11" s="14" t="s">
        <v>82</v>
      </c>
      <c r="P11" s="14" t="s">
        <v>71</v>
      </c>
      <c r="Q11" s="14" t="s">
        <v>3</v>
      </c>
      <c r="R11" s="14" t="s">
        <v>83</v>
      </c>
      <c r="S11" s="14" t="s">
        <v>71</v>
      </c>
      <c r="T11" s="15">
        <v>44.51</v>
      </c>
      <c r="U11" s="15"/>
      <c r="V11" s="16">
        <f>+(T11*12)/1.005-65</f>
        <v>466.46268656716427</v>
      </c>
      <c r="X11" s="14" t="s">
        <v>73</v>
      </c>
      <c r="Z11" s="14" t="s">
        <v>74</v>
      </c>
      <c r="AA11" s="18">
        <f t="shared" si="0"/>
        <v>45689</v>
      </c>
      <c r="AB11" s="19">
        <f t="shared" ca="1" si="1"/>
        <v>142</v>
      </c>
      <c r="AC11" s="20"/>
      <c r="AD11" s="19"/>
      <c r="AE11" s="98"/>
    </row>
    <row r="12" spans="1:36" x14ac:dyDescent="0.3">
      <c r="A12" s="108">
        <v>12</v>
      </c>
      <c r="B12" s="46">
        <v>45299</v>
      </c>
      <c r="C12" s="46">
        <v>45323</v>
      </c>
      <c r="D12" s="13" t="s">
        <v>50</v>
      </c>
      <c r="E12" s="13" t="s">
        <v>51</v>
      </c>
      <c r="F12" s="13" t="s">
        <v>66</v>
      </c>
      <c r="G12" s="14" t="s">
        <v>84</v>
      </c>
      <c r="H12" s="14" t="s">
        <v>85</v>
      </c>
      <c r="I12" s="14" t="s">
        <v>86</v>
      </c>
      <c r="J12" s="14" t="s">
        <v>87</v>
      </c>
      <c r="K12" s="21">
        <v>918216185</v>
      </c>
      <c r="L12" s="21">
        <v>987600106</v>
      </c>
      <c r="M12" s="14" t="s">
        <v>88</v>
      </c>
      <c r="N12" s="14" t="s">
        <v>70</v>
      </c>
      <c r="O12" s="14" t="s">
        <v>86</v>
      </c>
      <c r="P12" s="14" t="s">
        <v>71</v>
      </c>
      <c r="Q12" s="14" t="s">
        <v>3</v>
      </c>
      <c r="R12" s="14" t="s">
        <v>89</v>
      </c>
      <c r="T12" s="15">
        <v>126.69</v>
      </c>
      <c r="U12" s="15"/>
      <c r="V12" s="16">
        <f>+(T12*12)/1.005-100</f>
        <v>1412.7164179104479</v>
      </c>
      <c r="X12" s="14" t="s">
        <v>73</v>
      </c>
      <c r="Z12" s="14" t="s">
        <v>74</v>
      </c>
      <c r="AA12" s="18">
        <f t="shared" si="0"/>
        <v>45689</v>
      </c>
      <c r="AB12" s="19">
        <f t="shared" ca="1" si="1"/>
        <v>142</v>
      </c>
      <c r="AC12" s="20"/>
      <c r="AD12" s="19"/>
      <c r="AE12" s="98"/>
    </row>
    <row r="13" spans="1:36" x14ac:dyDescent="0.3">
      <c r="A13" s="105">
        <v>13</v>
      </c>
      <c r="B13" s="46">
        <v>45301</v>
      </c>
      <c r="D13" s="13" t="s">
        <v>50</v>
      </c>
      <c r="E13" s="13" t="s">
        <v>51</v>
      </c>
      <c r="F13" s="13" t="s">
        <v>52</v>
      </c>
      <c r="G13" s="14" t="s">
        <v>90</v>
      </c>
      <c r="I13" s="14" t="s">
        <v>91</v>
      </c>
      <c r="K13" s="21"/>
      <c r="L13" s="21"/>
      <c r="Q13" s="14" t="s">
        <v>6</v>
      </c>
      <c r="R13" s="14" t="s">
        <v>92</v>
      </c>
      <c r="T13" s="15"/>
      <c r="U13" s="15"/>
      <c r="V13" s="16">
        <v>647.36</v>
      </c>
      <c r="AA13" s="18">
        <f t="shared" si="0"/>
        <v>366</v>
      </c>
      <c r="AB13" s="19">
        <f t="shared" ca="1" si="1"/>
        <v>45465</v>
      </c>
      <c r="AC13" s="20"/>
      <c r="AD13" s="19"/>
      <c r="AE13" s="98"/>
    </row>
    <row r="14" spans="1:36" x14ac:dyDescent="0.3">
      <c r="A14" s="107">
        <v>14</v>
      </c>
      <c r="B14" s="46">
        <v>45301</v>
      </c>
      <c r="D14" s="13" t="s">
        <v>50</v>
      </c>
      <c r="E14" s="13" t="s">
        <v>51</v>
      </c>
      <c r="F14" s="13" t="s">
        <v>52</v>
      </c>
      <c r="G14" s="14" t="s">
        <v>60</v>
      </c>
      <c r="I14" s="14" t="s">
        <v>93</v>
      </c>
      <c r="K14" s="21"/>
      <c r="L14" s="21"/>
      <c r="Q14" s="14" t="s">
        <v>6</v>
      </c>
      <c r="R14" s="14" t="s">
        <v>94</v>
      </c>
      <c r="T14" s="15"/>
      <c r="U14" s="15"/>
      <c r="V14" s="16">
        <v>271.97000000000003</v>
      </c>
      <c r="AA14" s="18">
        <f t="shared" si="0"/>
        <v>366</v>
      </c>
      <c r="AB14" s="19">
        <f t="shared" ca="1" si="1"/>
        <v>45465</v>
      </c>
      <c r="AC14" s="20"/>
      <c r="AD14" s="19"/>
      <c r="AE14" s="98"/>
    </row>
    <row r="15" spans="1:36" x14ac:dyDescent="0.3">
      <c r="A15" s="108">
        <v>15</v>
      </c>
      <c r="B15" s="46">
        <v>45302</v>
      </c>
      <c r="D15" s="13" t="s">
        <v>50</v>
      </c>
      <c r="E15" s="13" t="s">
        <v>51</v>
      </c>
      <c r="F15" s="13" t="s">
        <v>52</v>
      </c>
      <c r="G15" s="14" t="s">
        <v>98</v>
      </c>
      <c r="I15" s="14" t="s">
        <v>99</v>
      </c>
      <c r="K15" s="21"/>
      <c r="L15" s="21"/>
      <c r="Q15" s="14" t="s">
        <v>6</v>
      </c>
      <c r="R15" s="14" t="s">
        <v>96</v>
      </c>
      <c r="T15" s="15"/>
      <c r="U15" s="15"/>
      <c r="V15" s="16">
        <v>1281.74</v>
      </c>
      <c r="AA15" s="18">
        <f t="shared" si="0"/>
        <v>366</v>
      </c>
      <c r="AB15" s="19">
        <f t="shared" ca="1" si="1"/>
        <v>45465</v>
      </c>
      <c r="AC15" s="20"/>
      <c r="AD15" s="19"/>
      <c r="AE15" s="98"/>
    </row>
    <row r="16" spans="1:36" x14ac:dyDescent="0.3">
      <c r="A16" s="105">
        <v>16</v>
      </c>
      <c r="B16" s="46">
        <v>45302</v>
      </c>
      <c r="D16" s="13" t="s">
        <v>50</v>
      </c>
      <c r="E16" s="13" t="s">
        <v>51</v>
      </c>
      <c r="F16" s="13" t="s">
        <v>52</v>
      </c>
      <c r="G16" s="14" t="s">
        <v>78</v>
      </c>
      <c r="I16" s="14" t="s">
        <v>97</v>
      </c>
      <c r="K16" s="21"/>
      <c r="L16" s="21"/>
      <c r="Q16" s="14" t="s">
        <v>6</v>
      </c>
      <c r="R16" s="14" t="s">
        <v>62</v>
      </c>
      <c r="T16" s="15"/>
      <c r="U16" s="15"/>
      <c r="V16" s="16">
        <v>429.34</v>
      </c>
      <c r="AA16" s="18">
        <f t="shared" si="0"/>
        <v>366</v>
      </c>
      <c r="AB16" s="19">
        <f t="shared" ca="1" si="1"/>
        <v>45465</v>
      </c>
      <c r="AC16" s="20"/>
      <c r="AD16" s="19"/>
      <c r="AE16" s="98"/>
    </row>
    <row r="17" spans="1:31" x14ac:dyDescent="0.3">
      <c r="A17" s="107">
        <v>17</v>
      </c>
      <c r="B17" s="46">
        <v>45302</v>
      </c>
      <c r="D17" s="13" t="s">
        <v>50</v>
      </c>
      <c r="E17" s="13" t="s">
        <v>51</v>
      </c>
      <c r="F17" s="13" t="s">
        <v>52</v>
      </c>
      <c r="G17" s="14" t="s">
        <v>78</v>
      </c>
      <c r="I17" s="14" t="s">
        <v>100</v>
      </c>
      <c r="K17" s="21"/>
      <c r="L17" s="21"/>
      <c r="Q17" s="14" t="s">
        <v>6</v>
      </c>
      <c r="R17" s="14" t="s">
        <v>62</v>
      </c>
      <c r="T17" s="15"/>
      <c r="U17" s="15"/>
      <c r="V17" s="16">
        <v>429.34</v>
      </c>
      <c r="AA17" s="18">
        <f t="shared" si="0"/>
        <v>366</v>
      </c>
      <c r="AB17" s="19">
        <f t="shared" ca="1" si="1"/>
        <v>45465</v>
      </c>
      <c r="AC17" s="20"/>
      <c r="AD17" s="19"/>
      <c r="AE17" s="98"/>
    </row>
    <row r="18" spans="1:31" x14ac:dyDescent="0.3">
      <c r="A18" s="108">
        <v>18</v>
      </c>
      <c r="B18" s="46">
        <v>45302</v>
      </c>
      <c r="D18" s="13" t="s">
        <v>50</v>
      </c>
      <c r="E18" s="13" t="s">
        <v>51</v>
      </c>
      <c r="F18" s="13" t="s">
        <v>52</v>
      </c>
      <c r="G18" s="14" t="s">
        <v>78</v>
      </c>
      <c r="I18" s="14" t="s">
        <v>101</v>
      </c>
      <c r="K18" s="21"/>
      <c r="L18" s="21"/>
      <c r="Q18" s="14" t="s">
        <v>6</v>
      </c>
      <c r="R18" s="14" t="s">
        <v>62</v>
      </c>
      <c r="T18" s="15"/>
      <c r="U18" s="15"/>
      <c r="V18" s="16">
        <v>429.34</v>
      </c>
      <c r="AA18" s="18">
        <f t="shared" si="0"/>
        <v>366</v>
      </c>
      <c r="AB18" s="19">
        <f t="shared" ca="1" si="1"/>
        <v>45465</v>
      </c>
      <c r="AC18" s="20"/>
      <c r="AD18" s="19"/>
      <c r="AE18" s="98"/>
    </row>
    <row r="19" spans="1:31" x14ac:dyDescent="0.3">
      <c r="A19" s="105">
        <v>19</v>
      </c>
      <c r="B19" s="46">
        <v>45302</v>
      </c>
      <c r="D19" s="13" t="s">
        <v>50</v>
      </c>
      <c r="E19" s="13" t="s">
        <v>51</v>
      </c>
      <c r="F19" s="13" t="s">
        <v>52</v>
      </c>
      <c r="G19" s="14" t="s">
        <v>60</v>
      </c>
      <c r="I19" s="14" t="s">
        <v>95</v>
      </c>
      <c r="K19" s="21"/>
      <c r="L19" s="21"/>
      <c r="Q19" s="14" t="s">
        <v>6</v>
      </c>
      <c r="R19" s="14" t="s">
        <v>96</v>
      </c>
      <c r="T19" s="15"/>
      <c r="U19" s="15"/>
      <c r="V19" s="16">
        <v>1085.68</v>
      </c>
      <c r="AA19" s="18">
        <f t="shared" si="0"/>
        <v>366</v>
      </c>
      <c r="AB19" s="19">
        <f t="shared" ca="1" si="1"/>
        <v>45465</v>
      </c>
      <c r="AC19" s="20"/>
      <c r="AD19" s="19"/>
      <c r="AE19" s="98"/>
    </row>
    <row r="20" spans="1:31" x14ac:dyDescent="0.3">
      <c r="A20" s="107">
        <v>20</v>
      </c>
      <c r="B20" s="46">
        <v>45303</v>
      </c>
      <c r="D20" s="13" t="s">
        <v>50</v>
      </c>
      <c r="E20" s="13" t="s">
        <v>51</v>
      </c>
      <c r="F20" s="13" t="s">
        <v>52</v>
      </c>
      <c r="G20" s="14" t="s">
        <v>60</v>
      </c>
      <c r="I20" s="14" t="s">
        <v>102</v>
      </c>
      <c r="K20" s="21"/>
      <c r="L20" s="21"/>
      <c r="Q20" s="14" t="s">
        <v>2</v>
      </c>
      <c r="R20" s="14" t="s">
        <v>103</v>
      </c>
      <c r="T20" s="15"/>
      <c r="U20" s="15"/>
      <c r="V20" s="16">
        <v>958.53</v>
      </c>
      <c r="AA20" s="18">
        <f t="shared" si="0"/>
        <v>366</v>
      </c>
      <c r="AB20" s="19">
        <f t="shared" ca="1" si="1"/>
        <v>45465</v>
      </c>
      <c r="AC20" s="20"/>
      <c r="AD20" s="19"/>
      <c r="AE20" s="98"/>
    </row>
    <row r="21" spans="1:31" x14ac:dyDescent="0.3">
      <c r="A21" s="108">
        <v>21</v>
      </c>
      <c r="B21" s="46">
        <v>45306</v>
      </c>
      <c r="D21" s="13" t="s">
        <v>50</v>
      </c>
      <c r="E21" s="13" t="s">
        <v>51</v>
      </c>
      <c r="F21" s="13" t="s">
        <v>52</v>
      </c>
      <c r="G21" s="14" t="s">
        <v>98</v>
      </c>
      <c r="I21" s="14" t="s">
        <v>104</v>
      </c>
      <c r="K21" s="21"/>
      <c r="L21" s="21"/>
      <c r="Q21" s="14" t="s">
        <v>6</v>
      </c>
      <c r="R21" s="14" t="s">
        <v>59</v>
      </c>
      <c r="T21" s="15"/>
      <c r="U21" s="15"/>
      <c r="V21" s="16">
        <v>2521.6799999999998</v>
      </c>
      <c r="AA21" s="18">
        <f t="shared" si="0"/>
        <v>366</v>
      </c>
      <c r="AB21" s="19">
        <f t="shared" ca="1" si="1"/>
        <v>45465</v>
      </c>
      <c r="AC21" s="20"/>
      <c r="AD21" s="19"/>
      <c r="AE21" s="98"/>
    </row>
    <row r="22" spans="1:31" x14ac:dyDescent="0.3">
      <c r="A22" s="105">
        <v>22</v>
      </c>
      <c r="B22" s="46">
        <v>45307</v>
      </c>
      <c r="D22" s="13" t="s">
        <v>50</v>
      </c>
      <c r="E22" s="13" t="s">
        <v>51</v>
      </c>
      <c r="F22" s="13" t="s">
        <v>52</v>
      </c>
      <c r="G22" s="14" t="s">
        <v>60</v>
      </c>
      <c r="I22" s="14" t="s">
        <v>105</v>
      </c>
      <c r="K22" s="21"/>
      <c r="L22" s="21"/>
      <c r="Q22" s="14" t="s">
        <v>55</v>
      </c>
      <c r="R22" s="14">
        <v>15</v>
      </c>
      <c r="T22" s="15"/>
      <c r="U22" s="15"/>
      <c r="V22" s="16">
        <v>1458.23</v>
      </c>
      <c r="AA22" s="18">
        <f t="shared" si="0"/>
        <v>366</v>
      </c>
      <c r="AB22" s="19">
        <f t="shared" ca="1" si="1"/>
        <v>45465</v>
      </c>
      <c r="AC22" s="20"/>
      <c r="AD22" s="19"/>
      <c r="AE22" s="98"/>
    </row>
    <row r="23" spans="1:31" x14ac:dyDescent="0.3">
      <c r="A23" s="107">
        <v>23</v>
      </c>
      <c r="B23" s="46">
        <v>45307</v>
      </c>
      <c r="C23" s="46">
        <v>45307</v>
      </c>
      <c r="D23" s="13" t="s">
        <v>50</v>
      </c>
      <c r="E23" s="13" t="s">
        <v>51</v>
      </c>
      <c r="F23" s="13" t="s">
        <v>66</v>
      </c>
      <c r="G23" s="14" t="s">
        <v>15</v>
      </c>
      <c r="H23" s="14" t="s">
        <v>106</v>
      </c>
      <c r="I23" s="14" t="s">
        <v>107</v>
      </c>
      <c r="J23" s="14" t="s">
        <v>87</v>
      </c>
      <c r="K23" s="21">
        <v>1307866796</v>
      </c>
      <c r="L23" s="21">
        <v>994632742</v>
      </c>
      <c r="M23" s="14" t="s">
        <v>88</v>
      </c>
      <c r="N23" s="14" t="s">
        <v>108</v>
      </c>
      <c r="O23" s="14" t="s">
        <v>109</v>
      </c>
      <c r="P23" s="14" t="s">
        <v>74</v>
      </c>
      <c r="Q23" s="14" t="s">
        <v>3</v>
      </c>
      <c r="R23" s="14" t="s">
        <v>83</v>
      </c>
      <c r="S23" s="14" t="s">
        <v>71</v>
      </c>
      <c r="T23" s="15">
        <v>0</v>
      </c>
      <c r="U23" s="15">
        <v>1167.5899999999999</v>
      </c>
      <c r="V23" s="16">
        <f>+(U23)/1.005-65</f>
        <v>1096.7810945273632</v>
      </c>
      <c r="X23" s="14" t="s">
        <v>73</v>
      </c>
      <c r="Z23" s="14" t="s">
        <v>74</v>
      </c>
      <c r="AA23" s="18">
        <f t="shared" si="0"/>
        <v>45673</v>
      </c>
      <c r="AB23" s="19">
        <f t="shared" ca="1" si="1"/>
        <v>158</v>
      </c>
      <c r="AC23" s="20"/>
      <c r="AD23" s="19"/>
      <c r="AE23" s="98"/>
    </row>
    <row r="24" spans="1:31" x14ac:dyDescent="0.3">
      <c r="A24" s="108">
        <v>24</v>
      </c>
      <c r="B24" s="46">
        <v>45309</v>
      </c>
      <c r="D24" s="13" t="s">
        <v>50</v>
      </c>
      <c r="E24" s="13" t="s">
        <v>51</v>
      </c>
      <c r="F24" s="13" t="s">
        <v>52</v>
      </c>
      <c r="G24" s="14" t="s">
        <v>57</v>
      </c>
      <c r="I24" s="14" t="s">
        <v>110</v>
      </c>
      <c r="K24" s="21"/>
      <c r="L24" s="21"/>
      <c r="Q24" s="14" t="s">
        <v>6</v>
      </c>
      <c r="R24" s="14" t="s">
        <v>62</v>
      </c>
      <c r="T24" s="15"/>
      <c r="U24" s="15"/>
      <c r="V24" s="16">
        <v>372.63</v>
      </c>
      <c r="AA24" s="18">
        <f t="shared" si="0"/>
        <v>366</v>
      </c>
      <c r="AB24" s="19">
        <f t="shared" ca="1" si="1"/>
        <v>45465</v>
      </c>
      <c r="AC24" s="20"/>
      <c r="AD24" s="19"/>
      <c r="AE24" s="98"/>
    </row>
    <row r="25" spans="1:31" x14ac:dyDescent="0.3">
      <c r="A25" s="105">
        <v>25</v>
      </c>
      <c r="B25" s="46">
        <v>45310</v>
      </c>
      <c r="D25" s="13" t="s">
        <v>50</v>
      </c>
      <c r="E25" s="13" t="s">
        <v>51</v>
      </c>
      <c r="F25" s="13" t="s">
        <v>52</v>
      </c>
      <c r="G25" s="14" t="s">
        <v>57</v>
      </c>
      <c r="I25" s="14" t="s">
        <v>111</v>
      </c>
      <c r="K25" s="21"/>
      <c r="L25" s="21"/>
      <c r="Q25" s="14" t="s">
        <v>6</v>
      </c>
      <c r="R25" s="14" t="s">
        <v>80</v>
      </c>
      <c r="T25" s="15"/>
      <c r="U25" s="15"/>
      <c r="V25" s="16">
        <v>1332.24</v>
      </c>
      <c r="AA25" s="18">
        <f t="shared" si="0"/>
        <v>366</v>
      </c>
      <c r="AB25" s="19">
        <f t="shared" ca="1" si="1"/>
        <v>45465</v>
      </c>
      <c r="AC25" s="20"/>
      <c r="AD25" s="19"/>
      <c r="AE25" s="98"/>
    </row>
    <row r="26" spans="1:31" x14ac:dyDescent="0.3">
      <c r="A26" s="107">
        <v>26</v>
      </c>
      <c r="B26" s="46">
        <v>45310</v>
      </c>
      <c r="D26" s="13" t="s">
        <v>50</v>
      </c>
      <c r="E26" s="13" t="s">
        <v>51</v>
      </c>
      <c r="F26" s="13" t="s">
        <v>52</v>
      </c>
      <c r="G26" s="14" t="s">
        <v>98</v>
      </c>
      <c r="I26" s="14" t="s">
        <v>104</v>
      </c>
      <c r="K26" s="21"/>
      <c r="L26" s="21"/>
      <c r="Q26" s="14" t="s">
        <v>6</v>
      </c>
      <c r="R26" s="14" t="s">
        <v>59</v>
      </c>
      <c r="T26" s="15"/>
      <c r="U26" s="15"/>
      <c r="V26" s="16">
        <v>2411.98</v>
      </c>
      <c r="AA26" s="18">
        <f t="shared" si="0"/>
        <v>366</v>
      </c>
      <c r="AB26" s="19">
        <f t="shared" ca="1" si="1"/>
        <v>45465</v>
      </c>
      <c r="AC26" s="20"/>
      <c r="AD26" s="19"/>
      <c r="AE26" s="98"/>
    </row>
    <row r="27" spans="1:31" x14ac:dyDescent="0.3">
      <c r="A27" s="108">
        <v>27</v>
      </c>
      <c r="B27" s="46">
        <v>45310</v>
      </c>
      <c r="D27" s="13" t="s">
        <v>50</v>
      </c>
      <c r="E27" s="13" t="s">
        <v>51</v>
      </c>
      <c r="F27" s="13" t="s">
        <v>52</v>
      </c>
      <c r="G27" s="14" t="s">
        <v>75</v>
      </c>
      <c r="I27" s="14" t="s">
        <v>112</v>
      </c>
      <c r="K27" s="21"/>
      <c r="L27" s="21"/>
      <c r="Q27" s="14" t="s">
        <v>6</v>
      </c>
      <c r="R27" s="14" t="s">
        <v>62</v>
      </c>
      <c r="T27" s="15"/>
      <c r="U27" s="15"/>
      <c r="V27" s="16">
        <v>2547.5</v>
      </c>
      <c r="AA27" s="18">
        <f t="shared" si="0"/>
        <v>366</v>
      </c>
      <c r="AB27" s="19">
        <f t="shared" ca="1" si="1"/>
        <v>45465</v>
      </c>
      <c r="AC27" s="20"/>
      <c r="AD27" s="19"/>
      <c r="AE27" s="98"/>
    </row>
    <row r="28" spans="1:31" x14ac:dyDescent="0.3">
      <c r="A28" s="105">
        <v>28</v>
      </c>
      <c r="B28" s="46">
        <v>45313</v>
      </c>
      <c r="D28" s="13" t="s">
        <v>50</v>
      </c>
      <c r="E28" s="13" t="s">
        <v>51</v>
      </c>
      <c r="F28" s="13" t="s">
        <v>52</v>
      </c>
      <c r="G28" s="14" t="s">
        <v>113</v>
      </c>
      <c r="I28" s="14" t="s">
        <v>114</v>
      </c>
      <c r="K28" s="21"/>
      <c r="L28" s="21"/>
      <c r="Q28" s="14" t="s">
        <v>6</v>
      </c>
      <c r="R28" s="14" t="s">
        <v>115</v>
      </c>
      <c r="T28" s="15"/>
      <c r="U28" s="15"/>
      <c r="V28" s="16">
        <v>1515.4</v>
      </c>
      <c r="AA28" s="18">
        <f t="shared" si="0"/>
        <v>366</v>
      </c>
      <c r="AB28" s="19">
        <f t="shared" ca="1" si="1"/>
        <v>45465</v>
      </c>
      <c r="AC28" s="20"/>
      <c r="AD28" s="19"/>
      <c r="AE28" s="98"/>
    </row>
    <row r="29" spans="1:31" x14ac:dyDescent="0.3">
      <c r="A29" s="107">
        <v>29</v>
      </c>
      <c r="B29" s="46">
        <v>45313</v>
      </c>
      <c r="D29" s="13" t="s">
        <v>50</v>
      </c>
      <c r="E29" s="13" t="s">
        <v>51</v>
      </c>
      <c r="F29" s="13" t="s">
        <v>52</v>
      </c>
      <c r="G29" s="14" t="s">
        <v>60</v>
      </c>
      <c r="I29" s="14" t="s">
        <v>116</v>
      </c>
      <c r="K29" s="21"/>
      <c r="L29" s="21"/>
      <c r="Q29" s="14" t="s">
        <v>6</v>
      </c>
      <c r="R29" s="14" t="s">
        <v>117</v>
      </c>
      <c r="T29" s="15"/>
      <c r="U29" s="15"/>
      <c r="V29" s="16">
        <v>1275.6500000000001</v>
      </c>
      <c r="AA29" s="18">
        <f t="shared" si="0"/>
        <v>366</v>
      </c>
      <c r="AB29" s="19">
        <f t="shared" ca="1" si="1"/>
        <v>45465</v>
      </c>
      <c r="AC29" s="20"/>
      <c r="AD29" s="19"/>
      <c r="AE29" s="98"/>
    </row>
    <row r="30" spans="1:31" x14ac:dyDescent="0.3">
      <c r="A30" s="108">
        <v>30</v>
      </c>
      <c r="B30" s="46">
        <v>45314</v>
      </c>
      <c r="D30" s="13" t="s">
        <v>50</v>
      </c>
      <c r="E30" s="13" t="s">
        <v>51</v>
      </c>
      <c r="F30" s="13" t="s">
        <v>52</v>
      </c>
      <c r="G30" s="14" t="s">
        <v>118</v>
      </c>
      <c r="I30" s="14" t="s">
        <v>119</v>
      </c>
      <c r="K30" s="21"/>
      <c r="L30" s="21"/>
      <c r="Q30" s="14" t="s">
        <v>6</v>
      </c>
      <c r="R30" s="14" t="s">
        <v>117</v>
      </c>
      <c r="T30" s="15"/>
      <c r="U30" s="15"/>
      <c r="V30" s="16">
        <v>750.05</v>
      </c>
      <c r="AA30" s="18">
        <f t="shared" si="0"/>
        <v>366</v>
      </c>
      <c r="AB30" s="19">
        <f t="shared" ca="1" si="1"/>
        <v>45465</v>
      </c>
      <c r="AC30" s="20"/>
      <c r="AD30" s="19"/>
      <c r="AE30" s="98"/>
    </row>
    <row r="31" spans="1:31" x14ac:dyDescent="0.3">
      <c r="A31" s="105">
        <v>31</v>
      </c>
      <c r="B31" s="46">
        <v>45314</v>
      </c>
      <c r="C31" s="46">
        <v>45314</v>
      </c>
      <c r="D31" s="13" t="s">
        <v>50</v>
      </c>
      <c r="E31" s="13" t="s">
        <v>51</v>
      </c>
      <c r="F31" s="13" t="s">
        <v>66</v>
      </c>
      <c r="G31" s="14" t="s">
        <v>12</v>
      </c>
      <c r="H31" s="14">
        <v>4184145</v>
      </c>
      <c r="I31" s="14" t="s">
        <v>120</v>
      </c>
      <c r="J31" s="14" t="s">
        <v>121</v>
      </c>
      <c r="K31" s="21">
        <v>922150867</v>
      </c>
      <c r="L31" s="21">
        <v>986168238</v>
      </c>
      <c r="M31" s="14" t="s">
        <v>69</v>
      </c>
      <c r="N31" s="14" t="s">
        <v>70</v>
      </c>
      <c r="O31" s="14" t="s">
        <v>120</v>
      </c>
      <c r="P31" s="14" t="s">
        <v>71</v>
      </c>
      <c r="Q31" s="14" t="s">
        <v>6</v>
      </c>
      <c r="R31" s="14" t="s">
        <v>122</v>
      </c>
      <c r="S31" s="14" t="s">
        <v>71</v>
      </c>
      <c r="T31" s="15">
        <v>130.83000000000001</v>
      </c>
      <c r="U31" s="15">
        <v>0</v>
      </c>
      <c r="V31" s="16">
        <f>130.83*12</f>
        <v>1569.96</v>
      </c>
      <c r="X31" s="14" t="s">
        <v>73</v>
      </c>
      <c r="Z31" s="14" t="s">
        <v>74</v>
      </c>
      <c r="AA31" s="18">
        <f t="shared" si="0"/>
        <v>45680</v>
      </c>
      <c r="AB31" s="19">
        <f t="shared" ca="1" si="1"/>
        <v>151</v>
      </c>
      <c r="AC31" s="20"/>
      <c r="AD31" s="19"/>
      <c r="AE31" s="98"/>
    </row>
    <row r="32" spans="1:31" x14ac:dyDescent="0.3">
      <c r="A32" s="107">
        <v>32</v>
      </c>
      <c r="B32" s="46">
        <v>45315</v>
      </c>
      <c r="D32" s="13" t="s">
        <v>50</v>
      </c>
      <c r="E32" s="13" t="s">
        <v>51</v>
      </c>
      <c r="F32" s="13" t="s">
        <v>52</v>
      </c>
      <c r="G32" s="14" t="s">
        <v>118</v>
      </c>
      <c r="I32" s="14" t="s">
        <v>123</v>
      </c>
      <c r="K32" s="21"/>
      <c r="L32" s="21"/>
      <c r="Q32" s="14" t="s">
        <v>6</v>
      </c>
      <c r="R32" s="14" t="s">
        <v>115</v>
      </c>
      <c r="T32" s="15"/>
      <c r="U32" s="15"/>
      <c r="V32" s="16">
        <v>759.84</v>
      </c>
      <c r="AA32" s="18">
        <f t="shared" si="0"/>
        <v>366</v>
      </c>
      <c r="AB32" s="19">
        <f t="shared" ca="1" si="1"/>
        <v>45465</v>
      </c>
      <c r="AC32" s="20"/>
      <c r="AD32" s="19"/>
      <c r="AE32" s="98"/>
    </row>
    <row r="33" spans="1:31" x14ac:dyDescent="0.3">
      <c r="A33" s="108">
        <v>33</v>
      </c>
      <c r="B33" s="46">
        <v>45317</v>
      </c>
      <c r="D33" s="13" t="s">
        <v>50</v>
      </c>
      <c r="E33" s="13" t="s">
        <v>51</v>
      </c>
      <c r="F33" s="13" t="s">
        <v>52</v>
      </c>
      <c r="G33" s="14" t="s">
        <v>75</v>
      </c>
      <c r="I33" s="14" t="s">
        <v>124</v>
      </c>
      <c r="K33" s="21"/>
      <c r="L33" s="21"/>
      <c r="Q33" s="14" t="s">
        <v>6</v>
      </c>
      <c r="R33" s="14" t="s">
        <v>125</v>
      </c>
      <c r="T33" s="15"/>
      <c r="U33" s="15"/>
      <c r="V33" s="16">
        <v>1713.61</v>
      </c>
      <c r="AA33" s="18">
        <f t="shared" si="0"/>
        <v>366</v>
      </c>
      <c r="AB33" s="19">
        <f t="shared" ca="1" si="1"/>
        <v>45465</v>
      </c>
      <c r="AC33" s="20"/>
      <c r="AD33" s="19"/>
      <c r="AE33" s="98"/>
    </row>
    <row r="34" spans="1:31" x14ac:dyDescent="0.3">
      <c r="A34" s="105">
        <v>34</v>
      </c>
      <c r="B34" s="46">
        <v>45317</v>
      </c>
      <c r="D34" s="13" t="s">
        <v>50</v>
      </c>
      <c r="E34" s="13" t="s">
        <v>51</v>
      </c>
      <c r="F34" s="13" t="s">
        <v>52</v>
      </c>
      <c r="G34" s="14" t="s">
        <v>60</v>
      </c>
      <c r="I34" s="14" t="s">
        <v>126</v>
      </c>
      <c r="K34" s="21"/>
      <c r="L34" s="21"/>
      <c r="Q34" s="14" t="s">
        <v>6</v>
      </c>
      <c r="R34" s="14" t="s">
        <v>62</v>
      </c>
      <c r="T34" s="15"/>
      <c r="U34" s="15"/>
      <c r="V34" s="16">
        <v>865.63</v>
      </c>
      <c r="AA34" s="18">
        <f t="shared" si="0"/>
        <v>366</v>
      </c>
      <c r="AB34" s="19">
        <f t="shared" ca="1" si="1"/>
        <v>45465</v>
      </c>
      <c r="AC34" s="20"/>
      <c r="AD34" s="19"/>
      <c r="AE34" s="98"/>
    </row>
    <row r="35" spans="1:31" x14ac:dyDescent="0.3">
      <c r="A35" s="107">
        <v>35</v>
      </c>
      <c r="B35" s="46">
        <v>45318</v>
      </c>
      <c r="D35" s="13" t="s">
        <v>50</v>
      </c>
      <c r="E35" s="13" t="s">
        <v>51</v>
      </c>
      <c r="F35" s="13" t="s">
        <v>52</v>
      </c>
      <c r="G35" s="14" t="s">
        <v>60</v>
      </c>
      <c r="I35" s="14" t="s">
        <v>127</v>
      </c>
      <c r="K35" s="21"/>
      <c r="L35" s="21"/>
      <c r="Q35" s="14" t="s">
        <v>6</v>
      </c>
      <c r="R35" s="14" t="s">
        <v>62</v>
      </c>
      <c r="T35" s="15"/>
      <c r="U35" s="15"/>
      <c r="V35" s="16">
        <v>1259.77</v>
      </c>
      <c r="AA35" s="18">
        <f t="shared" si="0"/>
        <v>366</v>
      </c>
      <c r="AB35" s="19">
        <f t="shared" ca="1" si="1"/>
        <v>45465</v>
      </c>
      <c r="AC35" s="20"/>
      <c r="AD35" s="19"/>
      <c r="AE35" s="98"/>
    </row>
    <row r="36" spans="1:31" x14ac:dyDescent="0.3">
      <c r="A36" s="108">
        <v>36</v>
      </c>
      <c r="B36" s="46">
        <v>45321</v>
      </c>
      <c r="D36" s="13" t="s">
        <v>50</v>
      </c>
      <c r="E36" s="13" t="s">
        <v>51</v>
      </c>
      <c r="F36" s="13" t="s">
        <v>52</v>
      </c>
      <c r="G36" s="14" t="s">
        <v>129</v>
      </c>
      <c r="I36" s="14" t="s">
        <v>130</v>
      </c>
      <c r="J36" s="14" t="s">
        <v>28</v>
      </c>
      <c r="K36" s="23">
        <v>704798958</v>
      </c>
      <c r="L36" s="23">
        <v>999137041</v>
      </c>
      <c r="M36" s="14" t="s">
        <v>88</v>
      </c>
      <c r="N36" s="14" t="s">
        <v>131</v>
      </c>
      <c r="O36" s="14" t="s">
        <v>130</v>
      </c>
      <c r="P36" s="14" t="s">
        <v>71</v>
      </c>
      <c r="Q36" s="14" t="s">
        <v>132</v>
      </c>
      <c r="V36" s="16">
        <v>155</v>
      </c>
      <c r="X36" s="14" t="s">
        <v>73</v>
      </c>
      <c r="Z36" s="14" t="s">
        <v>74</v>
      </c>
      <c r="AA36" s="18">
        <f t="shared" ref="AA36:AA67" si="2">+DATE(YEAR(C36)+1,MONTH(C36),DAY(C36))</f>
        <v>366</v>
      </c>
      <c r="AB36" s="19">
        <f t="shared" ref="AB36:AB67" ca="1" si="3">+TODAY()-AA36</f>
        <v>45465</v>
      </c>
      <c r="AC36" s="20"/>
      <c r="AD36" s="19"/>
      <c r="AE36" s="98"/>
    </row>
    <row r="37" spans="1:31" x14ac:dyDescent="0.3">
      <c r="A37" s="105">
        <v>37</v>
      </c>
      <c r="B37" s="46">
        <v>45321</v>
      </c>
      <c r="C37" s="46">
        <v>45321</v>
      </c>
      <c r="D37" s="13" t="s">
        <v>50</v>
      </c>
      <c r="E37" s="13" t="s">
        <v>51</v>
      </c>
      <c r="F37" s="13" t="s">
        <v>66</v>
      </c>
      <c r="G37" s="14" t="s">
        <v>14</v>
      </c>
      <c r="H37" s="14">
        <v>4184767</v>
      </c>
      <c r="I37" s="14" t="s">
        <v>128</v>
      </c>
      <c r="J37" s="14" t="s">
        <v>121</v>
      </c>
      <c r="K37" s="21">
        <v>912482718</v>
      </c>
      <c r="L37" s="21">
        <v>968004471</v>
      </c>
      <c r="M37" s="14" t="s">
        <v>69</v>
      </c>
      <c r="N37" s="14" t="s">
        <v>70</v>
      </c>
      <c r="O37" s="14" t="s">
        <v>128</v>
      </c>
      <c r="P37" s="14" t="s">
        <v>71</v>
      </c>
      <c r="Q37" s="14" t="s">
        <v>6</v>
      </c>
      <c r="R37" s="14" t="s">
        <v>122</v>
      </c>
      <c r="S37" s="14" t="s">
        <v>71</v>
      </c>
      <c r="T37" s="15">
        <v>130.83000000000001</v>
      </c>
      <c r="U37" s="15">
        <v>0</v>
      </c>
      <c r="V37" s="16">
        <f>130.83*12</f>
        <v>1569.96</v>
      </c>
      <c r="X37" s="14" t="s">
        <v>73</v>
      </c>
      <c r="Z37" s="14" t="s">
        <v>74</v>
      </c>
      <c r="AA37" s="18">
        <f t="shared" si="2"/>
        <v>45687</v>
      </c>
      <c r="AB37" s="19">
        <f t="shared" ca="1" si="3"/>
        <v>144</v>
      </c>
      <c r="AC37" s="20"/>
      <c r="AD37" s="19"/>
      <c r="AE37" s="98"/>
    </row>
    <row r="38" spans="1:31" x14ac:dyDescent="0.3">
      <c r="A38" s="107">
        <v>38</v>
      </c>
      <c r="B38" s="46">
        <v>45322</v>
      </c>
      <c r="C38" s="46">
        <v>45323</v>
      </c>
      <c r="D38" s="13" t="s">
        <v>50</v>
      </c>
      <c r="E38" s="13" t="s">
        <v>51</v>
      </c>
      <c r="F38" s="13" t="s">
        <v>66</v>
      </c>
      <c r="G38" s="14" t="s">
        <v>13</v>
      </c>
      <c r="H38" s="14">
        <v>131562</v>
      </c>
      <c r="I38" s="14" t="s">
        <v>133</v>
      </c>
      <c r="J38" s="14" t="s">
        <v>134</v>
      </c>
      <c r="K38" s="21">
        <v>1310420078</v>
      </c>
      <c r="L38" s="21">
        <v>994452383</v>
      </c>
      <c r="M38" s="14" t="s">
        <v>88</v>
      </c>
      <c r="N38" s="14" t="s">
        <v>70</v>
      </c>
      <c r="O38" s="14" t="s">
        <v>133</v>
      </c>
      <c r="P38" s="14" t="s">
        <v>71</v>
      </c>
      <c r="Q38" s="14" t="s">
        <v>55</v>
      </c>
      <c r="R38" s="14" t="s">
        <v>135</v>
      </c>
      <c r="S38" s="14" t="s">
        <v>74</v>
      </c>
      <c r="T38" s="15">
        <v>505.39</v>
      </c>
      <c r="U38" s="15"/>
      <c r="V38" s="16">
        <f>Tabla1[[#This Row],[PAGO MENSUAL]]*12/(1.005)</f>
        <v>6034.507462686568</v>
      </c>
      <c r="X38" s="14" t="s">
        <v>136</v>
      </c>
      <c r="Z38" s="14" t="s">
        <v>74</v>
      </c>
      <c r="AA38" s="18">
        <f t="shared" si="2"/>
        <v>45689</v>
      </c>
      <c r="AB38" s="19">
        <f t="shared" ca="1" si="3"/>
        <v>142</v>
      </c>
      <c r="AC38" s="20"/>
      <c r="AD38" s="19"/>
      <c r="AE38" s="98"/>
    </row>
    <row r="39" spans="1:31" x14ac:dyDescent="0.3">
      <c r="A39" s="108">
        <v>39</v>
      </c>
      <c r="B39" s="46">
        <v>45324</v>
      </c>
      <c r="D39" s="13" t="s">
        <v>137</v>
      </c>
      <c r="E39" s="13" t="s">
        <v>51</v>
      </c>
      <c r="F39" s="13" t="s">
        <v>52</v>
      </c>
      <c r="G39" s="14" t="s">
        <v>60</v>
      </c>
      <c r="H39" s="14" t="s">
        <v>138</v>
      </c>
      <c r="I39" s="14" t="s">
        <v>139</v>
      </c>
      <c r="K39" s="21"/>
      <c r="L39" s="21"/>
      <c r="Q39" s="14" t="s">
        <v>3</v>
      </c>
      <c r="R39" s="14" t="s">
        <v>140</v>
      </c>
      <c r="T39" s="15"/>
      <c r="U39" s="15"/>
      <c r="V39" s="16">
        <v>7418.35</v>
      </c>
      <c r="AA39" s="18">
        <f t="shared" si="2"/>
        <v>366</v>
      </c>
      <c r="AB39" s="19">
        <f t="shared" ca="1" si="3"/>
        <v>45465</v>
      </c>
      <c r="AC39" s="20"/>
      <c r="AD39" s="19"/>
      <c r="AE39" s="98"/>
    </row>
    <row r="40" spans="1:31" x14ac:dyDescent="0.3">
      <c r="A40" s="105">
        <v>40</v>
      </c>
      <c r="B40" s="46">
        <v>45324</v>
      </c>
      <c r="D40" s="13" t="s">
        <v>137</v>
      </c>
      <c r="E40" s="13" t="s">
        <v>51</v>
      </c>
      <c r="F40" s="13" t="s">
        <v>66</v>
      </c>
      <c r="G40" s="14" t="s">
        <v>12</v>
      </c>
      <c r="I40" s="14" t="s">
        <v>141</v>
      </c>
      <c r="J40" s="14" t="s">
        <v>87</v>
      </c>
      <c r="K40" s="21">
        <v>917690273</v>
      </c>
      <c r="L40" s="21">
        <v>987486629</v>
      </c>
      <c r="M40" s="14" t="s">
        <v>69</v>
      </c>
      <c r="N40" s="14" t="s">
        <v>70</v>
      </c>
      <c r="O40" s="14" t="s">
        <v>142</v>
      </c>
      <c r="P40" s="14" t="s">
        <v>74</v>
      </c>
      <c r="Q40" s="14" t="s">
        <v>2</v>
      </c>
      <c r="R40" s="14" t="s">
        <v>143</v>
      </c>
      <c r="S40" s="14" t="s">
        <v>71</v>
      </c>
      <c r="T40" s="15">
        <v>287.52</v>
      </c>
      <c r="U40" s="15"/>
      <c r="V40" s="16">
        <f>+T40*12/(1.005)/1.07</f>
        <v>3208.4809596875434</v>
      </c>
      <c r="X40" s="14" t="s">
        <v>136</v>
      </c>
      <c r="Z40" s="14" t="s">
        <v>74</v>
      </c>
      <c r="AA40" s="18">
        <f t="shared" si="2"/>
        <v>366</v>
      </c>
      <c r="AB40" s="19">
        <f t="shared" ca="1" si="3"/>
        <v>45465</v>
      </c>
      <c r="AC40" s="20"/>
      <c r="AD40" s="19"/>
      <c r="AE40" s="98"/>
    </row>
    <row r="41" spans="1:31" x14ac:dyDescent="0.3">
      <c r="A41" s="107">
        <v>41</v>
      </c>
      <c r="B41" s="46">
        <v>45324</v>
      </c>
      <c r="C41" s="46">
        <v>45323</v>
      </c>
      <c r="D41" s="13" t="s">
        <v>137</v>
      </c>
      <c r="E41" s="13" t="s">
        <v>51</v>
      </c>
      <c r="F41" s="13" t="s">
        <v>66</v>
      </c>
      <c r="G41" s="14" t="s">
        <v>12</v>
      </c>
      <c r="H41" s="14" t="s">
        <v>144</v>
      </c>
      <c r="I41" s="14" t="s">
        <v>141</v>
      </c>
      <c r="J41" s="14" t="s">
        <v>87</v>
      </c>
      <c r="K41" s="21">
        <v>917690273</v>
      </c>
      <c r="L41" s="21">
        <v>987486629</v>
      </c>
      <c r="M41" s="14" t="s">
        <v>69</v>
      </c>
      <c r="N41" s="14" t="s">
        <v>70</v>
      </c>
      <c r="O41" s="14" t="s">
        <v>142</v>
      </c>
      <c r="P41" s="14" t="s">
        <v>74</v>
      </c>
      <c r="Q41" s="14" t="s">
        <v>3</v>
      </c>
      <c r="R41" s="14" t="s">
        <v>83</v>
      </c>
      <c r="S41" s="14" t="s">
        <v>71</v>
      </c>
      <c r="T41" s="15">
        <v>112.29</v>
      </c>
      <c r="U41" s="15"/>
      <c r="V41" s="16">
        <f>+(T41*12)/1.005-65</f>
        <v>1275.7761194029852</v>
      </c>
      <c r="X41" s="14" t="s">
        <v>136</v>
      </c>
      <c r="Z41" s="14" t="s">
        <v>74</v>
      </c>
      <c r="AA41" s="18">
        <f t="shared" si="2"/>
        <v>45689</v>
      </c>
      <c r="AB41" s="19">
        <f t="shared" ca="1" si="3"/>
        <v>142</v>
      </c>
      <c r="AC41" s="20"/>
      <c r="AD41" s="19"/>
      <c r="AE41" s="98"/>
    </row>
    <row r="42" spans="1:31" x14ac:dyDescent="0.3">
      <c r="A42" s="108">
        <v>42</v>
      </c>
      <c r="B42" s="46">
        <v>45324</v>
      </c>
      <c r="D42" s="13" t="s">
        <v>137</v>
      </c>
      <c r="E42" s="13" t="s">
        <v>51</v>
      </c>
      <c r="F42" s="13" t="s">
        <v>66</v>
      </c>
      <c r="G42" s="14" t="s">
        <v>13</v>
      </c>
      <c r="K42" s="21"/>
      <c r="L42" s="21"/>
      <c r="Q42" s="14" t="s">
        <v>3</v>
      </c>
      <c r="T42" s="15"/>
      <c r="U42" s="15">
        <v>600</v>
      </c>
      <c r="V42" s="16">
        <f>+Tabla1[[#This Row],[PAGO ANUAL]]</f>
        <v>600</v>
      </c>
      <c r="X42" s="14" t="s">
        <v>136</v>
      </c>
      <c r="Z42" s="14" t="s">
        <v>71</v>
      </c>
      <c r="AA42" s="18">
        <f t="shared" si="2"/>
        <v>366</v>
      </c>
      <c r="AB42" s="19">
        <f t="shared" ca="1" si="3"/>
        <v>45465</v>
      </c>
      <c r="AC42" s="20"/>
      <c r="AD42" s="19"/>
      <c r="AE42" s="98"/>
    </row>
    <row r="43" spans="1:31" x14ac:dyDescent="0.3">
      <c r="A43" s="105">
        <v>43</v>
      </c>
      <c r="B43" s="46">
        <v>45324</v>
      </c>
      <c r="C43" s="46">
        <v>45337</v>
      </c>
      <c r="D43" s="13" t="s">
        <v>137</v>
      </c>
      <c r="E43" s="13" t="s">
        <v>51</v>
      </c>
      <c r="F43" s="13" t="s">
        <v>66</v>
      </c>
      <c r="G43" s="14" t="s">
        <v>145</v>
      </c>
      <c r="I43" s="14" t="s">
        <v>146</v>
      </c>
      <c r="J43" s="14" t="s">
        <v>147</v>
      </c>
      <c r="K43" s="21">
        <v>917117954</v>
      </c>
      <c r="L43" s="21">
        <v>986368344</v>
      </c>
      <c r="M43" s="14" t="s">
        <v>69</v>
      </c>
      <c r="N43" s="14" t="s">
        <v>70</v>
      </c>
      <c r="O43" s="14" t="s">
        <v>146</v>
      </c>
      <c r="P43" s="14" t="s">
        <v>71</v>
      </c>
      <c r="Q43" s="14" t="s">
        <v>148</v>
      </c>
      <c r="R43" s="14" t="s">
        <v>149</v>
      </c>
      <c r="S43" s="14" t="s">
        <v>71</v>
      </c>
      <c r="T43" s="15">
        <f>75.15+154.65+37.98+37.98+42.85</f>
        <v>348.61000000000007</v>
      </c>
      <c r="U43" s="15"/>
      <c r="V43" s="16">
        <f>Tabla1[[#This Row],[PAGO MENSUAL]]*12/(1.005)</f>
        <v>4162.507462686568</v>
      </c>
      <c r="X43" s="14" t="s">
        <v>136</v>
      </c>
      <c r="Z43" s="14" t="s">
        <v>71</v>
      </c>
      <c r="AA43" s="18">
        <f t="shared" si="2"/>
        <v>45703</v>
      </c>
      <c r="AB43" s="19">
        <f t="shared" ca="1" si="3"/>
        <v>128</v>
      </c>
      <c r="AC43" s="20"/>
      <c r="AD43" s="19"/>
      <c r="AE43" s="98"/>
    </row>
    <row r="44" spans="1:31" x14ac:dyDescent="0.3">
      <c r="A44" s="107">
        <v>44</v>
      </c>
      <c r="B44" s="46">
        <v>45324</v>
      </c>
      <c r="C44" s="46">
        <v>45338</v>
      </c>
      <c r="D44" s="13" t="s">
        <v>137</v>
      </c>
      <c r="E44" s="13" t="s">
        <v>51</v>
      </c>
      <c r="F44" s="13" t="s">
        <v>66</v>
      </c>
      <c r="G44" s="14" t="s">
        <v>19</v>
      </c>
      <c r="H44" s="14" t="s">
        <v>150</v>
      </c>
      <c r="I44" s="14" t="s">
        <v>151</v>
      </c>
      <c r="J44" s="14" t="s">
        <v>28</v>
      </c>
      <c r="K44" s="21">
        <v>919969188</v>
      </c>
      <c r="L44" s="21">
        <v>998545642</v>
      </c>
      <c r="M44" s="14" t="s">
        <v>88</v>
      </c>
      <c r="N44" s="14" t="s">
        <v>70</v>
      </c>
      <c r="O44" s="14" t="s">
        <v>151</v>
      </c>
      <c r="P44" s="14" t="s">
        <v>71</v>
      </c>
      <c r="Q44" s="14" t="s">
        <v>3</v>
      </c>
      <c r="R44" s="14" t="s">
        <v>64</v>
      </c>
      <c r="S44" s="14" t="s">
        <v>71</v>
      </c>
      <c r="T44" s="15">
        <v>23.83</v>
      </c>
      <c r="U44" s="15"/>
      <c r="V44" s="16">
        <f>+(T44*12)/1.005-65</f>
        <v>219.53731343283584</v>
      </c>
      <c r="X44" s="14" t="s">
        <v>136</v>
      </c>
      <c r="Z44" s="14" t="s">
        <v>74</v>
      </c>
      <c r="AA44" s="18">
        <f t="shared" si="2"/>
        <v>45704</v>
      </c>
      <c r="AB44" s="19">
        <f t="shared" ca="1" si="3"/>
        <v>127</v>
      </c>
      <c r="AC44" s="20"/>
      <c r="AD44" s="19"/>
      <c r="AE44" s="98"/>
    </row>
    <row r="45" spans="1:31" x14ac:dyDescent="0.3">
      <c r="A45" s="108">
        <v>45</v>
      </c>
      <c r="B45" s="46">
        <v>45324</v>
      </c>
      <c r="C45" s="46">
        <v>45337</v>
      </c>
      <c r="D45" s="13" t="s">
        <v>137</v>
      </c>
      <c r="E45" s="13" t="s">
        <v>152</v>
      </c>
      <c r="F45" s="13" t="s">
        <v>66</v>
      </c>
      <c r="G45" s="14" t="s">
        <v>19</v>
      </c>
      <c r="H45" s="14">
        <v>15872</v>
      </c>
      <c r="I45" s="14" t="s">
        <v>151</v>
      </c>
      <c r="J45" s="14" t="s">
        <v>28</v>
      </c>
      <c r="K45" s="21">
        <v>919969188</v>
      </c>
      <c r="L45" s="21">
        <v>998545642</v>
      </c>
      <c r="M45" s="14" t="s">
        <v>88</v>
      </c>
      <c r="N45" s="14" t="s">
        <v>70</v>
      </c>
      <c r="O45" s="14" t="s">
        <v>151</v>
      </c>
      <c r="P45" s="14" t="s">
        <v>71</v>
      </c>
      <c r="Q45" s="14" t="s">
        <v>5</v>
      </c>
      <c r="R45" s="14" t="s">
        <v>72</v>
      </c>
      <c r="S45" s="14" t="s">
        <v>71</v>
      </c>
      <c r="T45" s="15">
        <v>153.66999999999999</v>
      </c>
      <c r="U45" s="15"/>
      <c r="V45" s="74">
        <f>+T45*5/(1.005)</f>
        <v>764.5273631840796</v>
      </c>
      <c r="X45" s="14" t="s">
        <v>73</v>
      </c>
      <c r="Z45" s="14" t="s">
        <v>74</v>
      </c>
      <c r="AA45" s="18">
        <f t="shared" si="2"/>
        <v>45703</v>
      </c>
      <c r="AB45" s="19">
        <f t="shared" ca="1" si="3"/>
        <v>128</v>
      </c>
      <c r="AC45" s="20"/>
      <c r="AD45" s="19"/>
      <c r="AE45" s="98"/>
    </row>
    <row r="46" spans="1:31" x14ac:dyDescent="0.3">
      <c r="A46" s="105">
        <v>46</v>
      </c>
      <c r="B46" s="46">
        <v>45327</v>
      </c>
      <c r="D46" s="13" t="s">
        <v>137</v>
      </c>
      <c r="E46" s="13" t="s">
        <v>51</v>
      </c>
      <c r="F46" s="13" t="s">
        <v>52</v>
      </c>
      <c r="G46" s="14" t="s">
        <v>155</v>
      </c>
      <c r="H46" s="14">
        <v>4185108</v>
      </c>
      <c r="I46" s="14" t="s">
        <v>156</v>
      </c>
      <c r="K46" s="21"/>
      <c r="L46" s="21"/>
      <c r="Q46" s="14" t="s">
        <v>6</v>
      </c>
      <c r="R46" s="14" t="s">
        <v>157</v>
      </c>
      <c r="T46" s="15"/>
      <c r="U46" s="15"/>
      <c r="V46" s="16">
        <v>4050.24</v>
      </c>
      <c r="AA46" s="18">
        <f t="shared" si="2"/>
        <v>366</v>
      </c>
      <c r="AB46" s="19">
        <f t="shared" ca="1" si="3"/>
        <v>45465</v>
      </c>
      <c r="AC46" s="20"/>
      <c r="AD46" s="19"/>
      <c r="AE46" s="98"/>
    </row>
    <row r="47" spans="1:31" x14ac:dyDescent="0.3">
      <c r="A47" s="107">
        <v>47</v>
      </c>
      <c r="B47" s="46">
        <v>45327</v>
      </c>
      <c r="D47" s="13" t="s">
        <v>137</v>
      </c>
      <c r="E47" s="13" t="s">
        <v>51</v>
      </c>
      <c r="F47" s="13" t="s">
        <v>52</v>
      </c>
      <c r="G47" s="14" t="s">
        <v>98</v>
      </c>
      <c r="H47" s="14">
        <v>4185110</v>
      </c>
      <c r="I47" s="14" t="s">
        <v>153</v>
      </c>
      <c r="K47" s="21"/>
      <c r="L47" s="21"/>
      <c r="Q47" s="14" t="s">
        <v>6</v>
      </c>
      <c r="R47" s="14" t="s">
        <v>154</v>
      </c>
      <c r="T47" s="15"/>
      <c r="U47" s="15"/>
      <c r="V47" s="16">
        <v>1500.6</v>
      </c>
      <c r="AA47" s="18">
        <f t="shared" si="2"/>
        <v>366</v>
      </c>
      <c r="AB47" s="19">
        <f t="shared" ca="1" si="3"/>
        <v>45465</v>
      </c>
      <c r="AC47" s="20"/>
      <c r="AD47" s="19"/>
      <c r="AE47" s="98"/>
    </row>
    <row r="48" spans="1:31" x14ac:dyDescent="0.3">
      <c r="A48" s="108">
        <v>48</v>
      </c>
      <c r="B48" s="46">
        <v>45328</v>
      </c>
      <c r="C48" s="46">
        <v>45338</v>
      </c>
      <c r="D48" s="13" t="s">
        <v>137</v>
      </c>
      <c r="E48" s="13" t="s">
        <v>51</v>
      </c>
      <c r="F48" s="13" t="s">
        <v>66</v>
      </c>
      <c r="G48" s="14" t="s">
        <v>158</v>
      </c>
      <c r="H48" s="14" t="s">
        <v>159</v>
      </c>
      <c r="I48" s="14" t="s">
        <v>160</v>
      </c>
      <c r="J48" s="14" t="s">
        <v>28</v>
      </c>
      <c r="K48" s="21">
        <v>931594295</v>
      </c>
      <c r="L48" s="21">
        <v>999252887</v>
      </c>
      <c r="M48" s="14" t="s">
        <v>69</v>
      </c>
      <c r="N48" s="14" t="s">
        <v>70</v>
      </c>
      <c r="O48" s="14" t="s">
        <v>160</v>
      </c>
      <c r="P48" s="14" t="s">
        <v>71</v>
      </c>
      <c r="Q48" s="14" t="s">
        <v>3</v>
      </c>
      <c r="R48" s="14" t="s">
        <v>161</v>
      </c>
      <c r="S48" s="14" t="s">
        <v>71</v>
      </c>
      <c r="T48" s="15">
        <v>53.07</v>
      </c>
      <c r="U48" s="15"/>
      <c r="V48" s="16">
        <f>+(T48*12)/1.005-65</f>
        <v>568.67164179104486</v>
      </c>
      <c r="X48" s="14" t="s">
        <v>73</v>
      </c>
      <c r="Z48" s="14" t="s">
        <v>74</v>
      </c>
      <c r="AA48" s="18">
        <f t="shared" si="2"/>
        <v>45704</v>
      </c>
      <c r="AB48" s="19">
        <f t="shared" ca="1" si="3"/>
        <v>127</v>
      </c>
      <c r="AC48" s="20"/>
      <c r="AD48" s="19"/>
      <c r="AE48" s="98"/>
    </row>
    <row r="49" spans="1:31" x14ac:dyDescent="0.3">
      <c r="A49" s="105">
        <v>49</v>
      </c>
      <c r="B49" s="46">
        <v>45329</v>
      </c>
      <c r="D49" s="13" t="s">
        <v>137</v>
      </c>
      <c r="E49" s="13" t="s">
        <v>51</v>
      </c>
      <c r="F49" s="13" t="s">
        <v>52</v>
      </c>
      <c r="G49" s="14" t="s">
        <v>118</v>
      </c>
      <c r="H49" s="14">
        <v>4185273</v>
      </c>
      <c r="I49" s="14" t="s">
        <v>162</v>
      </c>
      <c r="K49" s="21"/>
      <c r="L49" s="21"/>
      <c r="Q49" s="14" t="s">
        <v>6</v>
      </c>
      <c r="R49" s="14" t="s">
        <v>62</v>
      </c>
      <c r="T49" s="15"/>
      <c r="U49" s="15"/>
      <c r="V49" s="16">
        <v>690.47</v>
      </c>
      <c r="AA49" s="18">
        <f t="shared" si="2"/>
        <v>366</v>
      </c>
      <c r="AB49" s="19">
        <f t="shared" ca="1" si="3"/>
        <v>45465</v>
      </c>
      <c r="AC49" s="20"/>
      <c r="AD49" s="19"/>
      <c r="AE49" s="98"/>
    </row>
    <row r="50" spans="1:31" x14ac:dyDescent="0.3">
      <c r="A50" s="107">
        <v>50</v>
      </c>
      <c r="B50" s="46">
        <v>45329</v>
      </c>
      <c r="D50" s="13" t="s">
        <v>137</v>
      </c>
      <c r="E50" s="13" t="s">
        <v>51</v>
      </c>
      <c r="F50" s="13" t="s">
        <v>52</v>
      </c>
      <c r="G50" s="14" t="s">
        <v>75</v>
      </c>
      <c r="H50" s="14">
        <v>4185244</v>
      </c>
      <c r="I50" s="14" t="s">
        <v>163</v>
      </c>
      <c r="K50" s="21"/>
      <c r="L50" s="21"/>
      <c r="Q50" s="14" t="s">
        <v>6</v>
      </c>
      <c r="R50" s="14" t="s">
        <v>115</v>
      </c>
      <c r="T50" s="15"/>
      <c r="U50" s="15"/>
      <c r="V50" s="16">
        <v>3292.43</v>
      </c>
      <c r="AA50" s="18">
        <f t="shared" si="2"/>
        <v>366</v>
      </c>
      <c r="AB50" s="19">
        <f t="shared" ca="1" si="3"/>
        <v>45465</v>
      </c>
      <c r="AC50" s="20"/>
      <c r="AD50" s="19"/>
      <c r="AE50" s="98"/>
    </row>
    <row r="51" spans="1:31" x14ac:dyDescent="0.3">
      <c r="A51" s="108">
        <v>51</v>
      </c>
      <c r="B51" s="46">
        <v>45329</v>
      </c>
      <c r="D51" s="13" t="s">
        <v>137</v>
      </c>
      <c r="E51" s="13" t="s">
        <v>51</v>
      </c>
      <c r="F51" s="13" t="s">
        <v>52</v>
      </c>
      <c r="G51" s="14" t="s">
        <v>75</v>
      </c>
      <c r="H51" s="14">
        <v>4185127</v>
      </c>
      <c r="I51" s="14" t="s">
        <v>164</v>
      </c>
      <c r="K51" s="21"/>
      <c r="L51" s="21"/>
      <c r="Q51" s="14" t="s">
        <v>6</v>
      </c>
      <c r="R51" s="14" t="s">
        <v>62</v>
      </c>
      <c r="T51" s="15"/>
      <c r="U51" s="15"/>
      <c r="V51" s="16">
        <v>2036.94</v>
      </c>
      <c r="AA51" s="18">
        <f t="shared" si="2"/>
        <v>366</v>
      </c>
      <c r="AB51" s="19">
        <f t="shared" ca="1" si="3"/>
        <v>45465</v>
      </c>
      <c r="AC51" s="20"/>
      <c r="AD51" s="19"/>
      <c r="AE51" s="98"/>
    </row>
    <row r="52" spans="1:31" x14ac:dyDescent="0.3">
      <c r="A52" s="105">
        <v>52</v>
      </c>
      <c r="B52" s="46">
        <v>45330</v>
      </c>
      <c r="D52" s="13" t="s">
        <v>137</v>
      </c>
      <c r="E52" s="13" t="s">
        <v>51</v>
      </c>
      <c r="F52" s="13" t="s">
        <v>52</v>
      </c>
      <c r="G52" s="14" t="s">
        <v>60</v>
      </c>
      <c r="H52" s="14">
        <v>4185337</v>
      </c>
      <c r="I52" s="14" t="s">
        <v>165</v>
      </c>
      <c r="K52" s="21"/>
      <c r="L52" s="21"/>
      <c r="Q52" s="14" t="s">
        <v>6</v>
      </c>
      <c r="R52" s="14" t="s">
        <v>115</v>
      </c>
      <c r="T52" s="15"/>
      <c r="U52" s="15"/>
      <c r="V52" s="16">
        <v>3319.18</v>
      </c>
      <c r="AA52" s="18">
        <f t="shared" si="2"/>
        <v>366</v>
      </c>
      <c r="AB52" s="19">
        <f t="shared" ca="1" si="3"/>
        <v>45465</v>
      </c>
      <c r="AC52" s="20"/>
      <c r="AD52" s="19"/>
      <c r="AE52" s="98"/>
    </row>
    <row r="53" spans="1:31" x14ac:dyDescent="0.3">
      <c r="A53" s="107">
        <v>53</v>
      </c>
      <c r="B53" s="46">
        <v>45330</v>
      </c>
      <c r="D53" s="13" t="s">
        <v>137</v>
      </c>
      <c r="E53" s="13" t="s">
        <v>51</v>
      </c>
      <c r="F53" s="13" t="s">
        <v>66</v>
      </c>
      <c r="G53" s="14" t="s">
        <v>166</v>
      </c>
      <c r="H53" s="14">
        <v>15891</v>
      </c>
      <c r="I53" s="14" t="s">
        <v>167</v>
      </c>
      <c r="J53" s="14" t="s">
        <v>28</v>
      </c>
      <c r="K53" s="21">
        <v>701913287</v>
      </c>
      <c r="L53" s="21">
        <v>989809313</v>
      </c>
      <c r="M53" s="14" t="s">
        <v>168</v>
      </c>
      <c r="N53" s="14" t="s">
        <v>70</v>
      </c>
      <c r="O53" s="14" t="s">
        <v>167</v>
      </c>
      <c r="P53" s="14" t="s">
        <v>71</v>
      </c>
      <c r="Q53" s="14" t="s">
        <v>5</v>
      </c>
      <c r="R53" s="14" t="s">
        <v>169</v>
      </c>
      <c r="S53" s="14" t="s">
        <v>71</v>
      </c>
      <c r="T53" s="15">
        <v>151.09</v>
      </c>
      <c r="U53" s="15"/>
      <c r="V53" s="74">
        <f>+T53*12/(1.005)</f>
        <v>1804.0597014925374</v>
      </c>
      <c r="X53" s="14" t="s">
        <v>136</v>
      </c>
      <c r="Z53" s="14" t="s">
        <v>74</v>
      </c>
      <c r="AA53" s="18">
        <f t="shared" si="2"/>
        <v>366</v>
      </c>
      <c r="AB53" s="19">
        <f t="shared" ca="1" si="3"/>
        <v>45465</v>
      </c>
      <c r="AC53" s="20"/>
      <c r="AD53" s="19"/>
      <c r="AE53" s="98"/>
    </row>
    <row r="54" spans="1:31" x14ac:dyDescent="0.3">
      <c r="A54" s="108">
        <v>54</v>
      </c>
      <c r="B54" s="46">
        <v>45331</v>
      </c>
      <c r="D54" s="13" t="s">
        <v>137</v>
      </c>
      <c r="E54" s="13" t="s">
        <v>51</v>
      </c>
      <c r="F54" s="13" t="s">
        <v>52</v>
      </c>
      <c r="G54" s="14" t="s">
        <v>75</v>
      </c>
      <c r="H54" s="14">
        <v>4185388</v>
      </c>
      <c r="I54" s="14" t="s">
        <v>170</v>
      </c>
      <c r="K54" s="21"/>
      <c r="L54" s="21"/>
      <c r="Q54" s="14" t="s">
        <v>6</v>
      </c>
      <c r="R54" s="14" t="s">
        <v>171</v>
      </c>
      <c r="T54" s="15"/>
      <c r="U54" s="15"/>
      <c r="V54" s="16">
        <v>961.03</v>
      </c>
      <c r="AA54" s="18">
        <f t="shared" si="2"/>
        <v>366</v>
      </c>
      <c r="AB54" s="19">
        <f t="shared" ca="1" si="3"/>
        <v>45465</v>
      </c>
      <c r="AC54" s="20"/>
      <c r="AD54" s="19"/>
      <c r="AE54" s="98"/>
    </row>
    <row r="55" spans="1:31" x14ac:dyDescent="0.3">
      <c r="A55" s="105">
        <v>55</v>
      </c>
      <c r="B55" s="46">
        <v>45331</v>
      </c>
      <c r="D55" s="13" t="s">
        <v>137</v>
      </c>
      <c r="E55" s="13" t="s">
        <v>51</v>
      </c>
      <c r="F55" s="13" t="s">
        <v>66</v>
      </c>
      <c r="G55" s="14" t="s">
        <v>15</v>
      </c>
      <c r="H55" s="14">
        <v>4185429</v>
      </c>
      <c r="I55" s="14" t="s">
        <v>172</v>
      </c>
      <c r="J55" s="14" t="s">
        <v>173</v>
      </c>
      <c r="K55" s="21">
        <v>963778758</v>
      </c>
      <c r="L55" s="21">
        <v>982737077</v>
      </c>
      <c r="M55" s="14" t="s">
        <v>69</v>
      </c>
      <c r="N55" s="14" t="s">
        <v>70</v>
      </c>
      <c r="O55" s="14" t="s">
        <v>172</v>
      </c>
      <c r="P55" s="14" t="s">
        <v>74</v>
      </c>
      <c r="Q55" s="14" t="s">
        <v>6</v>
      </c>
      <c r="R55" s="14" t="s">
        <v>174</v>
      </c>
      <c r="S55" s="14" t="s">
        <v>71</v>
      </c>
      <c r="T55" s="15">
        <v>135.88</v>
      </c>
      <c r="U55" s="15"/>
      <c r="V55" s="16">
        <f>Tabla1[[#This Row],[PAGO MENSUAL]]*12</f>
        <v>1630.56</v>
      </c>
      <c r="X55" s="14" t="s">
        <v>136</v>
      </c>
      <c r="Z55" s="14" t="s">
        <v>71</v>
      </c>
      <c r="AA55" s="18">
        <f t="shared" si="2"/>
        <v>366</v>
      </c>
      <c r="AB55" s="19">
        <f t="shared" ca="1" si="3"/>
        <v>45465</v>
      </c>
      <c r="AC55" s="20"/>
      <c r="AD55" s="19"/>
      <c r="AE55" s="98"/>
    </row>
    <row r="56" spans="1:31" x14ac:dyDescent="0.3">
      <c r="A56" s="107">
        <v>56</v>
      </c>
      <c r="B56" s="46">
        <v>45336</v>
      </c>
      <c r="D56" s="13" t="s">
        <v>137</v>
      </c>
      <c r="E56" s="13" t="s">
        <v>51</v>
      </c>
      <c r="F56" s="13" t="s">
        <v>66</v>
      </c>
      <c r="G56" s="14" t="s">
        <v>175</v>
      </c>
      <c r="I56" s="14" t="s">
        <v>176</v>
      </c>
      <c r="J56" s="14" t="s">
        <v>68</v>
      </c>
      <c r="K56" s="21">
        <v>926520493</v>
      </c>
      <c r="L56" s="21">
        <v>981097439</v>
      </c>
      <c r="M56" s="14" t="s">
        <v>69</v>
      </c>
      <c r="N56" s="14" t="s">
        <v>70</v>
      </c>
      <c r="O56" s="14" t="s">
        <v>176</v>
      </c>
      <c r="P56" s="14" t="s">
        <v>71</v>
      </c>
      <c r="Q56" s="14" t="s">
        <v>5</v>
      </c>
      <c r="R56" s="14" t="s">
        <v>177</v>
      </c>
      <c r="S56" s="14" t="s">
        <v>71</v>
      </c>
      <c r="T56" s="15">
        <v>161.88</v>
      </c>
      <c r="U56" s="15"/>
      <c r="V56" s="74">
        <f>+T56*12/(1.005)</f>
        <v>1932.8955223880598</v>
      </c>
      <c r="X56" s="14" t="s">
        <v>136</v>
      </c>
      <c r="Z56" s="14" t="s">
        <v>71</v>
      </c>
      <c r="AA56" s="18">
        <f t="shared" si="2"/>
        <v>366</v>
      </c>
      <c r="AB56" s="19">
        <f t="shared" ca="1" si="3"/>
        <v>45465</v>
      </c>
      <c r="AC56" s="20"/>
      <c r="AD56" s="19"/>
      <c r="AE56" s="98"/>
    </row>
    <row r="57" spans="1:31" x14ac:dyDescent="0.3">
      <c r="A57" s="108">
        <v>57</v>
      </c>
      <c r="B57" s="46">
        <v>45338</v>
      </c>
      <c r="D57" s="13" t="s">
        <v>137</v>
      </c>
      <c r="E57" s="13" t="s">
        <v>51</v>
      </c>
      <c r="F57" s="13" t="s">
        <v>52</v>
      </c>
      <c r="G57" s="14" t="s">
        <v>75</v>
      </c>
      <c r="H57" s="14">
        <v>4184616</v>
      </c>
      <c r="I57" s="14" t="s">
        <v>178</v>
      </c>
      <c r="K57" s="21"/>
      <c r="L57" s="21"/>
      <c r="Q57" s="14" t="s">
        <v>6</v>
      </c>
      <c r="R57" s="14" t="s">
        <v>125</v>
      </c>
      <c r="T57" s="15"/>
      <c r="U57" s="15"/>
      <c r="V57" s="16">
        <v>3423.89</v>
      </c>
      <c r="AA57" s="18">
        <f t="shared" si="2"/>
        <v>366</v>
      </c>
      <c r="AB57" s="19">
        <f t="shared" ca="1" si="3"/>
        <v>45465</v>
      </c>
      <c r="AC57" s="20"/>
      <c r="AD57" s="19"/>
      <c r="AE57" s="98"/>
    </row>
    <row r="58" spans="1:31" x14ac:dyDescent="0.3">
      <c r="A58" s="105">
        <v>58</v>
      </c>
      <c r="B58" s="46">
        <v>45338</v>
      </c>
      <c r="D58" s="13" t="s">
        <v>137</v>
      </c>
      <c r="E58" s="13" t="s">
        <v>51</v>
      </c>
      <c r="F58" s="13" t="s">
        <v>52</v>
      </c>
      <c r="G58" s="14" t="s">
        <v>60</v>
      </c>
      <c r="H58" s="14">
        <v>4185536</v>
      </c>
      <c r="I58" s="14" t="s">
        <v>179</v>
      </c>
      <c r="K58" s="21"/>
      <c r="L58" s="21"/>
      <c r="Q58" s="14" t="s">
        <v>6</v>
      </c>
      <c r="R58" s="14" t="s">
        <v>180</v>
      </c>
      <c r="T58" s="15"/>
      <c r="U58" s="15"/>
      <c r="V58" s="16">
        <v>1774.86</v>
      </c>
      <c r="AA58" s="18">
        <f t="shared" si="2"/>
        <v>366</v>
      </c>
      <c r="AB58" s="19">
        <f t="shared" ca="1" si="3"/>
        <v>45465</v>
      </c>
      <c r="AC58" s="20"/>
      <c r="AD58" s="19"/>
      <c r="AE58" s="98"/>
    </row>
    <row r="59" spans="1:31" x14ac:dyDescent="0.3">
      <c r="A59" s="107">
        <v>59</v>
      </c>
      <c r="B59" s="46">
        <v>45338</v>
      </c>
      <c r="C59" s="46">
        <v>45338</v>
      </c>
      <c r="D59" s="13" t="s">
        <v>137</v>
      </c>
      <c r="E59" s="13" t="s">
        <v>51</v>
      </c>
      <c r="F59" s="13" t="s">
        <v>66</v>
      </c>
      <c r="G59" s="14" t="s">
        <v>14</v>
      </c>
      <c r="H59" s="14" t="s">
        <v>181</v>
      </c>
      <c r="I59" s="14" t="s">
        <v>182</v>
      </c>
      <c r="J59" s="14" t="s">
        <v>28</v>
      </c>
      <c r="K59" s="21">
        <v>802944702</v>
      </c>
      <c r="L59" s="21">
        <v>991230636</v>
      </c>
      <c r="M59" s="14" t="s">
        <v>88</v>
      </c>
      <c r="N59" s="14" t="s">
        <v>70</v>
      </c>
      <c r="O59" s="14" t="s">
        <v>182</v>
      </c>
      <c r="P59" s="14" t="s">
        <v>71</v>
      </c>
      <c r="Q59" s="14" t="s">
        <v>3</v>
      </c>
      <c r="R59" s="14" t="s">
        <v>183</v>
      </c>
      <c r="S59" s="14" t="s">
        <v>71</v>
      </c>
      <c r="T59" s="15">
        <v>28.42</v>
      </c>
      <c r="U59" s="15"/>
      <c r="V59" s="16">
        <f>+(T59*12)/1.005-65</f>
        <v>274.34328358208961</v>
      </c>
      <c r="X59" s="14" t="s">
        <v>136</v>
      </c>
      <c r="Z59" s="14" t="s">
        <v>74</v>
      </c>
      <c r="AA59" s="18">
        <f t="shared" si="2"/>
        <v>45704</v>
      </c>
      <c r="AB59" s="19">
        <f t="shared" ca="1" si="3"/>
        <v>127</v>
      </c>
      <c r="AC59" s="20"/>
      <c r="AD59" s="19"/>
      <c r="AE59" s="98"/>
    </row>
    <row r="60" spans="1:31" x14ac:dyDescent="0.3">
      <c r="A60" s="108">
        <v>60</v>
      </c>
      <c r="B60" s="46">
        <v>45338</v>
      </c>
      <c r="D60" s="13" t="s">
        <v>137</v>
      </c>
      <c r="E60" s="13" t="s">
        <v>51</v>
      </c>
      <c r="F60" s="13" t="s">
        <v>66</v>
      </c>
      <c r="G60" s="14" t="s">
        <v>14</v>
      </c>
      <c r="I60" s="14" t="s">
        <v>182</v>
      </c>
      <c r="J60" s="14" t="s">
        <v>28</v>
      </c>
      <c r="K60" s="21">
        <v>802944702</v>
      </c>
      <c r="L60" s="21">
        <v>991230636</v>
      </c>
      <c r="M60" s="14" t="s">
        <v>88</v>
      </c>
      <c r="N60" s="14" t="s">
        <v>70</v>
      </c>
      <c r="O60" s="14" t="s">
        <v>182</v>
      </c>
      <c r="P60" s="14" t="s">
        <v>71</v>
      </c>
      <c r="Q60" s="14" t="s">
        <v>5</v>
      </c>
      <c r="R60" s="14" t="s">
        <v>184</v>
      </c>
      <c r="S60" s="14" t="s">
        <v>71</v>
      </c>
      <c r="T60" s="15">
        <v>104.64</v>
      </c>
      <c r="U60" s="15"/>
      <c r="V60" s="74">
        <f>+T60*12/(1.005)</f>
        <v>1249.4328358208957</v>
      </c>
      <c r="X60" s="14" t="s">
        <v>136</v>
      </c>
      <c r="Z60" s="14" t="s">
        <v>71</v>
      </c>
      <c r="AA60" s="18">
        <f t="shared" si="2"/>
        <v>366</v>
      </c>
      <c r="AB60" s="19">
        <f t="shared" ca="1" si="3"/>
        <v>45465</v>
      </c>
      <c r="AC60" s="20"/>
      <c r="AD60" s="19"/>
      <c r="AE60" s="98"/>
    </row>
    <row r="61" spans="1:31" x14ac:dyDescent="0.3">
      <c r="A61" s="105">
        <v>61</v>
      </c>
      <c r="B61" s="46">
        <v>45341</v>
      </c>
      <c r="C61" s="46">
        <v>45406</v>
      </c>
      <c r="D61" s="13" t="s">
        <v>185</v>
      </c>
      <c r="E61" s="13" t="s">
        <v>186</v>
      </c>
      <c r="F61" s="13" t="s">
        <v>66</v>
      </c>
      <c r="G61" s="14" t="s">
        <v>13</v>
      </c>
      <c r="I61" s="14" t="s">
        <v>187</v>
      </c>
      <c r="N61" s="14" t="s">
        <v>70</v>
      </c>
      <c r="O61" s="14" t="s">
        <v>187</v>
      </c>
      <c r="P61" s="14" t="s">
        <v>71</v>
      </c>
      <c r="Q61" s="14" t="s">
        <v>188</v>
      </c>
      <c r="R61" s="14" t="s">
        <v>189</v>
      </c>
      <c r="S61" s="14" t="s">
        <v>71</v>
      </c>
      <c r="T61" s="22">
        <v>159.65</v>
      </c>
      <c r="V61" s="74">
        <f>+T61*12/(1.005)</f>
        <v>1906.2686567164183</v>
      </c>
      <c r="X61" s="14" t="s">
        <v>136</v>
      </c>
      <c r="Z61" s="14" t="s">
        <v>71</v>
      </c>
      <c r="AA61" s="18">
        <f t="shared" si="2"/>
        <v>45771</v>
      </c>
      <c r="AB61" s="19">
        <f t="shared" ca="1" si="3"/>
        <v>60</v>
      </c>
      <c r="AC61" s="20"/>
      <c r="AD61" s="19"/>
      <c r="AE61" s="98"/>
    </row>
    <row r="62" spans="1:31" x14ac:dyDescent="0.3">
      <c r="A62" s="107">
        <v>62</v>
      </c>
      <c r="B62" s="46">
        <v>45342</v>
      </c>
      <c r="D62" s="13" t="s">
        <v>137</v>
      </c>
      <c r="E62" s="13" t="s">
        <v>51</v>
      </c>
      <c r="F62" s="13" t="s">
        <v>52</v>
      </c>
      <c r="G62" s="14" t="s">
        <v>155</v>
      </c>
      <c r="H62" s="14">
        <v>4185775</v>
      </c>
      <c r="I62" s="14" t="s">
        <v>191</v>
      </c>
      <c r="K62" s="21"/>
      <c r="L62" s="21"/>
      <c r="Q62" s="14" t="s">
        <v>6</v>
      </c>
      <c r="R62" s="14" t="s">
        <v>80</v>
      </c>
      <c r="T62" s="15"/>
      <c r="U62" s="15"/>
      <c r="V62" s="16">
        <v>1004.49</v>
      </c>
      <c r="AA62" s="18">
        <f t="shared" si="2"/>
        <v>366</v>
      </c>
      <c r="AB62" s="19">
        <f t="shared" ca="1" si="3"/>
        <v>45465</v>
      </c>
      <c r="AC62" s="20"/>
      <c r="AD62" s="19"/>
      <c r="AE62" s="98"/>
    </row>
    <row r="63" spans="1:31" x14ac:dyDescent="0.3">
      <c r="A63" s="108">
        <v>63</v>
      </c>
      <c r="B63" s="46">
        <v>45342</v>
      </c>
      <c r="D63" s="13" t="s">
        <v>137</v>
      </c>
      <c r="E63" s="13" t="s">
        <v>51</v>
      </c>
      <c r="F63" s="13" t="s">
        <v>52</v>
      </c>
      <c r="G63" s="14" t="s">
        <v>155</v>
      </c>
      <c r="H63" s="14">
        <v>4185801</v>
      </c>
      <c r="I63" s="14" t="s">
        <v>192</v>
      </c>
      <c r="K63" s="21"/>
      <c r="L63" s="21"/>
      <c r="Q63" s="14" t="s">
        <v>6</v>
      </c>
      <c r="R63" s="14" t="s">
        <v>193</v>
      </c>
      <c r="T63" s="15"/>
      <c r="U63" s="15"/>
      <c r="V63" s="16">
        <v>1004.49</v>
      </c>
      <c r="AA63" s="18">
        <f t="shared" si="2"/>
        <v>366</v>
      </c>
      <c r="AB63" s="19">
        <f t="shared" ca="1" si="3"/>
        <v>45465</v>
      </c>
      <c r="AC63" s="20"/>
      <c r="AD63" s="19"/>
      <c r="AE63" s="98"/>
    </row>
    <row r="64" spans="1:31" x14ac:dyDescent="0.3">
      <c r="A64" s="105">
        <v>64</v>
      </c>
      <c r="B64" s="46">
        <v>45342</v>
      </c>
      <c r="D64" s="13" t="s">
        <v>137</v>
      </c>
      <c r="E64" s="13" t="s">
        <v>51</v>
      </c>
      <c r="F64" s="13" t="s">
        <v>52</v>
      </c>
      <c r="G64" s="14" t="s">
        <v>155</v>
      </c>
      <c r="H64" s="14">
        <v>4185803</v>
      </c>
      <c r="I64" s="14" t="s">
        <v>194</v>
      </c>
      <c r="K64" s="21"/>
      <c r="L64" s="21"/>
      <c r="Q64" s="14" t="s">
        <v>6</v>
      </c>
      <c r="R64" s="14" t="s">
        <v>195</v>
      </c>
      <c r="T64" s="15"/>
      <c r="U64" s="15"/>
      <c r="V64" s="16">
        <v>1004.49</v>
      </c>
      <c r="AA64" s="18">
        <f t="shared" si="2"/>
        <v>366</v>
      </c>
      <c r="AB64" s="19">
        <f t="shared" ca="1" si="3"/>
        <v>45465</v>
      </c>
      <c r="AC64" s="20"/>
      <c r="AD64" s="19"/>
      <c r="AE64" s="98"/>
    </row>
    <row r="65" spans="1:31" x14ac:dyDescent="0.3">
      <c r="A65" s="107">
        <v>65</v>
      </c>
      <c r="B65" s="46">
        <v>45342</v>
      </c>
      <c r="D65" s="13" t="s">
        <v>137</v>
      </c>
      <c r="E65" s="13" t="s">
        <v>51</v>
      </c>
      <c r="F65" s="13" t="s">
        <v>52</v>
      </c>
      <c r="G65" s="14" t="s">
        <v>90</v>
      </c>
      <c r="H65" s="14">
        <v>4185772</v>
      </c>
      <c r="I65" s="14" t="s">
        <v>190</v>
      </c>
      <c r="K65" s="21"/>
      <c r="L65" s="21"/>
      <c r="Q65" s="14" t="s">
        <v>6</v>
      </c>
      <c r="R65" s="14" t="s">
        <v>115</v>
      </c>
      <c r="T65" s="15"/>
      <c r="U65" s="15"/>
      <c r="V65" s="16">
        <v>983.83</v>
      </c>
      <c r="AA65" s="18">
        <f t="shared" si="2"/>
        <v>366</v>
      </c>
      <c r="AB65" s="19">
        <f t="shared" ca="1" si="3"/>
        <v>45465</v>
      </c>
      <c r="AC65" s="20"/>
      <c r="AD65" s="19"/>
      <c r="AE65" s="98"/>
    </row>
    <row r="66" spans="1:31" x14ac:dyDescent="0.3">
      <c r="A66" s="108">
        <v>66</v>
      </c>
      <c r="B66" s="46">
        <v>45342</v>
      </c>
      <c r="D66" s="13" t="s">
        <v>137</v>
      </c>
      <c r="E66" s="13" t="s">
        <v>51</v>
      </c>
      <c r="F66" s="13" t="s">
        <v>66</v>
      </c>
      <c r="G66" s="14" t="s">
        <v>13</v>
      </c>
      <c r="H66" s="14" t="s">
        <v>196</v>
      </c>
      <c r="I66" s="14" t="s">
        <v>197</v>
      </c>
      <c r="J66" s="14" t="s">
        <v>68</v>
      </c>
      <c r="K66" s="21">
        <v>925070039</v>
      </c>
      <c r="L66" s="21">
        <v>988084288</v>
      </c>
      <c r="M66" s="14" t="s">
        <v>88</v>
      </c>
      <c r="N66" s="14" t="s">
        <v>70</v>
      </c>
      <c r="O66" s="14" t="s">
        <v>197</v>
      </c>
      <c r="P66" s="14" t="s">
        <v>71</v>
      </c>
      <c r="Q66" s="14" t="s">
        <v>3</v>
      </c>
      <c r="R66" s="14" t="s">
        <v>161</v>
      </c>
      <c r="S66" s="14" t="s">
        <v>71</v>
      </c>
      <c r="T66" s="15">
        <v>54</v>
      </c>
      <c r="U66" s="15"/>
      <c r="V66" s="16">
        <f>+(T66*12)/1.005-65</f>
        <v>579.77611940298516</v>
      </c>
      <c r="X66" s="14" t="s">
        <v>73</v>
      </c>
      <c r="Z66" s="14" t="s">
        <v>74</v>
      </c>
      <c r="AA66" s="18">
        <f t="shared" si="2"/>
        <v>366</v>
      </c>
      <c r="AB66" s="19">
        <f t="shared" ca="1" si="3"/>
        <v>45465</v>
      </c>
      <c r="AC66" s="20"/>
      <c r="AD66" s="19"/>
      <c r="AE66" s="98"/>
    </row>
    <row r="67" spans="1:31" x14ac:dyDescent="0.3">
      <c r="A67" s="105">
        <v>67</v>
      </c>
      <c r="B67" s="46">
        <v>45342</v>
      </c>
      <c r="D67" s="13" t="s">
        <v>137</v>
      </c>
      <c r="E67" s="13" t="s">
        <v>51</v>
      </c>
      <c r="F67" s="13" t="s">
        <v>66</v>
      </c>
      <c r="G67" s="14" t="s">
        <v>13</v>
      </c>
      <c r="J67" s="14" t="s">
        <v>201</v>
      </c>
      <c r="K67" s="21"/>
      <c r="L67" s="21"/>
      <c r="Q67" s="14" t="s">
        <v>702</v>
      </c>
      <c r="T67" s="15"/>
      <c r="U67" s="15">
        <v>1200</v>
      </c>
      <c r="V67" s="16">
        <f>+Tabla1[[#This Row],[PAGO ANUAL]]</f>
        <v>1200</v>
      </c>
      <c r="X67" s="14" t="s">
        <v>136</v>
      </c>
      <c r="Z67" s="14" t="s">
        <v>71</v>
      </c>
      <c r="AA67" s="18">
        <f t="shared" si="2"/>
        <v>366</v>
      </c>
      <c r="AB67" s="19">
        <f t="shared" ca="1" si="3"/>
        <v>45465</v>
      </c>
      <c r="AC67" s="20"/>
      <c r="AD67" s="19"/>
      <c r="AE67" s="98"/>
    </row>
    <row r="68" spans="1:31" x14ac:dyDescent="0.3">
      <c r="A68" s="107">
        <v>68</v>
      </c>
      <c r="B68" s="46">
        <v>45342</v>
      </c>
      <c r="D68" s="13" t="s">
        <v>137</v>
      </c>
      <c r="E68" s="13" t="s">
        <v>51</v>
      </c>
      <c r="F68" s="13" t="s">
        <v>66</v>
      </c>
      <c r="G68" s="14" t="s">
        <v>17</v>
      </c>
      <c r="I68" s="14" t="s">
        <v>198</v>
      </c>
      <c r="J68" s="14" t="s">
        <v>68</v>
      </c>
      <c r="K68" s="21">
        <v>940962780</v>
      </c>
      <c r="L68" s="21">
        <v>994961700</v>
      </c>
      <c r="M68" s="14" t="s">
        <v>69</v>
      </c>
      <c r="N68" s="14" t="s">
        <v>70</v>
      </c>
      <c r="O68" s="14" t="s">
        <v>199</v>
      </c>
      <c r="P68" s="14" t="s">
        <v>71</v>
      </c>
      <c r="Q68" s="14" t="s">
        <v>2</v>
      </c>
      <c r="R68" s="14" t="s">
        <v>200</v>
      </c>
      <c r="S68" s="14" t="s">
        <v>71</v>
      </c>
      <c r="T68" s="15">
        <v>73.84</v>
      </c>
      <c r="U68" s="15"/>
      <c r="V68" s="16">
        <f>+T68*12/(1.005)/1.07</f>
        <v>823.99218858976155</v>
      </c>
      <c r="X68" s="14" t="s">
        <v>136</v>
      </c>
      <c r="Z68" s="14" t="s">
        <v>71</v>
      </c>
      <c r="AA68" s="18">
        <f t="shared" ref="AA68:AA99" si="4">+DATE(YEAR(C68)+1,MONTH(C68),DAY(C68))</f>
        <v>366</v>
      </c>
      <c r="AB68" s="19">
        <f t="shared" ref="AB68:AB99" ca="1" si="5">+TODAY()-AA68</f>
        <v>45465</v>
      </c>
      <c r="AC68" s="20"/>
      <c r="AD68" s="19"/>
      <c r="AE68" s="98"/>
    </row>
    <row r="69" spans="1:31" x14ac:dyDescent="0.3">
      <c r="A69" s="108">
        <v>69</v>
      </c>
      <c r="B69" s="46">
        <v>45343</v>
      </c>
      <c r="D69" s="13" t="s">
        <v>137</v>
      </c>
      <c r="E69" s="13" t="s">
        <v>51</v>
      </c>
      <c r="F69" s="13" t="s">
        <v>52</v>
      </c>
      <c r="G69" s="14" t="s">
        <v>78</v>
      </c>
      <c r="H69" s="14">
        <v>4185868</v>
      </c>
      <c r="I69" s="14" t="s">
        <v>202</v>
      </c>
      <c r="K69" s="21"/>
      <c r="L69" s="21"/>
      <c r="Q69" s="14" t="s">
        <v>6</v>
      </c>
      <c r="R69" s="14" t="s">
        <v>203</v>
      </c>
      <c r="T69" s="15"/>
      <c r="U69" s="15"/>
      <c r="V69" s="16">
        <v>1713.73</v>
      </c>
      <c r="AA69" s="18">
        <f t="shared" si="4"/>
        <v>366</v>
      </c>
      <c r="AB69" s="19">
        <f t="shared" ca="1" si="5"/>
        <v>45465</v>
      </c>
      <c r="AC69" s="20"/>
      <c r="AD69" s="19"/>
      <c r="AE69" s="98"/>
    </row>
    <row r="70" spans="1:31" x14ac:dyDescent="0.3">
      <c r="A70" s="105">
        <v>70</v>
      </c>
      <c r="B70" s="46">
        <v>45344</v>
      </c>
      <c r="C70" s="46">
        <v>45344</v>
      </c>
      <c r="D70" s="13" t="s">
        <v>137</v>
      </c>
      <c r="E70" s="13" t="s">
        <v>51</v>
      </c>
      <c r="F70" s="13" t="s">
        <v>66</v>
      </c>
      <c r="G70" s="14" t="s">
        <v>18</v>
      </c>
      <c r="H70" s="14">
        <v>4185936</v>
      </c>
      <c r="I70" s="14" t="s">
        <v>204</v>
      </c>
      <c r="J70" s="14" t="s">
        <v>205</v>
      </c>
      <c r="K70" s="21">
        <v>927296061</v>
      </c>
      <c r="L70" s="21">
        <v>982516340</v>
      </c>
      <c r="M70" s="14" t="s">
        <v>69</v>
      </c>
      <c r="N70" s="14" t="s">
        <v>70</v>
      </c>
      <c r="P70" s="14" t="s">
        <v>71</v>
      </c>
      <c r="Q70" s="14" t="s">
        <v>6</v>
      </c>
      <c r="R70" s="14" t="s">
        <v>122</v>
      </c>
      <c r="S70" s="14" t="s">
        <v>71</v>
      </c>
      <c r="T70" s="15">
        <v>75.34</v>
      </c>
      <c r="U70" s="15"/>
      <c r="V70" s="16">
        <f>Tabla1[[#This Row],[PAGO MENSUAL]]*12</f>
        <v>904.08</v>
      </c>
      <c r="X70" s="14" t="s">
        <v>136</v>
      </c>
      <c r="Z70" s="14" t="s">
        <v>71</v>
      </c>
      <c r="AA70" s="18">
        <f t="shared" si="4"/>
        <v>45710</v>
      </c>
      <c r="AB70" s="19">
        <f t="shared" ca="1" si="5"/>
        <v>121</v>
      </c>
      <c r="AC70" s="20"/>
      <c r="AD70" s="19"/>
      <c r="AE70" s="98"/>
    </row>
    <row r="71" spans="1:31" x14ac:dyDescent="0.3">
      <c r="A71" s="107">
        <v>71</v>
      </c>
      <c r="B71" s="46">
        <v>45344</v>
      </c>
      <c r="C71" s="46">
        <v>45344</v>
      </c>
      <c r="D71" s="13" t="s">
        <v>137</v>
      </c>
      <c r="E71" s="13" t="s">
        <v>51</v>
      </c>
      <c r="F71" s="13" t="s">
        <v>66</v>
      </c>
      <c r="G71" s="14" t="s">
        <v>18</v>
      </c>
      <c r="H71" s="14" t="s">
        <v>206</v>
      </c>
      <c r="I71" s="14" t="s">
        <v>207</v>
      </c>
      <c r="J71" s="14" t="s">
        <v>208</v>
      </c>
      <c r="K71" s="21">
        <v>1311716607</v>
      </c>
      <c r="L71" s="21"/>
      <c r="M71" s="14" t="s">
        <v>209</v>
      </c>
      <c r="N71" s="14" t="s">
        <v>108</v>
      </c>
      <c r="O71" s="14" t="s">
        <v>207</v>
      </c>
      <c r="P71" s="14" t="s">
        <v>71</v>
      </c>
      <c r="Q71" s="14" t="s">
        <v>3</v>
      </c>
      <c r="R71" s="14" t="s">
        <v>64</v>
      </c>
      <c r="S71" s="14" t="s">
        <v>71</v>
      </c>
      <c r="T71" s="15">
        <v>0</v>
      </c>
      <c r="U71" s="15">
        <v>895.4</v>
      </c>
      <c r="V71" s="16">
        <f>Tabla1[[#This Row],[PAGO ANUAL]]/1.005-65</f>
        <v>825.94527363184091</v>
      </c>
      <c r="X71" s="14" t="s">
        <v>73</v>
      </c>
      <c r="Z71" s="14" t="s">
        <v>74</v>
      </c>
      <c r="AA71" s="18">
        <f t="shared" si="4"/>
        <v>45710</v>
      </c>
      <c r="AB71" s="19">
        <f t="shared" ca="1" si="5"/>
        <v>121</v>
      </c>
      <c r="AC71" s="20"/>
      <c r="AD71" s="19"/>
      <c r="AE71" s="98"/>
    </row>
    <row r="72" spans="1:31" x14ac:dyDescent="0.3">
      <c r="A72" s="108">
        <v>72</v>
      </c>
      <c r="B72" s="46">
        <v>45345</v>
      </c>
      <c r="D72" s="13" t="s">
        <v>137</v>
      </c>
      <c r="E72" s="13" t="s">
        <v>51</v>
      </c>
      <c r="F72" s="13" t="s">
        <v>52</v>
      </c>
      <c r="G72" s="14" t="s">
        <v>129</v>
      </c>
      <c r="H72" s="14">
        <v>4186005</v>
      </c>
      <c r="I72" s="14" t="s">
        <v>211</v>
      </c>
      <c r="K72" s="21"/>
      <c r="L72" s="21"/>
      <c r="Q72" s="14" t="s">
        <v>6</v>
      </c>
      <c r="R72" s="14" t="s">
        <v>96</v>
      </c>
      <c r="T72" s="15"/>
      <c r="U72" s="15"/>
      <c r="V72" s="16">
        <v>998.64</v>
      </c>
      <c r="AA72" s="18">
        <f t="shared" si="4"/>
        <v>366</v>
      </c>
      <c r="AB72" s="19">
        <f t="shared" ca="1" si="5"/>
        <v>45465</v>
      </c>
      <c r="AC72" s="20"/>
      <c r="AD72" s="19"/>
      <c r="AE72" s="98"/>
    </row>
    <row r="73" spans="1:31" x14ac:dyDescent="0.3">
      <c r="A73" s="105">
        <v>73</v>
      </c>
      <c r="B73" s="46">
        <v>45345</v>
      </c>
      <c r="D73" s="13" t="s">
        <v>137</v>
      </c>
      <c r="E73" s="13" t="s">
        <v>51</v>
      </c>
      <c r="F73" s="13" t="s">
        <v>52</v>
      </c>
      <c r="G73" s="14" t="s">
        <v>129</v>
      </c>
      <c r="H73" s="14">
        <v>4186041</v>
      </c>
      <c r="I73" s="14" t="s">
        <v>212</v>
      </c>
      <c r="K73" s="21"/>
      <c r="L73" s="21"/>
      <c r="Q73" s="14" t="s">
        <v>6</v>
      </c>
      <c r="R73" s="14" t="s">
        <v>213</v>
      </c>
      <c r="T73" s="15"/>
      <c r="U73" s="15"/>
      <c r="V73" s="16">
        <v>1321.86</v>
      </c>
      <c r="AA73" s="18">
        <f t="shared" si="4"/>
        <v>366</v>
      </c>
      <c r="AB73" s="19">
        <f t="shared" ca="1" si="5"/>
        <v>45465</v>
      </c>
      <c r="AC73" s="20"/>
      <c r="AD73" s="19"/>
      <c r="AE73" s="98"/>
    </row>
    <row r="74" spans="1:31" x14ac:dyDescent="0.3">
      <c r="A74" s="107">
        <v>74</v>
      </c>
      <c r="B74" s="46">
        <v>45345</v>
      </c>
      <c r="D74" s="13" t="s">
        <v>137</v>
      </c>
      <c r="E74" s="13" t="s">
        <v>51</v>
      </c>
      <c r="F74" s="13" t="s">
        <v>52</v>
      </c>
      <c r="G74" s="14" t="s">
        <v>75</v>
      </c>
      <c r="I74" s="14" t="s">
        <v>214</v>
      </c>
      <c r="K74" s="21"/>
      <c r="L74" s="21"/>
      <c r="Q74" s="14" t="s">
        <v>55</v>
      </c>
      <c r="R74" s="14" t="s">
        <v>215</v>
      </c>
      <c r="T74" s="15"/>
      <c r="U74" s="15"/>
      <c r="V74" s="16">
        <v>6024.8</v>
      </c>
      <c r="AA74" s="18">
        <f t="shared" si="4"/>
        <v>366</v>
      </c>
      <c r="AB74" s="19">
        <f t="shared" ca="1" si="5"/>
        <v>45465</v>
      </c>
      <c r="AC74" s="20"/>
      <c r="AD74" s="19"/>
      <c r="AE74" s="98"/>
    </row>
    <row r="75" spans="1:31" x14ac:dyDescent="0.3">
      <c r="A75" s="108">
        <v>75</v>
      </c>
      <c r="B75" s="46">
        <v>45345</v>
      </c>
      <c r="D75" s="13" t="s">
        <v>137</v>
      </c>
      <c r="E75" s="13" t="s">
        <v>51</v>
      </c>
      <c r="F75" s="13" t="s">
        <v>52</v>
      </c>
      <c r="G75" s="14" t="s">
        <v>60</v>
      </c>
      <c r="H75" s="14">
        <v>4185858</v>
      </c>
      <c r="I75" s="14" t="s">
        <v>210</v>
      </c>
      <c r="K75" s="21"/>
      <c r="L75" s="21"/>
      <c r="Q75" s="14" t="s">
        <v>6</v>
      </c>
      <c r="R75" s="14" t="s">
        <v>171</v>
      </c>
      <c r="T75" s="15"/>
      <c r="U75" s="15"/>
      <c r="V75" s="16">
        <v>2456.5100000000002</v>
      </c>
      <c r="AA75" s="18">
        <f t="shared" si="4"/>
        <v>366</v>
      </c>
      <c r="AB75" s="19">
        <f t="shared" ca="1" si="5"/>
        <v>45465</v>
      </c>
      <c r="AC75" s="20"/>
      <c r="AD75" s="19"/>
      <c r="AE75" s="98"/>
    </row>
    <row r="76" spans="1:31" x14ac:dyDescent="0.3">
      <c r="A76" s="105">
        <v>76</v>
      </c>
      <c r="B76" s="46">
        <v>45345</v>
      </c>
      <c r="C76" s="46">
        <v>45352</v>
      </c>
      <c r="D76" s="13" t="s">
        <v>137</v>
      </c>
      <c r="E76" s="13" t="s">
        <v>51</v>
      </c>
      <c r="F76" s="13" t="s">
        <v>66</v>
      </c>
      <c r="G76" s="14" t="s">
        <v>18</v>
      </c>
      <c r="H76" s="14" t="s">
        <v>216</v>
      </c>
      <c r="I76" s="14" t="s">
        <v>217</v>
      </c>
      <c r="J76" s="14" t="s">
        <v>28</v>
      </c>
      <c r="K76" s="21">
        <v>922346556</v>
      </c>
      <c r="L76" s="21">
        <v>993011988</v>
      </c>
      <c r="M76" s="14" t="s">
        <v>69</v>
      </c>
      <c r="N76" s="14" t="s">
        <v>70</v>
      </c>
      <c r="O76" s="14" t="s">
        <v>217</v>
      </c>
      <c r="P76" s="14" t="s">
        <v>71</v>
      </c>
      <c r="Q76" s="14" t="s">
        <v>3</v>
      </c>
      <c r="R76" s="14" t="s">
        <v>161</v>
      </c>
      <c r="S76" s="14" t="s">
        <v>71</v>
      </c>
      <c r="T76" s="15">
        <v>30.65</v>
      </c>
      <c r="U76" s="15"/>
      <c r="V76" s="16">
        <f>+(T76*12)/1.005-65</f>
        <v>300.97014925373134</v>
      </c>
      <c r="X76" s="14" t="s">
        <v>73</v>
      </c>
      <c r="Z76" s="14" t="s">
        <v>74</v>
      </c>
      <c r="AA76" s="18">
        <f t="shared" si="4"/>
        <v>45717</v>
      </c>
      <c r="AB76" s="19">
        <f t="shared" ca="1" si="5"/>
        <v>114</v>
      </c>
      <c r="AC76" s="20"/>
      <c r="AD76" s="19"/>
      <c r="AE76" s="98"/>
    </row>
    <row r="77" spans="1:31" x14ac:dyDescent="0.3">
      <c r="A77" s="107">
        <v>77</v>
      </c>
      <c r="B77" s="46">
        <v>45348</v>
      </c>
      <c r="D77" s="13" t="s">
        <v>137</v>
      </c>
      <c r="E77" s="13" t="s">
        <v>51</v>
      </c>
      <c r="F77" s="13" t="s">
        <v>66</v>
      </c>
      <c r="G77" s="14" t="s">
        <v>218</v>
      </c>
      <c r="I77" s="14" t="s">
        <v>219</v>
      </c>
      <c r="J77" s="14" t="s">
        <v>28</v>
      </c>
      <c r="K77" s="21">
        <v>942498882</v>
      </c>
      <c r="L77" s="21">
        <v>968692621</v>
      </c>
      <c r="M77" s="14" t="s">
        <v>69</v>
      </c>
      <c r="N77" s="14" t="s">
        <v>70</v>
      </c>
      <c r="O77" s="14" t="s">
        <v>219</v>
      </c>
      <c r="P77" s="14" t="s">
        <v>71</v>
      </c>
      <c r="Q77" s="14" t="s">
        <v>2</v>
      </c>
      <c r="R77" s="14" t="s">
        <v>220</v>
      </c>
      <c r="S77" s="14" t="s">
        <v>71</v>
      </c>
      <c r="T77" s="15">
        <v>228.95</v>
      </c>
      <c r="U77" s="15"/>
      <c r="V77" s="16">
        <f>+T77*12/(1.005)/1.07</f>
        <v>2554.8891058725067</v>
      </c>
      <c r="X77" s="14" t="s">
        <v>136</v>
      </c>
      <c r="Z77" s="14" t="s">
        <v>71</v>
      </c>
      <c r="AA77" s="18">
        <f t="shared" si="4"/>
        <v>366</v>
      </c>
      <c r="AB77" s="19">
        <f t="shared" ca="1" si="5"/>
        <v>45465</v>
      </c>
      <c r="AC77" s="20"/>
      <c r="AD77" s="19"/>
      <c r="AE77" s="98"/>
    </row>
    <row r="78" spans="1:31" x14ac:dyDescent="0.3">
      <c r="A78" s="108">
        <v>78</v>
      </c>
      <c r="B78" s="46">
        <v>45348</v>
      </c>
      <c r="D78" s="13" t="s">
        <v>137</v>
      </c>
      <c r="E78" s="13" t="s">
        <v>51</v>
      </c>
      <c r="F78" s="13" t="s">
        <v>66</v>
      </c>
      <c r="G78" s="14" t="s">
        <v>175</v>
      </c>
      <c r="I78" s="14" t="s">
        <v>221</v>
      </c>
      <c r="J78" s="14" t="s">
        <v>68</v>
      </c>
      <c r="K78" s="21">
        <v>926520495</v>
      </c>
      <c r="L78" s="21">
        <v>926520495</v>
      </c>
      <c r="M78" s="14" t="s">
        <v>69</v>
      </c>
      <c r="N78" s="14" t="s">
        <v>70</v>
      </c>
      <c r="O78" s="14" t="s">
        <v>221</v>
      </c>
      <c r="P78" s="14" t="s">
        <v>71</v>
      </c>
      <c r="Q78" s="14" t="s">
        <v>3</v>
      </c>
      <c r="R78" s="14" t="s">
        <v>222</v>
      </c>
      <c r="S78" s="14" t="s">
        <v>71</v>
      </c>
      <c r="T78" s="15">
        <v>108.86</v>
      </c>
      <c r="U78" s="15"/>
      <c r="V78" s="16">
        <f>+(T78*12)/1.005-65</f>
        <v>1234.8208955223881</v>
      </c>
      <c r="X78" s="14" t="s">
        <v>136</v>
      </c>
      <c r="Z78" s="14" t="s">
        <v>71</v>
      </c>
      <c r="AA78" s="18">
        <f t="shared" si="4"/>
        <v>366</v>
      </c>
      <c r="AB78" s="19">
        <f t="shared" ca="1" si="5"/>
        <v>45465</v>
      </c>
      <c r="AC78" s="20"/>
      <c r="AD78" s="19"/>
      <c r="AE78" s="98"/>
    </row>
    <row r="79" spans="1:31" x14ac:dyDescent="0.3">
      <c r="A79" s="105">
        <v>79</v>
      </c>
      <c r="B79" s="46">
        <v>45349</v>
      </c>
      <c r="D79" s="13" t="s">
        <v>137</v>
      </c>
      <c r="E79" s="13" t="s">
        <v>51</v>
      </c>
      <c r="F79" s="13" t="s">
        <v>52</v>
      </c>
      <c r="G79" s="14" t="s">
        <v>129</v>
      </c>
      <c r="H79" s="14">
        <v>4186009</v>
      </c>
      <c r="I79" s="14" t="s">
        <v>224</v>
      </c>
      <c r="K79" s="21"/>
      <c r="L79" s="21"/>
      <c r="Q79" s="14" t="s">
        <v>6</v>
      </c>
      <c r="R79" s="14" t="s">
        <v>225</v>
      </c>
      <c r="T79" s="15"/>
      <c r="U79" s="15"/>
      <c r="V79" s="16">
        <v>2039.33</v>
      </c>
      <c r="AA79" s="18">
        <f t="shared" si="4"/>
        <v>366</v>
      </c>
      <c r="AB79" s="19">
        <f t="shared" ca="1" si="5"/>
        <v>45465</v>
      </c>
      <c r="AC79" s="20"/>
      <c r="AD79" s="19"/>
      <c r="AE79" s="98"/>
    </row>
    <row r="80" spans="1:31" x14ac:dyDescent="0.3">
      <c r="A80" s="107">
        <v>80</v>
      </c>
      <c r="B80" s="46">
        <v>45349</v>
      </c>
      <c r="D80" s="13" t="s">
        <v>137</v>
      </c>
      <c r="E80" s="13" t="s">
        <v>51</v>
      </c>
      <c r="F80" s="13" t="s">
        <v>52</v>
      </c>
      <c r="G80" s="14" t="s">
        <v>129</v>
      </c>
      <c r="I80" s="14" t="s">
        <v>226</v>
      </c>
      <c r="K80" s="21"/>
      <c r="L80" s="21"/>
      <c r="Q80" s="14" t="s">
        <v>399</v>
      </c>
      <c r="R80" s="14" t="s">
        <v>227</v>
      </c>
      <c r="T80" s="15"/>
      <c r="U80" s="15"/>
      <c r="V80" s="16">
        <v>787.5</v>
      </c>
      <c r="AA80" s="18">
        <f t="shared" si="4"/>
        <v>366</v>
      </c>
      <c r="AB80" s="19">
        <f t="shared" ca="1" si="5"/>
        <v>45465</v>
      </c>
      <c r="AC80" s="20"/>
      <c r="AD80" s="19"/>
      <c r="AE80" s="98"/>
    </row>
    <row r="81" spans="1:31" x14ac:dyDescent="0.3">
      <c r="A81" s="108">
        <v>81</v>
      </c>
      <c r="B81" s="46">
        <v>45349</v>
      </c>
      <c r="D81" s="13" t="s">
        <v>137</v>
      </c>
      <c r="E81" s="13" t="s">
        <v>51</v>
      </c>
      <c r="F81" s="13" t="s">
        <v>52</v>
      </c>
      <c r="G81" s="14" t="s">
        <v>90</v>
      </c>
      <c r="H81" s="14">
        <v>4186159</v>
      </c>
      <c r="I81" s="14" t="s">
        <v>223</v>
      </c>
      <c r="K81" s="21"/>
      <c r="L81" s="21"/>
      <c r="Q81" s="14" t="s">
        <v>6</v>
      </c>
      <c r="R81" s="14" t="s">
        <v>115</v>
      </c>
      <c r="T81" s="15"/>
      <c r="U81" s="15"/>
      <c r="V81" s="16">
        <v>1831.1</v>
      </c>
      <c r="AA81" s="18">
        <f t="shared" si="4"/>
        <v>366</v>
      </c>
      <c r="AB81" s="19">
        <f t="shared" ca="1" si="5"/>
        <v>45465</v>
      </c>
      <c r="AC81" s="20"/>
      <c r="AD81" s="19"/>
      <c r="AE81" s="98"/>
    </row>
    <row r="82" spans="1:31" x14ac:dyDescent="0.3">
      <c r="A82" s="105">
        <v>82</v>
      </c>
      <c r="B82" s="46">
        <v>45349</v>
      </c>
      <c r="D82" s="13" t="s">
        <v>137</v>
      </c>
      <c r="E82" s="13" t="s">
        <v>51</v>
      </c>
      <c r="F82" s="13" t="s">
        <v>52</v>
      </c>
      <c r="G82" s="14" t="s">
        <v>60</v>
      </c>
      <c r="H82" s="14">
        <v>4186107</v>
      </c>
      <c r="I82" s="14" t="s">
        <v>228</v>
      </c>
      <c r="K82" s="21"/>
      <c r="L82" s="21"/>
      <c r="Q82" s="14" t="s">
        <v>6</v>
      </c>
      <c r="R82" s="14" t="s">
        <v>229</v>
      </c>
      <c r="T82" s="15"/>
      <c r="U82" s="15"/>
      <c r="V82" s="16">
        <v>2112.88</v>
      </c>
      <c r="AA82" s="18">
        <f t="shared" si="4"/>
        <v>366</v>
      </c>
      <c r="AB82" s="19">
        <f t="shared" ca="1" si="5"/>
        <v>45465</v>
      </c>
      <c r="AC82" s="20"/>
      <c r="AD82" s="19"/>
      <c r="AE82" s="98"/>
    </row>
    <row r="83" spans="1:31" x14ac:dyDescent="0.3">
      <c r="A83" s="107">
        <v>83</v>
      </c>
      <c r="B83" s="46">
        <v>45349</v>
      </c>
      <c r="D83" s="13" t="s">
        <v>137</v>
      </c>
      <c r="E83" s="13" t="s">
        <v>51</v>
      </c>
      <c r="F83" s="13" t="s">
        <v>66</v>
      </c>
      <c r="G83" s="14" t="s">
        <v>13</v>
      </c>
      <c r="I83" s="14" t="s">
        <v>231</v>
      </c>
      <c r="J83" s="14" t="s">
        <v>28</v>
      </c>
      <c r="K83" s="21">
        <v>926229451</v>
      </c>
      <c r="L83" s="21">
        <v>981219069</v>
      </c>
      <c r="M83" s="14" t="s">
        <v>69</v>
      </c>
      <c r="N83" s="14" t="s">
        <v>70</v>
      </c>
      <c r="O83" s="14" t="s">
        <v>231</v>
      </c>
      <c r="P83" s="14" t="s">
        <v>74</v>
      </c>
      <c r="Q83" s="14" t="s">
        <v>5</v>
      </c>
      <c r="R83" s="14" t="s">
        <v>232</v>
      </c>
      <c r="S83" s="14" t="s">
        <v>71</v>
      </c>
      <c r="T83" s="15">
        <v>84.83</v>
      </c>
      <c r="U83" s="15"/>
      <c r="V83" s="16">
        <f>+T83*12/(1.005)</f>
        <v>1012.8955223880598</v>
      </c>
      <c r="X83" s="14" t="s">
        <v>136</v>
      </c>
      <c r="Z83" s="14" t="s">
        <v>71</v>
      </c>
      <c r="AA83" s="18">
        <f t="shared" si="4"/>
        <v>366</v>
      </c>
      <c r="AB83" s="19">
        <f t="shared" ca="1" si="5"/>
        <v>45465</v>
      </c>
      <c r="AC83" s="20"/>
      <c r="AD83" s="19"/>
      <c r="AE83" s="98"/>
    </row>
    <row r="84" spans="1:31" x14ac:dyDescent="0.3">
      <c r="A84" s="108">
        <v>84</v>
      </c>
      <c r="B84" s="46">
        <v>45349</v>
      </c>
      <c r="D84" s="13" t="s">
        <v>137</v>
      </c>
      <c r="E84" s="13" t="s">
        <v>51</v>
      </c>
      <c r="F84" s="13" t="s">
        <v>66</v>
      </c>
      <c r="G84" s="14" t="s">
        <v>15</v>
      </c>
      <c r="I84" s="14" t="s">
        <v>233</v>
      </c>
      <c r="J84" s="14" t="s">
        <v>121</v>
      </c>
      <c r="K84" s="21">
        <v>924297484</v>
      </c>
      <c r="L84" s="21">
        <v>978980554</v>
      </c>
      <c r="M84" s="14" t="s">
        <v>69</v>
      </c>
      <c r="N84" s="14" t="s">
        <v>70</v>
      </c>
      <c r="O84" s="14" t="s">
        <v>233</v>
      </c>
      <c r="P84" s="14" t="s">
        <v>71</v>
      </c>
      <c r="Q84" s="14" t="s">
        <v>6</v>
      </c>
      <c r="R84" s="14" t="s">
        <v>171</v>
      </c>
      <c r="S84" s="14" t="s">
        <v>71</v>
      </c>
      <c r="T84" s="15">
        <v>153.81</v>
      </c>
      <c r="U84" s="15"/>
      <c r="V84" s="16">
        <f>Tabla1[[#This Row],[PAGO MENSUAL]]*12</f>
        <v>1845.72</v>
      </c>
      <c r="X84" s="14" t="s">
        <v>136</v>
      </c>
      <c r="Z84" s="14" t="s">
        <v>71</v>
      </c>
      <c r="AA84" s="18">
        <f t="shared" si="4"/>
        <v>366</v>
      </c>
      <c r="AB84" s="19">
        <f t="shared" ca="1" si="5"/>
        <v>45465</v>
      </c>
      <c r="AC84" s="20"/>
      <c r="AD84" s="19"/>
      <c r="AE84" s="98"/>
    </row>
    <row r="85" spans="1:31" x14ac:dyDescent="0.3">
      <c r="A85" s="105">
        <v>85</v>
      </c>
      <c r="B85" s="46">
        <v>45349</v>
      </c>
      <c r="D85" s="13" t="s">
        <v>137</v>
      </c>
      <c r="E85" s="13" t="s">
        <v>51</v>
      </c>
      <c r="F85" s="13" t="s">
        <v>66</v>
      </c>
      <c r="G85" s="14" t="s">
        <v>17</v>
      </c>
      <c r="I85" s="14" t="s">
        <v>230</v>
      </c>
      <c r="J85" s="14" t="s">
        <v>28</v>
      </c>
      <c r="K85" s="21">
        <v>923729032</v>
      </c>
      <c r="L85" s="21">
        <v>990964549</v>
      </c>
      <c r="M85" s="14" t="s">
        <v>69</v>
      </c>
      <c r="N85" s="14" t="s">
        <v>70</v>
      </c>
      <c r="O85" s="14" t="s">
        <v>230</v>
      </c>
      <c r="P85" s="14" t="s">
        <v>71</v>
      </c>
      <c r="Q85" s="14" t="s">
        <v>2</v>
      </c>
      <c r="R85" s="14" t="s">
        <v>200</v>
      </c>
      <c r="S85" s="14" t="s">
        <v>71</v>
      </c>
      <c r="T85" s="15">
        <v>78.31</v>
      </c>
      <c r="U85" s="15"/>
      <c r="V85" s="16">
        <f>+T85*12/(1.005)/1.07</f>
        <v>873.87362254149821</v>
      </c>
      <c r="X85" s="14" t="s">
        <v>136</v>
      </c>
      <c r="Z85" s="14" t="s">
        <v>71</v>
      </c>
      <c r="AA85" s="18">
        <f t="shared" si="4"/>
        <v>366</v>
      </c>
      <c r="AB85" s="19">
        <f t="shared" ca="1" si="5"/>
        <v>45465</v>
      </c>
      <c r="AC85" s="20"/>
      <c r="AD85" s="19"/>
      <c r="AE85" s="98"/>
    </row>
    <row r="86" spans="1:31" x14ac:dyDescent="0.3">
      <c r="A86" s="107">
        <v>86</v>
      </c>
      <c r="B86" s="46">
        <v>45350</v>
      </c>
      <c r="D86" s="13" t="s">
        <v>137</v>
      </c>
      <c r="E86" s="13" t="s">
        <v>51</v>
      </c>
      <c r="F86" s="13" t="s">
        <v>66</v>
      </c>
      <c r="G86" s="14" t="s">
        <v>18</v>
      </c>
      <c r="H86" s="14" t="s">
        <v>234</v>
      </c>
      <c r="I86" s="14" t="s">
        <v>235</v>
      </c>
      <c r="J86" s="14" t="s">
        <v>236</v>
      </c>
      <c r="K86" s="21">
        <v>1724027824</v>
      </c>
      <c r="L86" s="21">
        <v>1724027824</v>
      </c>
      <c r="M86" s="14" t="s">
        <v>88</v>
      </c>
      <c r="N86" s="14" t="s">
        <v>70</v>
      </c>
      <c r="O86" s="14" t="s">
        <v>237</v>
      </c>
      <c r="P86" s="14" t="s">
        <v>71</v>
      </c>
      <c r="Q86" s="14" t="s">
        <v>3</v>
      </c>
      <c r="R86" s="14" t="s">
        <v>161</v>
      </c>
      <c r="S86" s="14" t="s">
        <v>71</v>
      </c>
      <c r="T86" s="15">
        <f>367.78/12</f>
        <v>30.64833333333333</v>
      </c>
      <c r="U86" s="15"/>
      <c r="V86" s="16">
        <f>+(T86*12)/1.005-65</f>
        <v>300.95024875621891</v>
      </c>
      <c r="X86" s="14" t="s">
        <v>136</v>
      </c>
      <c r="Z86" s="14" t="s">
        <v>71</v>
      </c>
      <c r="AA86" s="18">
        <f t="shared" si="4"/>
        <v>366</v>
      </c>
      <c r="AB86" s="19">
        <f t="shared" ca="1" si="5"/>
        <v>45465</v>
      </c>
      <c r="AC86" s="20"/>
      <c r="AD86" s="19"/>
      <c r="AE86" s="98"/>
    </row>
    <row r="87" spans="1:31" x14ac:dyDescent="0.3">
      <c r="A87" s="108">
        <v>87</v>
      </c>
      <c r="B87" s="46">
        <v>45351</v>
      </c>
      <c r="D87" s="13" t="s">
        <v>137</v>
      </c>
      <c r="E87" s="13" t="s">
        <v>51</v>
      </c>
      <c r="F87" s="13" t="s">
        <v>66</v>
      </c>
      <c r="G87" s="14" t="s">
        <v>14</v>
      </c>
      <c r="I87" s="14" t="s">
        <v>238</v>
      </c>
      <c r="J87" s="14" t="s">
        <v>28</v>
      </c>
      <c r="K87" s="21">
        <v>950479345</v>
      </c>
      <c r="L87" s="21">
        <v>992712814</v>
      </c>
      <c r="M87" s="14" t="s">
        <v>69</v>
      </c>
      <c r="N87" s="14" t="s">
        <v>70</v>
      </c>
      <c r="O87" s="14" t="s">
        <v>239</v>
      </c>
      <c r="P87" s="14" t="s">
        <v>71</v>
      </c>
      <c r="Q87" s="14" t="s">
        <v>5</v>
      </c>
      <c r="R87" s="14" t="s">
        <v>177</v>
      </c>
      <c r="S87" s="14" t="s">
        <v>71</v>
      </c>
      <c r="T87" s="15">
        <v>56.49</v>
      </c>
      <c r="U87" s="15"/>
      <c r="V87" s="16">
        <f>+T87*12/(1.005)</f>
        <v>674.50746268656724</v>
      </c>
      <c r="X87" s="14" t="s">
        <v>136</v>
      </c>
      <c r="Z87" s="14" t="s">
        <v>71</v>
      </c>
      <c r="AA87" s="18">
        <f t="shared" si="4"/>
        <v>366</v>
      </c>
      <c r="AB87" s="19">
        <f t="shared" ca="1" si="5"/>
        <v>45465</v>
      </c>
      <c r="AC87" s="20"/>
      <c r="AD87" s="19"/>
      <c r="AE87" s="98"/>
    </row>
    <row r="88" spans="1:31" x14ac:dyDescent="0.3">
      <c r="A88" s="105">
        <v>88</v>
      </c>
      <c r="B88" s="46">
        <v>45351</v>
      </c>
      <c r="D88" s="13" t="s">
        <v>137</v>
      </c>
      <c r="E88" s="13" t="s">
        <v>51</v>
      </c>
      <c r="F88" s="13" t="s">
        <v>66</v>
      </c>
      <c r="G88" s="14" t="s">
        <v>240</v>
      </c>
      <c r="I88" s="14" t="s">
        <v>241</v>
      </c>
      <c r="J88" s="14" t="s">
        <v>201</v>
      </c>
      <c r="K88" s="21"/>
      <c r="L88" s="21"/>
      <c r="Q88" s="14" t="s">
        <v>399</v>
      </c>
      <c r="T88" s="15"/>
      <c r="U88" s="15">
        <v>1905</v>
      </c>
      <c r="V88" s="16">
        <f>+Tabla1[[#This Row],[PAGO ANUAL]]</f>
        <v>1905</v>
      </c>
      <c r="X88" s="14" t="s">
        <v>136</v>
      </c>
      <c r="Z88" s="14" t="s">
        <v>71</v>
      </c>
      <c r="AA88" s="18">
        <f t="shared" si="4"/>
        <v>366</v>
      </c>
      <c r="AB88" s="19">
        <f t="shared" ca="1" si="5"/>
        <v>45465</v>
      </c>
      <c r="AC88" s="20"/>
      <c r="AD88" s="19"/>
      <c r="AE88" s="98"/>
    </row>
    <row r="89" spans="1:31" x14ac:dyDescent="0.3">
      <c r="A89" s="107">
        <v>89</v>
      </c>
      <c r="B89" s="46">
        <v>45352</v>
      </c>
      <c r="D89" s="13" t="s">
        <v>242</v>
      </c>
      <c r="E89" s="13" t="s">
        <v>51</v>
      </c>
      <c r="F89" s="13" t="s">
        <v>52</v>
      </c>
      <c r="G89" s="14" t="s">
        <v>155</v>
      </c>
      <c r="H89" s="14" t="s">
        <v>244</v>
      </c>
      <c r="I89" s="14" t="s">
        <v>245</v>
      </c>
      <c r="K89" s="21"/>
      <c r="L89" s="21"/>
      <c r="Q89" s="14" t="s">
        <v>3</v>
      </c>
      <c r="R89" s="14" t="s">
        <v>64</v>
      </c>
      <c r="T89" s="15"/>
      <c r="U89" s="15"/>
      <c r="V89" s="16">
        <v>1767.29</v>
      </c>
      <c r="AA89" s="18">
        <f t="shared" si="4"/>
        <v>366</v>
      </c>
      <c r="AB89" s="19">
        <f t="shared" ca="1" si="5"/>
        <v>45465</v>
      </c>
      <c r="AC89" s="20"/>
      <c r="AD89" s="19"/>
      <c r="AE89" s="98"/>
    </row>
    <row r="90" spans="1:31" x14ac:dyDescent="0.3">
      <c r="A90" s="108">
        <v>90</v>
      </c>
      <c r="B90" s="46">
        <v>45352</v>
      </c>
      <c r="D90" s="13" t="s">
        <v>242</v>
      </c>
      <c r="E90" s="13" t="s">
        <v>51</v>
      </c>
      <c r="F90" s="13" t="s">
        <v>52</v>
      </c>
      <c r="G90" s="14" t="s">
        <v>98</v>
      </c>
      <c r="H90" s="14">
        <v>4186645</v>
      </c>
      <c r="I90" s="14" t="s">
        <v>243</v>
      </c>
      <c r="K90" s="21"/>
      <c r="L90" s="21"/>
      <c r="Q90" s="14" t="s">
        <v>6</v>
      </c>
      <c r="R90" s="14" t="s">
        <v>125</v>
      </c>
      <c r="T90" s="15"/>
      <c r="U90" s="15"/>
      <c r="V90" s="16">
        <v>1249.8599999999999</v>
      </c>
      <c r="AA90" s="18">
        <f t="shared" si="4"/>
        <v>366</v>
      </c>
      <c r="AB90" s="19">
        <f t="shared" ca="1" si="5"/>
        <v>45465</v>
      </c>
      <c r="AC90" s="20"/>
      <c r="AD90" s="19"/>
      <c r="AE90" s="98"/>
    </row>
    <row r="91" spans="1:31" x14ac:dyDescent="0.3">
      <c r="A91" s="105">
        <v>91</v>
      </c>
      <c r="B91" s="46">
        <v>45352</v>
      </c>
      <c r="D91" s="13" t="s">
        <v>242</v>
      </c>
      <c r="E91" s="13" t="s">
        <v>51</v>
      </c>
      <c r="F91" s="13" t="s">
        <v>52</v>
      </c>
      <c r="G91" s="14" t="s">
        <v>118</v>
      </c>
      <c r="H91" s="14">
        <v>4186656</v>
      </c>
      <c r="I91" s="14" t="s">
        <v>246</v>
      </c>
      <c r="K91" s="21"/>
      <c r="L91" s="21"/>
      <c r="Q91" s="14" t="s">
        <v>6</v>
      </c>
      <c r="R91" s="14" t="s">
        <v>62</v>
      </c>
      <c r="T91" s="15"/>
      <c r="U91" s="15"/>
      <c r="V91" s="16">
        <v>828.61</v>
      </c>
      <c r="AA91" s="18">
        <f t="shared" si="4"/>
        <v>366</v>
      </c>
      <c r="AB91" s="19">
        <f t="shared" ca="1" si="5"/>
        <v>45465</v>
      </c>
      <c r="AC91" s="20"/>
      <c r="AD91" s="19"/>
      <c r="AE91" s="98"/>
    </row>
    <row r="92" spans="1:31" x14ac:dyDescent="0.3">
      <c r="A92" s="107">
        <v>92</v>
      </c>
      <c r="B92" s="46">
        <v>45352</v>
      </c>
      <c r="D92" s="13" t="s">
        <v>242</v>
      </c>
      <c r="E92" s="13" t="s">
        <v>51</v>
      </c>
      <c r="F92" s="13" t="s">
        <v>52</v>
      </c>
      <c r="G92" s="14" t="s">
        <v>75</v>
      </c>
      <c r="H92" s="14">
        <v>4186688</v>
      </c>
      <c r="I92" s="14" t="s">
        <v>251</v>
      </c>
      <c r="K92" s="21"/>
      <c r="L92" s="21"/>
      <c r="Q92" s="14" t="s">
        <v>6</v>
      </c>
      <c r="R92" s="14" t="s">
        <v>252</v>
      </c>
      <c r="T92" s="15"/>
      <c r="U92" s="15"/>
      <c r="V92" s="16">
        <v>1122.22</v>
      </c>
      <c r="AA92" s="18">
        <f t="shared" si="4"/>
        <v>366</v>
      </c>
      <c r="AB92" s="19">
        <f t="shared" ca="1" si="5"/>
        <v>45465</v>
      </c>
      <c r="AC92" s="20"/>
      <c r="AD92" s="19"/>
      <c r="AE92" s="98"/>
    </row>
    <row r="93" spans="1:31" x14ac:dyDescent="0.3">
      <c r="A93" s="108">
        <v>93</v>
      </c>
      <c r="B93" s="46">
        <v>45352</v>
      </c>
      <c r="D93" s="13" t="s">
        <v>242</v>
      </c>
      <c r="E93" s="13" t="s">
        <v>51</v>
      </c>
      <c r="F93" s="13" t="s">
        <v>52</v>
      </c>
      <c r="G93" s="14" t="s">
        <v>75</v>
      </c>
      <c r="H93" s="14">
        <v>4186711</v>
      </c>
      <c r="I93" s="14" t="s">
        <v>254</v>
      </c>
      <c r="K93" s="21"/>
      <c r="L93" s="21"/>
      <c r="Q93" s="14" t="s">
        <v>6</v>
      </c>
      <c r="R93" s="14" t="s">
        <v>62</v>
      </c>
      <c r="T93" s="15"/>
      <c r="U93" s="15"/>
      <c r="V93" s="16">
        <v>828.61</v>
      </c>
      <c r="AA93" s="18">
        <f t="shared" si="4"/>
        <v>366</v>
      </c>
      <c r="AB93" s="19">
        <f t="shared" ca="1" si="5"/>
        <v>45465</v>
      </c>
      <c r="AC93" s="20"/>
      <c r="AD93" s="19"/>
      <c r="AE93" s="98"/>
    </row>
    <row r="94" spans="1:31" x14ac:dyDescent="0.3">
      <c r="A94" s="105">
        <v>94</v>
      </c>
      <c r="B94" s="46">
        <v>45352</v>
      </c>
      <c r="D94" s="13" t="s">
        <v>242</v>
      </c>
      <c r="E94" s="13" t="s">
        <v>51</v>
      </c>
      <c r="F94" s="13" t="s">
        <v>52</v>
      </c>
      <c r="G94" s="14" t="s">
        <v>60</v>
      </c>
      <c r="I94" s="14" t="s">
        <v>247</v>
      </c>
      <c r="K94" s="21"/>
      <c r="L94" s="21"/>
      <c r="Q94" s="14" t="s">
        <v>55</v>
      </c>
      <c r="R94" s="14" t="s">
        <v>248</v>
      </c>
      <c r="T94" s="15"/>
      <c r="U94" s="15"/>
      <c r="V94" s="16">
        <v>901.35</v>
      </c>
      <c r="AA94" s="18">
        <f t="shared" si="4"/>
        <v>366</v>
      </c>
      <c r="AB94" s="19">
        <f t="shared" ca="1" si="5"/>
        <v>45465</v>
      </c>
      <c r="AC94" s="20"/>
      <c r="AD94" s="19"/>
      <c r="AE94" s="98"/>
    </row>
    <row r="95" spans="1:31" x14ac:dyDescent="0.3">
      <c r="A95" s="107">
        <v>95</v>
      </c>
      <c r="B95" s="46">
        <v>45352</v>
      </c>
      <c r="D95" s="13" t="s">
        <v>242</v>
      </c>
      <c r="E95" s="13" t="s">
        <v>51</v>
      </c>
      <c r="F95" s="13" t="s">
        <v>52</v>
      </c>
      <c r="G95" s="14" t="s">
        <v>60</v>
      </c>
      <c r="H95" s="14" t="s">
        <v>249</v>
      </c>
      <c r="I95" s="14" t="s">
        <v>250</v>
      </c>
      <c r="K95" s="21"/>
      <c r="L95" s="21"/>
      <c r="Q95" s="14" t="s">
        <v>399</v>
      </c>
      <c r="R95" s="14" t="s">
        <v>77</v>
      </c>
      <c r="T95" s="15"/>
      <c r="U95" s="15"/>
      <c r="V95" s="16">
        <v>4484.91</v>
      </c>
      <c r="AA95" s="18">
        <f t="shared" si="4"/>
        <v>366</v>
      </c>
      <c r="AB95" s="19">
        <f t="shared" ca="1" si="5"/>
        <v>45465</v>
      </c>
      <c r="AC95" s="20"/>
      <c r="AD95" s="19"/>
      <c r="AE95" s="98"/>
    </row>
    <row r="96" spans="1:31" x14ac:dyDescent="0.3">
      <c r="A96" s="108">
        <v>96</v>
      </c>
      <c r="B96" s="46">
        <v>45352</v>
      </c>
      <c r="D96" s="13" t="s">
        <v>242</v>
      </c>
      <c r="E96" s="13" t="s">
        <v>51</v>
      </c>
      <c r="F96" s="13" t="s">
        <v>52</v>
      </c>
      <c r="G96" s="14" t="s">
        <v>60</v>
      </c>
      <c r="H96" s="14">
        <v>4186080</v>
      </c>
      <c r="I96" s="14" t="s">
        <v>253</v>
      </c>
      <c r="K96" s="21"/>
      <c r="L96" s="21"/>
      <c r="Q96" s="14" t="s">
        <v>6</v>
      </c>
      <c r="R96" s="14" t="s">
        <v>171</v>
      </c>
      <c r="T96" s="15"/>
      <c r="U96" s="15"/>
      <c r="V96" s="16">
        <v>2115.27</v>
      </c>
      <c r="AA96" s="18">
        <f t="shared" si="4"/>
        <v>366</v>
      </c>
      <c r="AB96" s="19">
        <f t="shared" ca="1" si="5"/>
        <v>45465</v>
      </c>
      <c r="AC96" s="20"/>
      <c r="AD96" s="19"/>
      <c r="AE96" s="98"/>
    </row>
    <row r="97" spans="1:31" x14ac:dyDescent="0.3">
      <c r="A97" s="105">
        <v>97</v>
      </c>
      <c r="B97" s="46">
        <v>45355</v>
      </c>
      <c r="D97" s="13" t="s">
        <v>242</v>
      </c>
      <c r="E97" s="13" t="s">
        <v>186</v>
      </c>
      <c r="F97" s="13" t="s">
        <v>52</v>
      </c>
      <c r="G97" s="14" t="s">
        <v>257</v>
      </c>
      <c r="H97" s="14">
        <v>292205</v>
      </c>
      <c r="I97" s="14" t="s">
        <v>258</v>
      </c>
      <c r="K97" s="21"/>
      <c r="L97" s="21"/>
      <c r="Q97" s="14" t="s">
        <v>55</v>
      </c>
      <c r="T97" s="15">
        <v>355.88</v>
      </c>
      <c r="U97" s="15"/>
      <c r="V97" s="16">
        <f>+T97*12/(1.005)</f>
        <v>4249.313432835821</v>
      </c>
      <c r="AA97" s="18">
        <f t="shared" si="4"/>
        <v>366</v>
      </c>
      <c r="AB97" s="19">
        <f t="shared" ca="1" si="5"/>
        <v>45465</v>
      </c>
      <c r="AC97" s="20"/>
      <c r="AD97" s="19"/>
      <c r="AE97" s="98"/>
    </row>
    <row r="98" spans="1:31" x14ac:dyDescent="0.3">
      <c r="A98" s="107">
        <v>98</v>
      </c>
      <c r="B98" s="46">
        <v>45355</v>
      </c>
      <c r="D98" s="13" t="s">
        <v>242</v>
      </c>
      <c r="E98" s="13" t="s">
        <v>51</v>
      </c>
      <c r="F98" s="13" t="s">
        <v>52</v>
      </c>
      <c r="G98" s="14" t="s">
        <v>57</v>
      </c>
      <c r="H98" s="14">
        <v>4186643</v>
      </c>
      <c r="I98" s="14" t="s">
        <v>255</v>
      </c>
      <c r="K98" s="21"/>
      <c r="L98" s="21"/>
      <c r="Q98" s="14" t="s">
        <v>6</v>
      </c>
      <c r="R98" s="14" t="s">
        <v>62</v>
      </c>
      <c r="T98" s="15"/>
      <c r="U98" s="15"/>
      <c r="V98" s="16">
        <v>1369.88</v>
      </c>
      <c r="AA98" s="18">
        <f t="shared" si="4"/>
        <v>366</v>
      </c>
      <c r="AB98" s="19">
        <f t="shared" ca="1" si="5"/>
        <v>45465</v>
      </c>
      <c r="AC98" s="20"/>
      <c r="AD98" s="19"/>
      <c r="AE98" s="98"/>
    </row>
    <row r="99" spans="1:31" x14ac:dyDescent="0.3">
      <c r="A99" s="108">
        <v>99</v>
      </c>
      <c r="B99" s="46">
        <v>45355</v>
      </c>
      <c r="D99" s="13" t="s">
        <v>242</v>
      </c>
      <c r="E99" s="13" t="s">
        <v>51</v>
      </c>
      <c r="F99" s="13" t="s">
        <v>52</v>
      </c>
      <c r="G99" s="14" t="s">
        <v>129</v>
      </c>
      <c r="H99" s="14" t="s">
        <v>259</v>
      </c>
      <c r="I99" s="14" t="s">
        <v>260</v>
      </c>
      <c r="K99" s="21"/>
      <c r="L99" s="21"/>
      <c r="Q99" s="14" t="s">
        <v>399</v>
      </c>
      <c r="R99" s="14" t="s">
        <v>261</v>
      </c>
      <c r="T99" s="15"/>
      <c r="U99" s="15"/>
      <c r="V99" s="16">
        <v>537.5</v>
      </c>
      <c r="AA99" s="18">
        <f t="shared" si="4"/>
        <v>366</v>
      </c>
      <c r="AB99" s="19">
        <f t="shared" ca="1" si="5"/>
        <v>45465</v>
      </c>
      <c r="AC99" s="20"/>
      <c r="AD99" s="19"/>
      <c r="AE99" s="98"/>
    </row>
    <row r="100" spans="1:31" x14ac:dyDescent="0.3">
      <c r="A100" s="105">
        <v>100</v>
      </c>
      <c r="B100" s="46">
        <v>45355</v>
      </c>
      <c r="D100" s="13" t="s">
        <v>242</v>
      </c>
      <c r="E100" s="13" t="s">
        <v>51</v>
      </c>
      <c r="F100" s="13" t="s">
        <v>52</v>
      </c>
      <c r="G100" s="14" t="s">
        <v>60</v>
      </c>
      <c r="H100" s="14">
        <v>4186739</v>
      </c>
      <c r="I100" s="14" t="s">
        <v>256</v>
      </c>
      <c r="K100" s="21"/>
      <c r="L100" s="21"/>
      <c r="Q100" s="14" t="s">
        <v>6</v>
      </c>
      <c r="R100" s="14" t="s">
        <v>62</v>
      </c>
      <c r="T100" s="15"/>
      <c r="U100" s="15"/>
      <c r="V100" s="16">
        <v>1366.51</v>
      </c>
      <c r="AA100" s="18">
        <f t="shared" ref="AA100:AA131" si="6">+DATE(YEAR(C100)+1,MONTH(C100),DAY(C100))</f>
        <v>366</v>
      </c>
      <c r="AB100" s="19">
        <f t="shared" ref="AB100:AB131" ca="1" si="7">+TODAY()-AA100</f>
        <v>45465</v>
      </c>
      <c r="AC100" s="20"/>
      <c r="AD100" s="19"/>
      <c r="AE100" s="98"/>
    </row>
    <row r="101" spans="1:31" x14ac:dyDescent="0.3">
      <c r="A101" s="107">
        <v>101</v>
      </c>
      <c r="B101" s="46">
        <v>45355</v>
      </c>
      <c r="D101" s="13" t="s">
        <v>242</v>
      </c>
      <c r="E101" s="13" t="s">
        <v>51</v>
      </c>
      <c r="F101" s="13" t="s">
        <v>66</v>
      </c>
      <c r="G101" s="14" t="s">
        <v>262</v>
      </c>
      <c r="I101" s="14" t="s">
        <v>263</v>
      </c>
      <c r="J101" s="14" t="s">
        <v>68</v>
      </c>
      <c r="K101" s="21">
        <v>959155318</v>
      </c>
      <c r="L101" s="21">
        <v>997715388</v>
      </c>
      <c r="M101" s="14" t="s">
        <v>88</v>
      </c>
      <c r="N101" s="14" t="s">
        <v>70</v>
      </c>
      <c r="O101" s="14" t="s">
        <v>263</v>
      </c>
      <c r="P101" s="14" t="s">
        <v>74</v>
      </c>
      <c r="Q101" s="14" t="s">
        <v>5</v>
      </c>
      <c r="R101" s="14" t="s">
        <v>177</v>
      </c>
      <c r="S101" s="14" t="s">
        <v>71</v>
      </c>
      <c r="T101" s="15">
        <v>122.73</v>
      </c>
      <c r="U101" s="15">
        <v>0</v>
      </c>
      <c r="V101" s="16">
        <f>+T101*12/(1.005)</f>
        <v>1465.4328358208957</v>
      </c>
      <c r="X101" s="14" t="s">
        <v>136</v>
      </c>
      <c r="Z101" s="14" t="s">
        <v>71</v>
      </c>
      <c r="AA101" s="18">
        <f t="shared" si="6"/>
        <v>366</v>
      </c>
      <c r="AB101" s="19">
        <f t="shared" ca="1" si="7"/>
        <v>45465</v>
      </c>
      <c r="AC101" s="20"/>
      <c r="AD101" s="19"/>
      <c r="AE101" s="98"/>
    </row>
    <row r="102" spans="1:31" x14ac:dyDescent="0.3">
      <c r="A102" s="108">
        <v>102</v>
      </c>
      <c r="B102" s="46">
        <v>45356</v>
      </c>
      <c r="D102" s="13" t="s">
        <v>242</v>
      </c>
      <c r="E102" s="13" t="s">
        <v>51</v>
      </c>
      <c r="F102" s="13" t="s">
        <v>52</v>
      </c>
      <c r="G102" s="14" t="s">
        <v>57</v>
      </c>
      <c r="H102" s="14">
        <v>4186798</v>
      </c>
      <c r="I102" s="14" t="s">
        <v>264</v>
      </c>
      <c r="K102" s="21"/>
      <c r="L102" s="21"/>
      <c r="Q102" s="14" t="s">
        <v>6</v>
      </c>
      <c r="R102" s="14" t="s">
        <v>265</v>
      </c>
      <c r="T102" s="15"/>
      <c r="U102" s="15"/>
      <c r="V102" s="16">
        <v>1234.3399999999999</v>
      </c>
      <c r="AA102" s="18">
        <f t="shared" si="6"/>
        <v>366</v>
      </c>
      <c r="AB102" s="19">
        <f t="shared" ca="1" si="7"/>
        <v>45465</v>
      </c>
      <c r="AC102" s="20"/>
      <c r="AD102" s="19"/>
      <c r="AE102" s="98"/>
    </row>
    <row r="103" spans="1:31" x14ac:dyDescent="0.3">
      <c r="A103" s="105">
        <v>103</v>
      </c>
      <c r="B103" s="46">
        <v>45356</v>
      </c>
      <c r="D103" s="13" t="s">
        <v>242</v>
      </c>
      <c r="E103" s="13" t="s">
        <v>51</v>
      </c>
      <c r="F103" s="13" t="s">
        <v>52</v>
      </c>
      <c r="G103" s="14" t="s">
        <v>155</v>
      </c>
      <c r="I103" s="14" t="s">
        <v>267</v>
      </c>
      <c r="K103" s="21"/>
      <c r="L103" s="21"/>
      <c r="Q103" s="14" t="s">
        <v>399</v>
      </c>
      <c r="R103" s="14" t="s">
        <v>268</v>
      </c>
      <c r="T103" s="15"/>
      <c r="U103" s="15"/>
      <c r="V103" s="16">
        <v>1972</v>
      </c>
      <c r="AA103" s="18">
        <f t="shared" si="6"/>
        <v>366</v>
      </c>
      <c r="AB103" s="19">
        <f t="shared" ca="1" si="7"/>
        <v>45465</v>
      </c>
      <c r="AC103" s="20"/>
      <c r="AD103" s="19"/>
      <c r="AE103" s="98"/>
    </row>
    <row r="104" spans="1:31" x14ac:dyDescent="0.3">
      <c r="A104" s="107">
        <v>104</v>
      </c>
      <c r="B104" s="46">
        <v>45356</v>
      </c>
      <c r="D104" s="13" t="s">
        <v>242</v>
      </c>
      <c r="E104" s="13" t="s">
        <v>51</v>
      </c>
      <c r="F104" s="13" t="s">
        <v>52</v>
      </c>
      <c r="G104" s="14" t="s">
        <v>155</v>
      </c>
      <c r="I104" s="14" t="s">
        <v>269</v>
      </c>
      <c r="K104" s="21"/>
      <c r="L104" s="21"/>
      <c r="Q104" s="14" t="s">
        <v>399</v>
      </c>
      <c r="R104" s="14" t="s">
        <v>268</v>
      </c>
      <c r="T104" s="15"/>
      <c r="U104" s="15"/>
      <c r="V104" s="16">
        <v>1569</v>
      </c>
      <c r="AA104" s="18">
        <f t="shared" si="6"/>
        <v>366</v>
      </c>
      <c r="AB104" s="19">
        <f t="shared" ca="1" si="7"/>
        <v>45465</v>
      </c>
      <c r="AC104" s="20"/>
      <c r="AD104" s="19"/>
      <c r="AE104" s="98"/>
    </row>
    <row r="105" spans="1:31" x14ac:dyDescent="0.3">
      <c r="A105" s="108">
        <v>105</v>
      </c>
      <c r="B105" s="46">
        <v>45356</v>
      </c>
      <c r="D105" s="13" t="s">
        <v>242</v>
      </c>
      <c r="E105" s="13" t="s">
        <v>186</v>
      </c>
      <c r="F105" s="13" t="s">
        <v>52</v>
      </c>
      <c r="G105" s="14" t="s">
        <v>78</v>
      </c>
      <c r="H105" s="14">
        <v>28478</v>
      </c>
      <c r="I105" s="14" t="s">
        <v>266</v>
      </c>
      <c r="K105" s="21"/>
      <c r="L105" s="21"/>
      <c r="Q105" s="14" t="s">
        <v>2</v>
      </c>
      <c r="T105" s="15"/>
      <c r="U105" s="15"/>
      <c r="AA105" s="18">
        <f t="shared" si="6"/>
        <v>366</v>
      </c>
      <c r="AB105" s="19">
        <f t="shared" ca="1" si="7"/>
        <v>45465</v>
      </c>
      <c r="AC105" s="20"/>
      <c r="AD105" s="19"/>
      <c r="AE105" s="98"/>
    </row>
    <row r="106" spans="1:31" x14ac:dyDescent="0.3">
      <c r="A106" s="105">
        <v>106</v>
      </c>
      <c r="B106" s="46">
        <v>45356</v>
      </c>
      <c r="D106" s="13" t="s">
        <v>242</v>
      </c>
      <c r="E106" s="13" t="s">
        <v>51</v>
      </c>
      <c r="F106" s="13" t="s">
        <v>52</v>
      </c>
      <c r="G106" s="14" t="s">
        <v>90</v>
      </c>
      <c r="H106" s="14">
        <v>4186833</v>
      </c>
      <c r="I106" s="14" t="s">
        <v>270</v>
      </c>
      <c r="K106" s="21"/>
      <c r="L106" s="21"/>
      <c r="Q106" s="14" t="s">
        <v>6</v>
      </c>
      <c r="R106" s="14" t="s">
        <v>115</v>
      </c>
      <c r="T106" s="15"/>
      <c r="U106" s="15"/>
      <c r="V106" s="16">
        <v>1127.3499999999999</v>
      </c>
      <c r="AA106" s="18">
        <f t="shared" si="6"/>
        <v>366</v>
      </c>
      <c r="AB106" s="19">
        <f t="shared" ca="1" si="7"/>
        <v>45465</v>
      </c>
      <c r="AC106" s="20"/>
      <c r="AD106" s="19"/>
      <c r="AE106" s="98"/>
    </row>
    <row r="107" spans="1:31" x14ac:dyDescent="0.3">
      <c r="A107" s="107">
        <v>107</v>
      </c>
      <c r="B107" s="46">
        <v>45356</v>
      </c>
      <c r="C107" s="46">
        <v>45367</v>
      </c>
      <c r="D107" s="13" t="s">
        <v>242</v>
      </c>
      <c r="E107" s="13" t="s">
        <v>51</v>
      </c>
      <c r="F107" s="13" t="s">
        <v>66</v>
      </c>
      <c r="G107" s="14" t="s">
        <v>240</v>
      </c>
      <c r="H107" s="14" t="s">
        <v>271</v>
      </c>
      <c r="I107" s="14" t="s">
        <v>272</v>
      </c>
      <c r="J107" s="14" t="s">
        <v>28</v>
      </c>
      <c r="K107" s="21">
        <v>912171642</v>
      </c>
      <c r="L107" s="21">
        <v>994880644</v>
      </c>
      <c r="M107" s="14" t="s">
        <v>69</v>
      </c>
      <c r="N107" s="14" t="s">
        <v>70</v>
      </c>
      <c r="O107" s="14" t="s">
        <v>273</v>
      </c>
      <c r="P107" s="14" t="s">
        <v>71</v>
      </c>
      <c r="Q107" s="14" t="s">
        <v>3</v>
      </c>
      <c r="R107" s="14" t="s">
        <v>274</v>
      </c>
      <c r="S107" s="14" t="s">
        <v>71</v>
      </c>
      <c r="T107" s="15">
        <v>221.41</v>
      </c>
      <c r="U107" s="15"/>
      <c r="V107" s="16">
        <f>+(T107*12)/1.005-65</f>
        <v>2578.7014925373137</v>
      </c>
      <c r="X107" s="14" t="s">
        <v>136</v>
      </c>
      <c r="Z107" s="14" t="s">
        <v>71</v>
      </c>
      <c r="AA107" s="18">
        <f t="shared" si="6"/>
        <v>45732</v>
      </c>
      <c r="AB107" s="19">
        <f t="shared" ca="1" si="7"/>
        <v>99</v>
      </c>
      <c r="AC107" s="20"/>
      <c r="AD107" s="19"/>
      <c r="AE107" s="98"/>
    </row>
    <row r="108" spans="1:31" x14ac:dyDescent="0.3">
      <c r="A108" s="108">
        <v>108</v>
      </c>
      <c r="B108" s="46">
        <v>45357</v>
      </c>
      <c r="D108" s="13" t="s">
        <v>242</v>
      </c>
      <c r="E108" s="13" t="s">
        <v>51</v>
      </c>
      <c r="F108" s="13" t="s">
        <v>66</v>
      </c>
      <c r="G108" s="14" t="s">
        <v>275</v>
      </c>
      <c r="I108" s="14" t="s">
        <v>276</v>
      </c>
      <c r="J108" s="14" t="s">
        <v>28</v>
      </c>
      <c r="K108" s="21">
        <v>1313953539</v>
      </c>
      <c r="L108" s="21">
        <v>997360087</v>
      </c>
      <c r="M108" s="14" t="s">
        <v>69</v>
      </c>
      <c r="N108" s="14" t="s">
        <v>70</v>
      </c>
      <c r="O108" s="14" t="s">
        <v>276</v>
      </c>
      <c r="P108" s="14" t="s">
        <v>71</v>
      </c>
      <c r="Q108" s="14" t="s">
        <v>6</v>
      </c>
      <c r="R108" s="14" t="s">
        <v>277</v>
      </c>
      <c r="S108" s="14" t="s">
        <v>71</v>
      </c>
      <c r="T108" s="15">
        <v>105.75</v>
      </c>
      <c r="U108" s="15"/>
      <c r="V108" s="16">
        <f>Tabla1[[#This Row],[PAGO MENSUAL]]*12</f>
        <v>1269</v>
      </c>
      <c r="X108" s="14" t="s">
        <v>73</v>
      </c>
      <c r="Z108" s="14" t="s">
        <v>71</v>
      </c>
      <c r="AA108" s="18">
        <f t="shared" si="6"/>
        <v>366</v>
      </c>
      <c r="AB108" s="19">
        <f t="shared" ca="1" si="7"/>
        <v>45465</v>
      </c>
      <c r="AC108" s="20"/>
      <c r="AD108" s="19"/>
      <c r="AE108" s="98"/>
    </row>
    <row r="109" spans="1:31" x14ac:dyDescent="0.3">
      <c r="A109" s="105">
        <v>109</v>
      </c>
      <c r="B109" s="46">
        <v>45358</v>
      </c>
      <c r="D109" s="13" t="s">
        <v>242</v>
      </c>
      <c r="E109" s="13" t="s">
        <v>51</v>
      </c>
      <c r="F109" s="13" t="s">
        <v>52</v>
      </c>
      <c r="G109" s="14" t="s">
        <v>60</v>
      </c>
      <c r="H109" s="14">
        <v>43528</v>
      </c>
      <c r="I109" s="14" t="s">
        <v>278</v>
      </c>
      <c r="K109" s="21"/>
      <c r="L109" s="21"/>
      <c r="Q109" s="14" t="s">
        <v>148</v>
      </c>
      <c r="R109" s="14" t="s">
        <v>279</v>
      </c>
      <c r="T109" s="15"/>
      <c r="U109" s="15"/>
      <c r="V109" s="16">
        <v>1411.31</v>
      </c>
      <c r="AA109" s="18">
        <f t="shared" si="6"/>
        <v>366</v>
      </c>
      <c r="AB109" s="19">
        <f t="shared" ca="1" si="7"/>
        <v>45465</v>
      </c>
      <c r="AC109" s="20"/>
      <c r="AD109" s="19"/>
      <c r="AE109" s="98"/>
    </row>
    <row r="110" spans="1:31" x14ac:dyDescent="0.3">
      <c r="A110" s="107">
        <v>110</v>
      </c>
      <c r="B110" s="46">
        <v>45358</v>
      </c>
      <c r="D110" s="13" t="s">
        <v>242</v>
      </c>
      <c r="E110" s="13" t="s">
        <v>51</v>
      </c>
      <c r="F110" s="13" t="s">
        <v>66</v>
      </c>
      <c r="G110" s="14" t="s">
        <v>11</v>
      </c>
      <c r="I110" s="14" t="s">
        <v>280</v>
      </c>
      <c r="J110" s="14" t="s">
        <v>281</v>
      </c>
      <c r="K110" s="21">
        <v>914908926</v>
      </c>
      <c r="L110" s="21">
        <v>980047504</v>
      </c>
      <c r="M110" s="14" t="s">
        <v>69</v>
      </c>
      <c r="N110" s="14" t="s">
        <v>70</v>
      </c>
      <c r="O110" s="14" t="s">
        <v>280</v>
      </c>
      <c r="P110" s="14" t="s">
        <v>71</v>
      </c>
      <c r="Q110" s="14" t="s">
        <v>2</v>
      </c>
      <c r="R110" s="14" t="s">
        <v>200</v>
      </c>
      <c r="S110" s="14" t="s">
        <v>71</v>
      </c>
      <c r="T110" s="15">
        <v>103.14</v>
      </c>
      <c r="U110" s="15"/>
      <c r="V110" s="16">
        <f>+T110*12/(1.005)/1.07</f>
        <v>1150.9555028595341</v>
      </c>
      <c r="X110" s="14" t="s">
        <v>136</v>
      </c>
      <c r="Z110" s="14" t="s">
        <v>71</v>
      </c>
      <c r="AA110" s="18">
        <f t="shared" si="6"/>
        <v>366</v>
      </c>
      <c r="AB110" s="19">
        <f t="shared" ca="1" si="7"/>
        <v>45465</v>
      </c>
      <c r="AC110" s="20"/>
      <c r="AD110" s="19"/>
      <c r="AE110" s="98"/>
    </row>
    <row r="111" spans="1:31" x14ac:dyDescent="0.3">
      <c r="A111" s="108">
        <v>111</v>
      </c>
      <c r="B111" s="46">
        <v>45358</v>
      </c>
      <c r="D111" s="13" t="s">
        <v>242</v>
      </c>
      <c r="E111" s="13" t="s">
        <v>51</v>
      </c>
      <c r="F111" s="13" t="s">
        <v>66</v>
      </c>
      <c r="G111" s="14" t="s">
        <v>175</v>
      </c>
      <c r="H111" s="14" t="s">
        <v>282</v>
      </c>
      <c r="I111" s="14" t="s">
        <v>283</v>
      </c>
      <c r="J111" s="14" t="s">
        <v>28</v>
      </c>
      <c r="K111" s="21">
        <v>1204988966</v>
      </c>
      <c r="L111" s="21">
        <v>991212642</v>
      </c>
      <c r="M111" s="14" t="s">
        <v>69</v>
      </c>
      <c r="N111" s="14" t="s">
        <v>70</v>
      </c>
      <c r="O111" s="14" t="s">
        <v>283</v>
      </c>
      <c r="P111" s="14" t="s">
        <v>71</v>
      </c>
      <c r="Q111" s="14" t="s">
        <v>3</v>
      </c>
      <c r="R111" s="14" t="s">
        <v>64</v>
      </c>
      <c r="S111" s="14" t="s">
        <v>71</v>
      </c>
      <c r="T111" s="15">
        <v>52.52</v>
      </c>
      <c r="U111" s="15"/>
      <c r="V111" s="16">
        <f>+(T111*12)/1.005-65</f>
        <v>562.10447761194041</v>
      </c>
      <c r="X111" s="14" t="s">
        <v>136</v>
      </c>
      <c r="Z111" s="14" t="s">
        <v>71</v>
      </c>
      <c r="AA111" s="18">
        <f t="shared" si="6"/>
        <v>366</v>
      </c>
      <c r="AB111" s="19">
        <f t="shared" ca="1" si="7"/>
        <v>45465</v>
      </c>
      <c r="AC111" s="20"/>
      <c r="AD111" s="19"/>
      <c r="AE111" s="98"/>
    </row>
    <row r="112" spans="1:31" x14ac:dyDescent="0.3">
      <c r="A112" s="105">
        <v>112</v>
      </c>
      <c r="B112" s="46">
        <v>45359</v>
      </c>
      <c r="D112" s="13" t="s">
        <v>242</v>
      </c>
      <c r="E112" s="13" t="s">
        <v>186</v>
      </c>
      <c r="F112" s="13" t="s">
        <v>52</v>
      </c>
      <c r="G112" s="14" t="s">
        <v>78</v>
      </c>
      <c r="H112" s="14">
        <v>19232</v>
      </c>
      <c r="I112" s="14" t="s">
        <v>266</v>
      </c>
      <c r="K112" s="21"/>
      <c r="L112" s="21"/>
      <c r="Q112" s="14" t="s">
        <v>2</v>
      </c>
      <c r="T112" s="15"/>
      <c r="U112" s="15"/>
      <c r="AA112" s="18">
        <f t="shared" si="6"/>
        <v>366</v>
      </c>
      <c r="AB112" s="19">
        <f t="shared" ca="1" si="7"/>
        <v>45465</v>
      </c>
      <c r="AC112" s="20"/>
      <c r="AD112" s="19"/>
      <c r="AE112" s="98"/>
    </row>
    <row r="113" spans="1:31" x14ac:dyDescent="0.3">
      <c r="A113" s="107">
        <v>113</v>
      </c>
      <c r="B113" s="46">
        <v>45359</v>
      </c>
      <c r="D113" s="13" t="s">
        <v>242</v>
      </c>
      <c r="E113" s="13" t="s">
        <v>51</v>
      </c>
      <c r="F113" s="13" t="s">
        <v>52</v>
      </c>
      <c r="G113" s="14" t="s">
        <v>118</v>
      </c>
      <c r="H113" s="14">
        <v>4187018</v>
      </c>
      <c r="I113" s="14" t="s">
        <v>284</v>
      </c>
      <c r="K113" s="21"/>
      <c r="L113" s="21"/>
      <c r="Q113" s="14" t="s">
        <v>6</v>
      </c>
      <c r="R113" s="14" t="s">
        <v>80</v>
      </c>
      <c r="T113" s="15"/>
      <c r="U113" s="15"/>
      <c r="V113" s="16">
        <v>1004.49</v>
      </c>
      <c r="AA113" s="18">
        <f t="shared" si="6"/>
        <v>366</v>
      </c>
      <c r="AB113" s="19">
        <f t="shared" ca="1" si="7"/>
        <v>45465</v>
      </c>
      <c r="AC113" s="20"/>
      <c r="AD113" s="19"/>
      <c r="AE113" s="98"/>
    </row>
    <row r="114" spans="1:31" x14ac:dyDescent="0.3">
      <c r="A114" s="108">
        <v>114</v>
      </c>
      <c r="B114" s="46">
        <v>45359</v>
      </c>
      <c r="D114" s="13" t="s">
        <v>242</v>
      </c>
      <c r="E114" s="13" t="s">
        <v>51</v>
      </c>
      <c r="F114" s="13" t="s">
        <v>66</v>
      </c>
      <c r="G114" s="14" t="s">
        <v>158</v>
      </c>
      <c r="H114" s="14">
        <v>4187063</v>
      </c>
      <c r="I114" s="14" t="s">
        <v>285</v>
      </c>
      <c r="J114" s="14" t="s">
        <v>28</v>
      </c>
      <c r="K114" s="21">
        <v>931594295</v>
      </c>
      <c r="L114" s="21">
        <v>999252887</v>
      </c>
      <c r="M114" s="14" t="s">
        <v>69</v>
      </c>
      <c r="N114" s="14" t="s">
        <v>70</v>
      </c>
      <c r="O114" s="14" t="s">
        <v>160</v>
      </c>
      <c r="P114" s="14" t="s">
        <v>71</v>
      </c>
      <c r="Q114" s="14" t="s">
        <v>6</v>
      </c>
      <c r="R114" s="14" t="s">
        <v>286</v>
      </c>
      <c r="T114" s="15">
        <v>16.27</v>
      </c>
      <c r="U114" s="15"/>
      <c r="V114" s="16">
        <f>Tabla1[[#This Row],[PAGO MENSUAL]]*12</f>
        <v>195.24</v>
      </c>
      <c r="X114" s="14" t="s">
        <v>136</v>
      </c>
      <c r="Z114" s="14" t="s">
        <v>71</v>
      </c>
      <c r="AA114" s="18">
        <f t="shared" si="6"/>
        <v>366</v>
      </c>
      <c r="AB114" s="19">
        <f t="shared" ca="1" si="7"/>
        <v>45465</v>
      </c>
      <c r="AC114" s="20"/>
      <c r="AD114" s="19"/>
      <c r="AE114" s="98"/>
    </row>
    <row r="115" spans="1:31" x14ac:dyDescent="0.3">
      <c r="A115" s="105">
        <v>115</v>
      </c>
      <c r="B115" s="46">
        <v>45359</v>
      </c>
      <c r="D115" s="13" t="s">
        <v>242</v>
      </c>
      <c r="E115" s="13" t="s">
        <v>51</v>
      </c>
      <c r="F115" s="13" t="s">
        <v>66</v>
      </c>
      <c r="G115" s="14" t="s">
        <v>158</v>
      </c>
      <c r="H115" s="14">
        <v>4187056</v>
      </c>
      <c r="I115" s="14" t="s">
        <v>160</v>
      </c>
      <c r="J115" s="14" t="s">
        <v>28</v>
      </c>
      <c r="K115" s="21">
        <v>926601329</v>
      </c>
      <c r="L115" s="21">
        <v>999252887</v>
      </c>
      <c r="M115" s="14" t="s">
        <v>69</v>
      </c>
      <c r="N115" s="14" t="s">
        <v>70</v>
      </c>
      <c r="O115" s="14" t="s">
        <v>160</v>
      </c>
      <c r="P115" s="14" t="s">
        <v>71</v>
      </c>
      <c r="Q115" s="14" t="s">
        <v>6</v>
      </c>
      <c r="R115" s="14" t="s">
        <v>286</v>
      </c>
      <c r="T115" s="15">
        <v>27.2</v>
      </c>
      <c r="U115" s="15"/>
      <c r="V115" s="16">
        <f>Tabla1[[#This Row],[PAGO MENSUAL]]*12</f>
        <v>326.39999999999998</v>
      </c>
      <c r="X115" s="14" t="s">
        <v>136</v>
      </c>
      <c r="Z115" s="14" t="s">
        <v>71</v>
      </c>
      <c r="AA115" s="18">
        <f t="shared" si="6"/>
        <v>366</v>
      </c>
      <c r="AB115" s="19">
        <f t="shared" ca="1" si="7"/>
        <v>45465</v>
      </c>
      <c r="AC115" s="20"/>
      <c r="AD115" s="19"/>
      <c r="AE115" s="98"/>
    </row>
    <row r="116" spans="1:31" x14ac:dyDescent="0.3">
      <c r="A116" s="107">
        <v>116</v>
      </c>
      <c r="B116" s="46">
        <v>45362</v>
      </c>
      <c r="D116" s="13" t="s">
        <v>242</v>
      </c>
      <c r="E116" s="13" t="s">
        <v>51</v>
      </c>
      <c r="F116" s="13" t="s">
        <v>66</v>
      </c>
      <c r="G116" s="14" t="s">
        <v>18</v>
      </c>
      <c r="I116" s="14" t="s">
        <v>287</v>
      </c>
      <c r="J116" s="14" t="s">
        <v>28</v>
      </c>
      <c r="K116" s="21">
        <v>905280749</v>
      </c>
      <c r="L116" s="21">
        <v>992235565</v>
      </c>
      <c r="M116" s="14" t="s">
        <v>69</v>
      </c>
      <c r="N116" s="14" t="s">
        <v>70</v>
      </c>
      <c r="O116" s="14" t="s">
        <v>287</v>
      </c>
      <c r="P116" s="14" t="s">
        <v>71</v>
      </c>
      <c r="Q116" s="14" t="s">
        <v>5</v>
      </c>
      <c r="R116" s="14" t="s">
        <v>232</v>
      </c>
      <c r="S116" s="14" t="s">
        <v>71</v>
      </c>
      <c r="T116" s="15">
        <v>379.41</v>
      </c>
      <c r="U116" s="15"/>
      <c r="V116" s="16">
        <f>+T116*12/(1.005)</f>
        <v>4530.2686567164183</v>
      </c>
      <c r="X116" s="14" t="s">
        <v>136</v>
      </c>
      <c r="Z116" s="14" t="s">
        <v>71</v>
      </c>
      <c r="AA116" s="18">
        <f t="shared" si="6"/>
        <v>366</v>
      </c>
      <c r="AB116" s="19">
        <f t="shared" ca="1" si="7"/>
        <v>45465</v>
      </c>
      <c r="AC116" s="20"/>
      <c r="AD116" s="19"/>
      <c r="AE116" s="98"/>
    </row>
    <row r="117" spans="1:31" x14ac:dyDescent="0.3">
      <c r="A117" s="108">
        <v>117</v>
      </c>
      <c r="B117" s="46">
        <v>45363</v>
      </c>
      <c r="D117" s="13" t="s">
        <v>242</v>
      </c>
      <c r="E117" s="13" t="s">
        <v>51</v>
      </c>
      <c r="F117" s="13" t="s">
        <v>52</v>
      </c>
      <c r="G117" s="14" t="s">
        <v>155</v>
      </c>
      <c r="H117" s="14">
        <v>4187143</v>
      </c>
      <c r="I117" s="14" t="s">
        <v>288</v>
      </c>
      <c r="K117" s="21"/>
      <c r="L117" s="21"/>
      <c r="Q117" s="14" t="s">
        <v>6</v>
      </c>
      <c r="R117" s="14" t="s">
        <v>289</v>
      </c>
      <c r="T117" s="15"/>
      <c r="U117" s="15"/>
      <c r="V117" s="16">
        <v>835.06</v>
      </c>
      <c r="AA117" s="18">
        <f t="shared" si="6"/>
        <v>366</v>
      </c>
      <c r="AB117" s="19">
        <f t="shared" ca="1" si="7"/>
        <v>45465</v>
      </c>
      <c r="AC117" s="20"/>
      <c r="AD117" s="19"/>
      <c r="AE117" s="98"/>
    </row>
    <row r="118" spans="1:31" x14ac:dyDescent="0.3">
      <c r="A118" s="105">
        <v>118</v>
      </c>
      <c r="B118" s="46">
        <v>45363</v>
      </c>
      <c r="D118" s="13" t="s">
        <v>242</v>
      </c>
      <c r="E118" s="13" t="s">
        <v>186</v>
      </c>
      <c r="F118" s="13" t="s">
        <v>52</v>
      </c>
      <c r="G118" s="14" t="s">
        <v>155</v>
      </c>
      <c r="H118" s="14">
        <v>467098</v>
      </c>
      <c r="I118" s="14" t="s">
        <v>290</v>
      </c>
      <c r="K118" s="21"/>
      <c r="L118" s="21"/>
      <c r="Q118" s="14" t="s">
        <v>6</v>
      </c>
      <c r="T118" s="15"/>
      <c r="U118" s="15"/>
      <c r="AA118" s="18">
        <f t="shared" si="6"/>
        <v>366</v>
      </c>
      <c r="AB118" s="19">
        <f t="shared" ca="1" si="7"/>
        <v>45465</v>
      </c>
      <c r="AC118" s="20"/>
      <c r="AD118" s="19"/>
      <c r="AE118" s="98"/>
    </row>
    <row r="119" spans="1:31" x14ac:dyDescent="0.3">
      <c r="A119" s="107">
        <v>119</v>
      </c>
      <c r="B119" s="46">
        <v>45363</v>
      </c>
      <c r="D119" s="13" t="s">
        <v>242</v>
      </c>
      <c r="E119" s="13" t="s">
        <v>51</v>
      </c>
      <c r="F119" s="13" t="s">
        <v>52</v>
      </c>
      <c r="G119" s="14" t="s">
        <v>155</v>
      </c>
      <c r="H119" s="14">
        <v>4187149</v>
      </c>
      <c r="I119" s="14" t="s">
        <v>291</v>
      </c>
      <c r="K119" s="21"/>
      <c r="L119" s="21"/>
      <c r="Q119" s="14" t="s">
        <v>6</v>
      </c>
      <c r="R119" s="14" t="s">
        <v>229</v>
      </c>
      <c r="T119" s="15"/>
      <c r="U119" s="15"/>
      <c r="V119" s="16">
        <v>1003.77</v>
      </c>
      <c r="AA119" s="18">
        <f t="shared" si="6"/>
        <v>366</v>
      </c>
      <c r="AB119" s="19">
        <f t="shared" ca="1" si="7"/>
        <v>45465</v>
      </c>
      <c r="AC119" s="20"/>
      <c r="AD119" s="19"/>
      <c r="AE119" s="98"/>
    </row>
    <row r="120" spans="1:31" x14ac:dyDescent="0.3">
      <c r="A120" s="108">
        <v>120</v>
      </c>
      <c r="B120" s="46">
        <v>45363</v>
      </c>
      <c r="D120" s="13" t="s">
        <v>242</v>
      </c>
      <c r="E120" s="13" t="s">
        <v>51</v>
      </c>
      <c r="F120" s="13" t="s">
        <v>66</v>
      </c>
      <c r="G120" s="14" t="s">
        <v>218</v>
      </c>
      <c r="I120" s="14" t="s">
        <v>293</v>
      </c>
      <c r="J120" s="14" t="s">
        <v>294</v>
      </c>
      <c r="K120" s="21">
        <v>915236996</v>
      </c>
      <c r="L120" s="21">
        <v>998159181</v>
      </c>
      <c r="M120" s="14" t="s">
        <v>88</v>
      </c>
      <c r="N120" s="14" t="s">
        <v>70</v>
      </c>
      <c r="O120" s="14" t="s">
        <v>293</v>
      </c>
      <c r="P120" s="14" t="s">
        <v>71</v>
      </c>
      <c r="Q120" s="14" t="s">
        <v>5</v>
      </c>
      <c r="R120" s="14" t="s">
        <v>295</v>
      </c>
      <c r="S120" s="14" t="s">
        <v>71</v>
      </c>
      <c r="T120" s="15">
        <v>205.02</v>
      </c>
      <c r="U120" s="15"/>
      <c r="V120" s="16">
        <f>+T120*12/(1.005)</f>
        <v>2448.0000000000005</v>
      </c>
      <c r="X120" s="14" t="s">
        <v>136</v>
      </c>
      <c r="Z120" s="14" t="s">
        <v>71</v>
      </c>
      <c r="AA120" s="18">
        <f t="shared" si="6"/>
        <v>366</v>
      </c>
      <c r="AB120" s="19">
        <f t="shared" ca="1" si="7"/>
        <v>45465</v>
      </c>
      <c r="AC120" s="20"/>
      <c r="AD120" s="19"/>
      <c r="AE120" s="98"/>
    </row>
    <row r="121" spans="1:31" x14ac:dyDescent="0.3">
      <c r="A121" s="105">
        <v>121</v>
      </c>
      <c r="B121" s="46">
        <v>45363</v>
      </c>
      <c r="D121" s="13" t="s">
        <v>242</v>
      </c>
      <c r="E121" s="13" t="s">
        <v>51</v>
      </c>
      <c r="F121" s="13" t="s">
        <v>66</v>
      </c>
      <c r="G121" s="14" t="s">
        <v>18</v>
      </c>
      <c r="H121" s="14">
        <v>4187199</v>
      </c>
      <c r="I121" s="14" t="s">
        <v>292</v>
      </c>
      <c r="J121" s="14" t="s">
        <v>87</v>
      </c>
      <c r="K121" s="21">
        <v>950662650</v>
      </c>
      <c r="L121" s="21">
        <v>990547156</v>
      </c>
      <c r="M121" s="14" t="s">
        <v>69</v>
      </c>
      <c r="N121" s="14" t="s">
        <v>70</v>
      </c>
      <c r="O121" s="14" t="s">
        <v>292</v>
      </c>
      <c r="P121" s="14" t="s">
        <v>71</v>
      </c>
      <c r="Q121" s="14" t="s">
        <v>6</v>
      </c>
      <c r="R121" s="14" t="s">
        <v>122</v>
      </c>
      <c r="S121" s="14" t="s">
        <v>71</v>
      </c>
      <c r="T121" s="15">
        <v>272.39</v>
      </c>
      <c r="U121" s="15"/>
      <c r="V121" s="16">
        <f>Tabla1[[#This Row],[PAGO MENSUAL]]*12</f>
        <v>3268.68</v>
      </c>
      <c r="X121" s="14" t="s">
        <v>136</v>
      </c>
      <c r="Z121" s="14" t="s">
        <v>74</v>
      </c>
      <c r="AA121" s="18">
        <f t="shared" si="6"/>
        <v>366</v>
      </c>
      <c r="AB121" s="19">
        <f t="shared" ca="1" si="7"/>
        <v>45465</v>
      </c>
      <c r="AC121" s="20"/>
      <c r="AD121" s="19"/>
      <c r="AE121" s="98"/>
    </row>
    <row r="122" spans="1:31" x14ac:dyDescent="0.3">
      <c r="A122" s="107">
        <v>122</v>
      </c>
      <c r="B122" s="46">
        <v>45364</v>
      </c>
      <c r="D122" s="13" t="s">
        <v>242</v>
      </c>
      <c r="E122" s="13" t="s">
        <v>51</v>
      </c>
      <c r="F122" s="13" t="s">
        <v>52</v>
      </c>
      <c r="G122" s="14" t="s">
        <v>155</v>
      </c>
      <c r="I122" s="14" t="s">
        <v>296</v>
      </c>
      <c r="K122" s="21"/>
      <c r="L122" s="21"/>
      <c r="Q122" s="14" t="s">
        <v>55</v>
      </c>
      <c r="R122" s="14" t="s">
        <v>248</v>
      </c>
      <c r="T122" s="15"/>
      <c r="U122" s="15"/>
      <c r="V122" s="16">
        <v>2196.7199999999998</v>
      </c>
      <c r="AA122" s="18">
        <f t="shared" si="6"/>
        <v>366</v>
      </c>
      <c r="AB122" s="19">
        <f t="shared" ca="1" si="7"/>
        <v>45465</v>
      </c>
      <c r="AC122" s="20"/>
      <c r="AD122" s="19"/>
      <c r="AE122" s="98"/>
    </row>
    <row r="123" spans="1:31" x14ac:dyDescent="0.3">
      <c r="A123" s="108">
        <v>123</v>
      </c>
      <c r="B123" s="46">
        <v>45364</v>
      </c>
      <c r="D123" s="13" t="s">
        <v>242</v>
      </c>
      <c r="E123" s="13" t="s">
        <v>51</v>
      </c>
      <c r="F123" s="13" t="s">
        <v>52</v>
      </c>
      <c r="G123" s="14" t="s">
        <v>155</v>
      </c>
      <c r="H123" s="14">
        <v>4187221</v>
      </c>
      <c r="I123" s="14" t="s">
        <v>297</v>
      </c>
      <c r="K123" s="21"/>
      <c r="L123" s="21"/>
      <c r="Q123" s="14" t="s">
        <v>6</v>
      </c>
      <c r="R123" s="14" t="s">
        <v>171</v>
      </c>
      <c r="T123" s="15"/>
      <c r="U123" s="15"/>
      <c r="V123" s="16">
        <v>2115.27</v>
      </c>
      <c r="AA123" s="18">
        <f t="shared" si="6"/>
        <v>366</v>
      </c>
      <c r="AB123" s="19">
        <f t="shared" ca="1" si="7"/>
        <v>45465</v>
      </c>
      <c r="AC123" s="20"/>
      <c r="AD123" s="19"/>
      <c r="AE123" s="98"/>
    </row>
    <row r="124" spans="1:31" x14ac:dyDescent="0.3">
      <c r="A124" s="105">
        <v>124</v>
      </c>
      <c r="B124" s="46">
        <v>45365</v>
      </c>
      <c r="D124" s="13" t="s">
        <v>242</v>
      </c>
      <c r="E124" s="13" t="s">
        <v>51</v>
      </c>
      <c r="F124" s="13" t="s">
        <v>52</v>
      </c>
      <c r="G124" s="14" t="s">
        <v>155</v>
      </c>
      <c r="H124" s="14">
        <v>4187260</v>
      </c>
      <c r="I124" s="14" t="s">
        <v>298</v>
      </c>
      <c r="K124" s="21"/>
      <c r="L124" s="21"/>
      <c r="Q124" s="14" t="s">
        <v>6</v>
      </c>
      <c r="R124" s="14" t="s">
        <v>115</v>
      </c>
      <c r="T124" s="15"/>
      <c r="U124" s="15"/>
      <c r="V124" s="16">
        <v>1003.42</v>
      </c>
      <c r="AA124" s="18">
        <f t="shared" si="6"/>
        <v>366</v>
      </c>
      <c r="AB124" s="19">
        <f t="shared" ca="1" si="7"/>
        <v>45465</v>
      </c>
      <c r="AC124" s="20"/>
      <c r="AD124" s="19"/>
      <c r="AE124" s="98"/>
    </row>
    <row r="125" spans="1:31" x14ac:dyDescent="0.3">
      <c r="A125" s="107">
        <v>125</v>
      </c>
      <c r="B125" s="46">
        <v>45365</v>
      </c>
      <c r="D125" s="13" t="s">
        <v>242</v>
      </c>
      <c r="E125" s="13" t="s">
        <v>51</v>
      </c>
      <c r="F125" s="13" t="s">
        <v>52</v>
      </c>
      <c r="G125" s="14" t="s">
        <v>98</v>
      </c>
      <c r="H125" s="14">
        <v>4187225</v>
      </c>
      <c r="I125" s="14" t="s">
        <v>299</v>
      </c>
      <c r="K125" s="21"/>
      <c r="L125" s="21"/>
      <c r="Q125" s="14" t="s">
        <v>6</v>
      </c>
      <c r="R125" s="14" t="s">
        <v>59</v>
      </c>
      <c r="T125" s="15"/>
      <c r="U125" s="15"/>
      <c r="V125" s="16">
        <v>2190.73</v>
      </c>
      <c r="AA125" s="18">
        <f t="shared" si="6"/>
        <v>366</v>
      </c>
      <c r="AB125" s="19">
        <f t="shared" ca="1" si="7"/>
        <v>45465</v>
      </c>
      <c r="AC125" s="20"/>
      <c r="AD125" s="19"/>
      <c r="AE125" s="98"/>
    </row>
    <row r="126" spans="1:31" x14ac:dyDescent="0.3">
      <c r="A126" s="108">
        <v>126</v>
      </c>
      <c r="B126" s="46">
        <v>45365</v>
      </c>
      <c r="D126" s="13" t="s">
        <v>242</v>
      </c>
      <c r="E126" s="13" t="s">
        <v>51</v>
      </c>
      <c r="F126" s="13" t="s">
        <v>52</v>
      </c>
      <c r="G126" s="14" t="s">
        <v>98</v>
      </c>
      <c r="H126" s="14">
        <v>4187262</v>
      </c>
      <c r="I126" s="14" t="s">
        <v>300</v>
      </c>
      <c r="K126" s="21"/>
      <c r="L126" s="21"/>
      <c r="Q126" s="14" t="s">
        <v>6</v>
      </c>
      <c r="R126" s="14" t="s">
        <v>229</v>
      </c>
      <c r="T126" s="15"/>
      <c r="U126" s="15"/>
      <c r="V126" s="16">
        <v>304.08999999999997</v>
      </c>
      <c r="AA126" s="18">
        <f t="shared" si="6"/>
        <v>366</v>
      </c>
      <c r="AB126" s="19">
        <f t="shared" ca="1" si="7"/>
        <v>45465</v>
      </c>
      <c r="AC126" s="20"/>
      <c r="AD126" s="19"/>
      <c r="AE126" s="98"/>
    </row>
    <row r="127" spans="1:31" x14ac:dyDescent="0.3">
      <c r="A127" s="105">
        <v>127</v>
      </c>
      <c r="B127" s="46">
        <v>45366</v>
      </c>
      <c r="D127" s="13" t="s">
        <v>242</v>
      </c>
      <c r="E127" s="13" t="s">
        <v>51</v>
      </c>
      <c r="F127" s="13" t="s">
        <v>52</v>
      </c>
      <c r="G127" s="14" t="s">
        <v>129</v>
      </c>
      <c r="H127" s="14">
        <v>4187365</v>
      </c>
      <c r="I127" s="14" t="s">
        <v>302</v>
      </c>
      <c r="K127" s="21"/>
      <c r="L127" s="21"/>
      <c r="Q127" s="14" t="s">
        <v>6</v>
      </c>
      <c r="R127" s="14" t="s">
        <v>303</v>
      </c>
      <c r="T127" s="15"/>
      <c r="U127" s="15"/>
      <c r="V127" s="16">
        <v>1481.25</v>
      </c>
      <c r="AA127" s="18">
        <f t="shared" si="6"/>
        <v>366</v>
      </c>
      <c r="AB127" s="19">
        <f t="shared" ca="1" si="7"/>
        <v>45465</v>
      </c>
      <c r="AC127" s="20"/>
      <c r="AD127" s="19"/>
      <c r="AE127" s="98"/>
    </row>
    <row r="128" spans="1:31" x14ac:dyDescent="0.3">
      <c r="A128" s="107">
        <v>128</v>
      </c>
      <c r="B128" s="46">
        <v>45366</v>
      </c>
      <c r="D128" s="13" t="s">
        <v>242</v>
      </c>
      <c r="E128" s="13" t="s">
        <v>51</v>
      </c>
      <c r="F128" s="13" t="s">
        <v>52</v>
      </c>
      <c r="G128" s="14" t="s">
        <v>78</v>
      </c>
      <c r="H128" s="14">
        <v>4187367</v>
      </c>
      <c r="I128" s="14" t="s">
        <v>304</v>
      </c>
      <c r="K128" s="21"/>
      <c r="L128" s="21"/>
      <c r="Q128" s="14" t="s">
        <v>6</v>
      </c>
      <c r="R128" s="14" t="s">
        <v>305</v>
      </c>
      <c r="T128" s="15"/>
      <c r="U128" s="15"/>
      <c r="V128" s="16">
        <v>1453.67</v>
      </c>
      <c r="AA128" s="18">
        <f t="shared" si="6"/>
        <v>366</v>
      </c>
      <c r="AB128" s="19">
        <f t="shared" ca="1" si="7"/>
        <v>45465</v>
      </c>
      <c r="AC128" s="20"/>
      <c r="AD128" s="19"/>
      <c r="AE128" s="98"/>
    </row>
    <row r="129" spans="1:31" x14ac:dyDescent="0.3">
      <c r="A129" s="108">
        <v>129</v>
      </c>
      <c r="B129" s="46">
        <v>45366</v>
      </c>
      <c r="D129" s="13" t="s">
        <v>242</v>
      </c>
      <c r="E129" s="13" t="s">
        <v>51</v>
      </c>
      <c r="F129" s="13" t="s">
        <v>52</v>
      </c>
      <c r="G129" s="14" t="s">
        <v>78</v>
      </c>
      <c r="I129" s="14" t="s">
        <v>306</v>
      </c>
      <c r="K129" s="21"/>
      <c r="L129" s="21"/>
      <c r="Q129" s="14" t="s">
        <v>307</v>
      </c>
      <c r="R129" s="14" t="s">
        <v>308</v>
      </c>
      <c r="T129" s="15"/>
      <c r="U129" s="15"/>
      <c r="V129" s="16">
        <v>714.01</v>
      </c>
      <c r="AA129" s="18">
        <f t="shared" si="6"/>
        <v>366</v>
      </c>
      <c r="AB129" s="19">
        <f t="shared" ca="1" si="7"/>
        <v>45465</v>
      </c>
      <c r="AC129" s="20"/>
      <c r="AD129" s="19"/>
      <c r="AE129" s="98"/>
    </row>
    <row r="130" spans="1:31" x14ac:dyDescent="0.3">
      <c r="A130" s="105">
        <v>130</v>
      </c>
      <c r="B130" s="46">
        <v>45366</v>
      </c>
      <c r="D130" s="13" t="s">
        <v>242</v>
      </c>
      <c r="E130" s="13" t="s">
        <v>51</v>
      </c>
      <c r="F130" s="13" t="s">
        <v>52</v>
      </c>
      <c r="G130" s="14" t="s">
        <v>118</v>
      </c>
      <c r="H130" s="14">
        <v>4187355</v>
      </c>
      <c r="I130" s="14" t="s">
        <v>301</v>
      </c>
      <c r="K130" s="21"/>
      <c r="L130" s="21"/>
      <c r="Q130" s="14" t="s">
        <v>6</v>
      </c>
      <c r="R130" s="14" t="s">
        <v>171</v>
      </c>
      <c r="T130" s="15"/>
      <c r="U130" s="15"/>
      <c r="V130" s="16">
        <v>904.07</v>
      </c>
      <c r="AA130" s="18">
        <f t="shared" si="6"/>
        <v>366</v>
      </c>
      <c r="AB130" s="19">
        <f t="shared" ca="1" si="7"/>
        <v>45465</v>
      </c>
      <c r="AC130" s="20"/>
      <c r="AD130" s="19"/>
      <c r="AE130" s="98"/>
    </row>
    <row r="131" spans="1:31" x14ac:dyDescent="0.3">
      <c r="A131" s="107">
        <v>131</v>
      </c>
      <c r="B131" s="46">
        <v>45369</v>
      </c>
      <c r="D131" s="13" t="s">
        <v>242</v>
      </c>
      <c r="E131" s="13" t="s">
        <v>51</v>
      </c>
      <c r="F131" s="13" t="s">
        <v>52</v>
      </c>
      <c r="G131" s="14" t="s">
        <v>155</v>
      </c>
      <c r="H131" s="14">
        <v>4187373</v>
      </c>
      <c r="I131" s="14" t="s">
        <v>309</v>
      </c>
      <c r="K131" s="21"/>
      <c r="L131" s="21"/>
      <c r="Q131" s="14" t="s">
        <v>6</v>
      </c>
      <c r="R131" s="14" t="s">
        <v>303</v>
      </c>
      <c r="T131" s="15"/>
      <c r="U131" s="15"/>
      <c r="V131" s="16">
        <v>3156.44</v>
      </c>
      <c r="AA131" s="18">
        <f t="shared" si="6"/>
        <v>366</v>
      </c>
      <c r="AB131" s="19">
        <f t="shared" ca="1" si="7"/>
        <v>45465</v>
      </c>
      <c r="AC131" s="20"/>
      <c r="AD131" s="19"/>
      <c r="AE131" s="98"/>
    </row>
    <row r="132" spans="1:31" x14ac:dyDescent="0.3">
      <c r="A132" s="108">
        <v>132</v>
      </c>
      <c r="B132" s="46">
        <v>45369</v>
      </c>
      <c r="D132" s="13" t="s">
        <v>242</v>
      </c>
      <c r="E132" s="13" t="s">
        <v>51</v>
      </c>
      <c r="F132" s="13" t="s">
        <v>52</v>
      </c>
      <c r="G132" s="14" t="s">
        <v>129</v>
      </c>
      <c r="H132" s="14">
        <v>4187453</v>
      </c>
      <c r="I132" s="14" t="s">
        <v>311</v>
      </c>
      <c r="K132" s="21"/>
      <c r="L132" s="21"/>
      <c r="Q132" s="14" t="s">
        <v>6</v>
      </c>
      <c r="R132" s="14" t="s">
        <v>303</v>
      </c>
      <c r="T132" s="15"/>
      <c r="U132" s="15"/>
      <c r="V132" s="16">
        <v>1748.59</v>
      </c>
      <c r="AA132" s="18">
        <f t="shared" ref="AA132:AA163" si="8">+DATE(YEAR(C132)+1,MONTH(C132),DAY(C132))</f>
        <v>366</v>
      </c>
      <c r="AB132" s="19">
        <f t="shared" ref="AB132:AB163" ca="1" si="9">+TODAY()-AA132</f>
        <v>45465</v>
      </c>
      <c r="AC132" s="20"/>
      <c r="AD132" s="19"/>
      <c r="AE132" s="98"/>
    </row>
    <row r="133" spans="1:31" x14ac:dyDescent="0.3">
      <c r="A133" s="105">
        <v>133</v>
      </c>
      <c r="B133" s="46">
        <v>45369</v>
      </c>
      <c r="D133" s="13" t="s">
        <v>242</v>
      </c>
      <c r="E133" s="13" t="s">
        <v>51</v>
      </c>
      <c r="F133" s="13" t="s">
        <v>52</v>
      </c>
      <c r="G133" s="14" t="s">
        <v>98</v>
      </c>
      <c r="H133" s="14">
        <v>4187419</v>
      </c>
      <c r="I133" s="14" t="s">
        <v>312</v>
      </c>
      <c r="K133" s="21"/>
      <c r="L133" s="21"/>
      <c r="Q133" s="14" t="s">
        <v>6</v>
      </c>
      <c r="R133" s="14" t="s">
        <v>305</v>
      </c>
      <c r="T133" s="15"/>
      <c r="U133" s="15"/>
      <c r="V133" s="16">
        <v>1413.08</v>
      </c>
      <c r="AA133" s="18">
        <f t="shared" si="8"/>
        <v>366</v>
      </c>
      <c r="AB133" s="19">
        <f t="shared" ca="1" si="9"/>
        <v>45465</v>
      </c>
      <c r="AC133" s="20"/>
      <c r="AD133" s="19"/>
      <c r="AE133" s="98"/>
    </row>
    <row r="134" spans="1:31" x14ac:dyDescent="0.3">
      <c r="A134" s="107">
        <v>134</v>
      </c>
      <c r="B134" s="46">
        <v>45369</v>
      </c>
      <c r="D134" s="13" t="s">
        <v>242</v>
      </c>
      <c r="E134" s="13" t="s">
        <v>51</v>
      </c>
      <c r="F134" s="13" t="s">
        <v>52</v>
      </c>
      <c r="G134" s="14" t="s">
        <v>118</v>
      </c>
      <c r="H134" s="14">
        <v>4187444</v>
      </c>
      <c r="I134" s="14" t="s">
        <v>310</v>
      </c>
      <c r="K134" s="21"/>
      <c r="L134" s="21"/>
      <c r="Q134" s="14" t="s">
        <v>6</v>
      </c>
      <c r="R134" s="14" t="s">
        <v>303</v>
      </c>
      <c r="T134" s="15"/>
      <c r="U134" s="15"/>
      <c r="V134" s="16">
        <v>1481.25</v>
      </c>
      <c r="AA134" s="18">
        <f t="shared" si="8"/>
        <v>366</v>
      </c>
      <c r="AB134" s="19">
        <f t="shared" ca="1" si="9"/>
        <v>45465</v>
      </c>
      <c r="AC134" s="20"/>
      <c r="AD134" s="19"/>
      <c r="AE134" s="98"/>
    </row>
    <row r="135" spans="1:31" x14ac:dyDescent="0.3">
      <c r="A135" s="108">
        <v>135</v>
      </c>
      <c r="B135" s="46">
        <v>45369</v>
      </c>
      <c r="C135" s="46">
        <v>45369</v>
      </c>
      <c r="D135" s="13" t="s">
        <v>242</v>
      </c>
      <c r="E135" s="13" t="s">
        <v>51</v>
      </c>
      <c r="F135" s="13" t="s">
        <v>66</v>
      </c>
      <c r="G135" s="14" t="s">
        <v>15</v>
      </c>
      <c r="H135" s="14">
        <v>4187507</v>
      </c>
      <c r="I135" s="14" t="s">
        <v>315</v>
      </c>
      <c r="J135" s="14" t="s">
        <v>208</v>
      </c>
      <c r="K135" s="21">
        <v>601896434</v>
      </c>
      <c r="L135" s="21">
        <v>999983542</v>
      </c>
      <c r="M135" s="14" t="s">
        <v>168</v>
      </c>
      <c r="N135" s="14" t="s">
        <v>70</v>
      </c>
      <c r="O135" s="14" t="s">
        <v>315</v>
      </c>
      <c r="P135" s="14" t="s">
        <v>74</v>
      </c>
      <c r="Q135" s="14" t="s">
        <v>6</v>
      </c>
      <c r="R135" s="14" t="s">
        <v>277</v>
      </c>
      <c r="S135" s="14" t="s">
        <v>71</v>
      </c>
      <c r="T135" s="15">
        <v>501.85</v>
      </c>
      <c r="U135" s="15"/>
      <c r="V135" s="16">
        <f>Tabla1[[#This Row],[PAGO MENSUAL]]*12</f>
        <v>6022.2000000000007</v>
      </c>
      <c r="X135" s="14" t="s">
        <v>73</v>
      </c>
      <c r="Z135" s="14" t="s">
        <v>74</v>
      </c>
      <c r="AA135" s="18">
        <f t="shared" si="8"/>
        <v>45734</v>
      </c>
      <c r="AB135" s="19">
        <f t="shared" ca="1" si="9"/>
        <v>97</v>
      </c>
      <c r="AC135" s="20"/>
      <c r="AD135" s="19"/>
      <c r="AE135" s="98"/>
    </row>
    <row r="136" spans="1:31" x14ac:dyDescent="0.3">
      <c r="A136" s="105">
        <v>136</v>
      </c>
      <c r="B136" s="46">
        <v>45369</v>
      </c>
      <c r="D136" s="13" t="s">
        <v>242</v>
      </c>
      <c r="E136" s="13" t="s">
        <v>51</v>
      </c>
      <c r="F136" s="13" t="s">
        <v>66</v>
      </c>
      <c r="G136" s="14" t="s">
        <v>15</v>
      </c>
      <c r="H136" s="14">
        <v>4187593</v>
      </c>
      <c r="I136" s="14" t="s">
        <v>316</v>
      </c>
      <c r="J136" s="14" t="s">
        <v>28</v>
      </c>
      <c r="K136" s="21"/>
      <c r="L136" s="21"/>
      <c r="Q136" s="14" t="s">
        <v>6</v>
      </c>
      <c r="S136" s="14" t="s">
        <v>71</v>
      </c>
      <c r="T136" s="15">
        <v>241.67</v>
      </c>
      <c r="U136" s="15"/>
      <c r="V136" s="16">
        <f>Tabla1[[#This Row],[PAGO MENSUAL]]*12</f>
        <v>2900.04</v>
      </c>
      <c r="X136" s="14" t="s">
        <v>73</v>
      </c>
      <c r="Z136" s="14" t="s">
        <v>74</v>
      </c>
      <c r="AA136" s="18">
        <f t="shared" si="8"/>
        <v>366</v>
      </c>
      <c r="AB136" s="19">
        <f t="shared" ca="1" si="9"/>
        <v>45465</v>
      </c>
      <c r="AC136" s="20"/>
      <c r="AD136" s="19"/>
      <c r="AE136" s="98"/>
    </row>
    <row r="137" spans="1:31" x14ac:dyDescent="0.3">
      <c r="A137" s="107">
        <v>137</v>
      </c>
      <c r="B137" s="46">
        <v>45369</v>
      </c>
      <c r="C137" s="46">
        <v>45369</v>
      </c>
      <c r="D137" s="13" t="s">
        <v>242</v>
      </c>
      <c r="E137" s="13" t="s">
        <v>51</v>
      </c>
      <c r="F137" s="13" t="s">
        <v>66</v>
      </c>
      <c r="G137" s="14" t="s">
        <v>18</v>
      </c>
      <c r="H137" s="14">
        <v>4187440</v>
      </c>
      <c r="I137" s="14" t="s">
        <v>313</v>
      </c>
      <c r="J137" s="14" t="s">
        <v>28</v>
      </c>
      <c r="K137" s="21">
        <v>1717513780</v>
      </c>
      <c r="L137" s="21">
        <v>992824860</v>
      </c>
      <c r="M137" s="14" t="s">
        <v>69</v>
      </c>
      <c r="N137" s="14" t="s">
        <v>70</v>
      </c>
      <c r="O137" s="14" t="s">
        <v>313</v>
      </c>
      <c r="P137" s="14" t="s">
        <v>71</v>
      </c>
      <c r="Q137" s="14" t="s">
        <v>6</v>
      </c>
      <c r="R137" s="14" t="s">
        <v>314</v>
      </c>
      <c r="S137" s="14" t="s">
        <v>71</v>
      </c>
      <c r="T137" s="15">
        <v>47.26</v>
      </c>
      <c r="U137" s="15"/>
      <c r="V137" s="16">
        <f>Tabla1[[#This Row],[PAGO MENSUAL]]*12</f>
        <v>567.12</v>
      </c>
      <c r="X137" s="14" t="s">
        <v>73</v>
      </c>
      <c r="Z137" s="14" t="s">
        <v>74</v>
      </c>
      <c r="AA137" s="18">
        <f t="shared" si="8"/>
        <v>45734</v>
      </c>
      <c r="AB137" s="19">
        <f t="shared" ca="1" si="9"/>
        <v>97</v>
      </c>
      <c r="AC137" s="20"/>
      <c r="AD137" s="19"/>
      <c r="AE137" s="98"/>
    </row>
    <row r="138" spans="1:31" x14ac:dyDescent="0.3">
      <c r="A138" s="108">
        <v>138</v>
      </c>
      <c r="B138" s="46">
        <v>45369</v>
      </c>
      <c r="D138" s="13" t="s">
        <v>242</v>
      </c>
      <c r="E138" s="13" t="s">
        <v>51</v>
      </c>
      <c r="F138" s="13" t="s">
        <v>66</v>
      </c>
      <c r="G138" s="14" t="s">
        <v>20</v>
      </c>
      <c r="I138" s="14" t="s">
        <v>317</v>
      </c>
      <c r="J138" s="14" t="s">
        <v>294</v>
      </c>
      <c r="K138" s="21">
        <v>963994264</v>
      </c>
      <c r="L138" s="21">
        <v>990161853</v>
      </c>
      <c r="M138" s="14" t="s">
        <v>88</v>
      </c>
      <c r="N138" s="14" t="s">
        <v>70</v>
      </c>
      <c r="O138" s="14" t="s">
        <v>317</v>
      </c>
      <c r="P138" s="14" t="s">
        <v>71</v>
      </c>
      <c r="Q138" s="14" t="s">
        <v>5</v>
      </c>
      <c r="R138" s="14" t="s">
        <v>318</v>
      </c>
      <c r="S138" s="14" t="s">
        <v>71</v>
      </c>
      <c r="T138" s="15">
        <v>77.53</v>
      </c>
      <c r="U138" s="15"/>
      <c r="V138" s="16">
        <f>+T138*12/(1.005)</f>
        <v>925.73134328358219</v>
      </c>
      <c r="X138" s="14" t="s">
        <v>136</v>
      </c>
      <c r="Z138" s="14" t="s">
        <v>71</v>
      </c>
      <c r="AA138" s="18">
        <f t="shared" si="8"/>
        <v>366</v>
      </c>
      <c r="AB138" s="19">
        <f t="shared" ca="1" si="9"/>
        <v>45465</v>
      </c>
      <c r="AC138" s="20"/>
      <c r="AD138" s="19"/>
      <c r="AE138" s="98"/>
    </row>
    <row r="139" spans="1:31" x14ac:dyDescent="0.3">
      <c r="A139" s="105">
        <v>139</v>
      </c>
      <c r="B139" s="46">
        <v>45370</v>
      </c>
      <c r="D139" s="13" t="s">
        <v>242</v>
      </c>
      <c r="E139" s="13" t="s">
        <v>51</v>
      </c>
      <c r="F139" s="13" t="s">
        <v>52</v>
      </c>
      <c r="G139" s="14" t="s">
        <v>57</v>
      </c>
      <c r="H139" s="14">
        <v>4187541</v>
      </c>
      <c r="I139" s="14" t="s">
        <v>319</v>
      </c>
      <c r="K139" s="21"/>
      <c r="L139" s="21"/>
      <c r="Q139" s="14" t="s">
        <v>6</v>
      </c>
      <c r="R139" s="14" t="s">
        <v>320</v>
      </c>
      <c r="T139" s="15"/>
      <c r="U139" s="15"/>
      <c r="V139" s="16">
        <v>1094.8800000000001</v>
      </c>
      <c r="AA139" s="18">
        <f t="shared" si="8"/>
        <v>366</v>
      </c>
      <c r="AB139" s="19">
        <f t="shared" ca="1" si="9"/>
        <v>45465</v>
      </c>
      <c r="AC139" s="20"/>
      <c r="AD139" s="19"/>
      <c r="AE139" s="98"/>
    </row>
    <row r="140" spans="1:31" x14ac:dyDescent="0.3">
      <c r="A140" s="107">
        <v>140</v>
      </c>
      <c r="B140" s="46">
        <v>45371</v>
      </c>
      <c r="D140" s="13" t="s">
        <v>242</v>
      </c>
      <c r="E140" s="13" t="s">
        <v>51</v>
      </c>
      <c r="F140" s="13" t="s">
        <v>52</v>
      </c>
      <c r="G140" s="14" t="s">
        <v>98</v>
      </c>
      <c r="H140" s="14">
        <v>4187582</v>
      </c>
      <c r="I140" s="14" t="s">
        <v>321</v>
      </c>
      <c r="K140" s="21"/>
      <c r="L140" s="21"/>
      <c r="Q140" s="14" t="s">
        <v>6</v>
      </c>
      <c r="R140" s="14" t="s">
        <v>322</v>
      </c>
      <c r="T140" s="15"/>
      <c r="U140" s="15"/>
      <c r="V140" s="16">
        <v>828.61</v>
      </c>
      <c r="AA140" s="18">
        <f t="shared" si="8"/>
        <v>366</v>
      </c>
      <c r="AB140" s="19">
        <f t="shared" ca="1" si="9"/>
        <v>45465</v>
      </c>
      <c r="AC140" s="20"/>
      <c r="AD140" s="19"/>
      <c r="AE140" s="98"/>
    </row>
    <row r="141" spans="1:31" x14ac:dyDescent="0.3">
      <c r="A141" s="108">
        <v>141</v>
      </c>
      <c r="B141" s="46">
        <v>45371</v>
      </c>
      <c r="D141" s="13" t="s">
        <v>242</v>
      </c>
      <c r="E141" s="13" t="s">
        <v>51</v>
      </c>
      <c r="F141" s="13" t="s">
        <v>52</v>
      </c>
      <c r="G141" s="14" t="s">
        <v>78</v>
      </c>
      <c r="H141" s="14">
        <v>4180443</v>
      </c>
      <c r="I141" s="14" t="s">
        <v>79</v>
      </c>
      <c r="K141" s="21"/>
      <c r="L141" s="21"/>
      <c r="Q141" s="14" t="s">
        <v>6</v>
      </c>
      <c r="R141" s="14" t="s">
        <v>323</v>
      </c>
      <c r="T141" s="15"/>
      <c r="U141" s="15"/>
      <c r="V141" s="16">
        <v>1452.24</v>
      </c>
      <c r="AA141" s="18">
        <f t="shared" si="8"/>
        <v>366</v>
      </c>
      <c r="AB141" s="19">
        <f t="shared" ca="1" si="9"/>
        <v>45465</v>
      </c>
      <c r="AC141" s="20"/>
      <c r="AD141" s="19"/>
      <c r="AE141" s="98"/>
    </row>
    <row r="142" spans="1:31" x14ac:dyDescent="0.3">
      <c r="A142" s="105">
        <v>142</v>
      </c>
      <c r="B142" s="46">
        <v>45371</v>
      </c>
      <c r="C142" s="46">
        <v>45383</v>
      </c>
      <c r="D142" s="13" t="s">
        <v>242</v>
      </c>
      <c r="E142" s="13" t="s">
        <v>51</v>
      </c>
      <c r="F142" s="13" t="s">
        <v>66</v>
      </c>
      <c r="G142" s="14" t="s">
        <v>11</v>
      </c>
      <c r="H142" s="14" t="s">
        <v>324</v>
      </c>
      <c r="I142" s="14" t="s">
        <v>325</v>
      </c>
      <c r="J142" s="14" t="s">
        <v>208</v>
      </c>
      <c r="K142" s="21">
        <v>923276240</v>
      </c>
      <c r="L142" s="21">
        <v>993918884</v>
      </c>
      <c r="M142" s="14" t="s">
        <v>168</v>
      </c>
      <c r="N142" s="14" t="s">
        <v>70</v>
      </c>
      <c r="O142" s="14" t="s">
        <v>325</v>
      </c>
      <c r="P142" s="14" t="s">
        <v>71</v>
      </c>
      <c r="Q142" s="14" t="s">
        <v>3</v>
      </c>
      <c r="R142" s="14" t="s">
        <v>64</v>
      </c>
      <c r="S142" s="14" t="s">
        <v>71</v>
      </c>
      <c r="T142" s="15">
        <v>58.38</v>
      </c>
      <c r="U142" s="15"/>
      <c r="V142" s="16">
        <f>+(T142*12)/1.005-65</f>
        <v>632.0746268656718</v>
      </c>
      <c r="X142" s="14" t="s">
        <v>136</v>
      </c>
      <c r="Z142" s="14" t="s">
        <v>71</v>
      </c>
      <c r="AA142" s="18">
        <f t="shared" si="8"/>
        <v>45748</v>
      </c>
      <c r="AB142" s="19">
        <f t="shared" ca="1" si="9"/>
        <v>83</v>
      </c>
      <c r="AC142" s="20"/>
      <c r="AD142" s="19"/>
      <c r="AE142" s="98"/>
    </row>
    <row r="143" spans="1:31" x14ac:dyDescent="0.3">
      <c r="A143" s="107">
        <v>143</v>
      </c>
      <c r="B143" s="46">
        <v>45371</v>
      </c>
      <c r="D143" s="13" t="s">
        <v>242</v>
      </c>
      <c r="E143" s="13" t="s">
        <v>51</v>
      </c>
      <c r="F143" s="13" t="s">
        <v>66</v>
      </c>
      <c r="G143" s="14" t="s">
        <v>11</v>
      </c>
      <c r="I143" s="14" t="s">
        <v>325</v>
      </c>
      <c r="J143" s="14" t="s">
        <v>121</v>
      </c>
      <c r="K143" s="21">
        <v>923276240</v>
      </c>
      <c r="L143" s="21">
        <v>993918884</v>
      </c>
      <c r="M143" s="14" t="s">
        <v>168</v>
      </c>
      <c r="N143" s="14" t="s">
        <v>70</v>
      </c>
      <c r="O143" s="14" t="s">
        <v>325</v>
      </c>
      <c r="P143" s="14" t="s">
        <v>71</v>
      </c>
      <c r="Q143" s="14" t="s">
        <v>5</v>
      </c>
      <c r="R143" s="14" t="s">
        <v>232</v>
      </c>
      <c r="S143" s="14" t="s">
        <v>71</v>
      </c>
      <c r="T143" s="15">
        <v>122.61</v>
      </c>
      <c r="U143" s="15"/>
      <c r="V143" s="16">
        <f>+T143*12/(1.005)</f>
        <v>1464</v>
      </c>
      <c r="X143" s="14" t="s">
        <v>136</v>
      </c>
      <c r="Z143" s="14" t="s">
        <v>71</v>
      </c>
      <c r="AA143" s="18">
        <f t="shared" si="8"/>
        <v>366</v>
      </c>
      <c r="AB143" s="19">
        <f t="shared" ca="1" si="9"/>
        <v>45465</v>
      </c>
      <c r="AC143" s="20"/>
      <c r="AD143" s="19"/>
      <c r="AE143" s="98"/>
    </row>
    <row r="144" spans="1:31" x14ac:dyDescent="0.3">
      <c r="A144" s="108">
        <v>144</v>
      </c>
      <c r="B144" s="46">
        <v>45371</v>
      </c>
      <c r="D144" s="13" t="s">
        <v>242</v>
      </c>
      <c r="E144" s="13" t="s">
        <v>51</v>
      </c>
      <c r="F144" s="13" t="s">
        <v>66</v>
      </c>
      <c r="G144" s="14" t="s">
        <v>11</v>
      </c>
      <c r="I144" s="14" t="s">
        <v>325</v>
      </c>
      <c r="J144" s="14" t="s">
        <v>68</v>
      </c>
      <c r="K144" s="21">
        <v>923276240</v>
      </c>
      <c r="L144" s="21">
        <v>993918884</v>
      </c>
      <c r="M144" s="14" t="s">
        <v>168</v>
      </c>
      <c r="N144" s="14" t="s">
        <v>70</v>
      </c>
      <c r="O144" s="14" t="s">
        <v>325</v>
      </c>
      <c r="P144" s="14" t="s">
        <v>71</v>
      </c>
      <c r="Q144" s="14" t="s">
        <v>2</v>
      </c>
      <c r="R144" s="14" t="s">
        <v>200</v>
      </c>
      <c r="S144" s="14" t="s">
        <v>71</v>
      </c>
      <c r="T144" s="15">
        <v>143.16</v>
      </c>
      <c r="U144" s="15"/>
      <c r="V144" s="16">
        <f>+T144*12/(1.005)/1.07</f>
        <v>1597.5449853536059</v>
      </c>
      <c r="X144" s="14" t="s">
        <v>136</v>
      </c>
      <c r="Z144" s="14" t="s">
        <v>71</v>
      </c>
      <c r="AA144" s="18">
        <f t="shared" si="8"/>
        <v>366</v>
      </c>
      <c r="AB144" s="19">
        <f t="shared" ca="1" si="9"/>
        <v>45465</v>
      </c>
      <c r="AC144" s="20"/>
      <c r="AD144" s="19"/>
      <c r="AE144" s="98"/>
    </row>
    <row r="145" spans="1:31" x14ac:dyDescent="0.3">
      <c r="A145" s="105">
        <v>145</v>
      </c>
      <c r="B145" s="46">
        <v>45372</v>
      </c>
      <c r="D145" s="13" t="s">
        <v>242</v>
      </c>
      <c r="E145" s="13" t="s">
        <v>51</v>
      </c>
      <c r="F145" s="13" t="s">
        <v>52</v>
      </c>
      <c r="G145" s="14" t="s">
        <v>113</v>
      </c>
      <c r="I145" s="14" t="s">
        <v>326</v>
      </c>
      <c r="K145" s="21"/>
      <c r="L145" s="21"/>
      <c r="Q145" s="14" t="s">
        <v>307</v>
      </c>
      <c r="R145" s="14" t="s">
        <v>327</v>
      </c>
      <c r="T145" s="15"/>
      <c r="U145" s="15"/>
      <c r="V145" s="16">
        <v>762.25</v>
      </c>
      <c r="AA145" s="18">
        <f t="shared" si="8"/>
        <v>366</v>
      </c>
      <c r="AB145" s="19">
        <f t="shared" ca="1" si="9"/>
        <v>45465</v>
      </c>
      <c r="AC145" s="20"/>
      <c r="AD145" s="19"/>
      <c r="AE145" s="98"/>
    </row>
    <row r="146" spans="1:31" x14ac:dyDescent="0.3">
      <c r="A146" s="107">
        <v>146</v>
      </c>
      <c r="B146" s="46">
        <v>45372</v>
      </c>
      <c r="C146" s="46">
        <v>45383</v>
      </c>
      <c r="D146" s="13" t="s">
        <v>242</v>
      </c>
      <c r="E146" s="13" t="s">
        <v>51</v>
      </c>
      <c r="F146" s="13" t="s">
        <v>66</v>
      </c>
      <c r="G146" s="14" t="s">
        <v>11</v>
      </c>
      <c r="H146" s="14" t="s">
        <v>328</v>
      </c>
      <c r="I146" s="14" t="s">
        <v>329</v>
      </c>
      <c r="J146" s="14" t="s">
        <v>68</v>
      </c>
      <c r="K146" s="21">
        <v>1755875414</v>
      </c>
      <c r="L146" s="21">
        <v>978966524</v>
      </c>
      <c r="M146" s="14" t="s">
        <v>69</v>
      </c>
      <c r="N146" s="14" t="s">
        <v>70</v>
      </c>
      <c r="O146" s="14" t="s">
        <v>329</v>
      </c>
      <c r="P146" s="14" t="s">
        <v>71</v>
      </c>
      <c r="Q146" s="14" t="s">
        <v>3</v>
      </c>
      <c r="R146" s="14" t="s">
        <v>274</v>
      </c>
      <c r="S146" s="14" t="s">
        <v>71</v>
      </c>
      <c r="T146" s="15">
        <v>289.88</v>
      </c>
      <c r="U146" s="15"/>
      <c r="V146" s="16">
        <f>+(T146*12)/1.005-65</f>
        <v>3396.253731343284</v>
      </c>
      <c r="X146" s="14" t="s">
        <v>136</v>
      </c>
      <c r="Z146" s="14" t="s">
        <v>71</v>
      </c>
      <c r="AA146" s="18">
        <f t="shared" si="8"/>
        <v>45748</v>
      </c>
      <c r="AB146" s="19">
        <f t="shared" ca="1" si="9"/>
        <v>83</v>
      </c>
      <c r="AC146" s="20"/>
      <c r="AD146" s="19"/>
      <c r="AE146" s="98"/>
    </row>
    <row r="147" spans="1:31" x14ac:dyDescent="0.3">
      <c r="A147" s="108">
        <v>147</v>
      </c>
      <c r="B147" s="46">
        <v>45372</v>
      </c>
      <c r="D147" s="13" t="s">
        <v>242</v>
      </c>
      <c r="E147" s="13" t="s">
        <v>51</v>
      </c>
      <c r="F147" s="13" t="s">
        <v>66</v>
      </c>
      <c r="G147" s="14" t="s">
        <v>218</v>
      </c>
      <c r="I147" s="14" t="s">
        <v>332</v>
      </c>
      <c r="J147" s="14" t="s">
        <v>28</v>
      </c>
      <c r="K147" s="21">
        <v>921846901</v>
      </c>
      <c r="L147" s="21">
        <v>983341038</v>
      </c>
      <c r="M147" s="14" t="s">
        <v>88</v>
      </c>
      <c r="N147" s="14" t="s">
        <v>70</v>
      </c>
      <c r="O147" s="14" t="s">
        <v>332</v>
      </c>
      <c r="P147" s="14" t="s">
        <v>71</v>
      </c>
      <c r="Q147" s="14" t="s">
        <v>5</v>
      </c>
      <c r="R147" s="14" t="s">
        <v>169</v>
      </c>
      <c r="S147" s="14" t="s">
        <v>71</v>
      </c>
      <c r="T147" s="15">
        <v>78.98</v>
      </c>
      <c r="U147" s="15"/>
      <c r="V147" s="16">
        <f>+T147*12/(1.005)</f>
        <v>943.04477611940308</v>
      </c>
      <c r="X147" s="14" t="s">
        <v>136</v>
      </c>
      <c r="Z147" s="14" t="s">
        <v>71</v>
      </c>
      <c r="AA147" s="18">
        <f t="shared" si="8"/>
        <v>366</v>
      </c>
      <c r="AB147" s="19">
        <f t="shared" ca="1" si="9"/>
        <v>45465</v>
      </c>
      <c r="AC147" s="20"/>
      <c r="AD147" s="19"/>
      <c r="AE147" s="98"/>
    </row>
    <row r="148" spans="1:31" x14ac:dyDescent="0.3">
      <c r="A148" s="105">
        <v>148</v>
      </c>
      <c r="B148" s="46">
        <v>45372</v>
      </c>
      <c r="D148" s="13" t="s">
        <v>242</v>
      </c>
      <c r="E148" s="13" t="s">
        <v>51</v>
      </c>
      <c r="F148" s="13" t="s">
        <v>66</v>
      </c>
      <c r="G148" s="14" t="s">
        <v>218</v>
      </c>
      <c r="I148" s="14" t="s">
        <v>333</v>
      </c>
      <c r="J148" s="14" t="s">
        <v>87</v>
      </c>
      <c r="K148" s="21">
        <v>917757973</v>
      </c>
      <c r="L148" s="21">
        <v>979463131</v>
      </c>
      <c r="M148" s="14" t="s">
        <v>88</v>
      </c>
      <c r="N148" s="14" t="s">
        <v>70</v>
      </c>
      <c r="O148" s="14" t="s">
        <v>333</v>
      </c>
      <c r="P148" s="14" t="s">
        <v>71</v>
      </c>
      <c r="Q148" s="14" t="s">
        <v>5</v>
      </c>
      <c r="R148" s="14" t="s">
        <v>232</v>
      </c>
      <c r="S148" s="14" t="s">
        <v>71</v>
      </c>
      <c r="T148" s="15">
        <v>168.51</v>
      </c>
      <c r="U148" s="15"/>
      <c r="V148" s="16">
        <f>+T148*12/(1.005)</f>
        <v>2012.0597014925374</v>
      </c>
      <c r="X148" s="14" t="s">
        <v>136</v>
      </c>
      <c r="Z148" s="14" t="s">
        <v>71</v>
      </c>
      <c r="AA148" s="18">
        <f t="shared" si="8"/>
        <v>366</v>
      </c>
      <c r="AB148" s="19">
        <f t="shared" ca="1" si="9"/>
        <v>45465</v>
      </c>
      <c r="AC148" s="20"/>
      <c r="AD148" s="19"/>
      <c r="AE148" s="98"/>
    </row>
    <row r="149" spans="1:31" x14ac:dyDescent="0.3">
      <c r="A149" s="107">
        <v>149</v>
      </c>
      <c r="B149" s="46">
        <v>45372</v>
      </c>
      <c r="D149" s="13" t="s">
        <v>242</v>
      </c>
      <c r="E149" s="13" t="s">
        <v>51</v>
      </c>
      <c r="F149" s="13" t="s">
        <v>66</v>
      </c>
      <c r="G149" s="14" t="s">
        <v>330</v>
      </c>
      <c r="I149" s="14" t="s">
        <v>331</v>
      </c>
      <c r="J149" s="14" t="s">
        <v>121</v>
      </c>
      <c r="K149" s="21">
        <v>917418899</v>
      </c>
      <c r="L149" s="21">
        <v>980902706</v>
      </c>
      <c r="M149" s="14" t="s">
        <v>69</v>
      </c>
      <c r="N149" s="14" t="s">
        <v>70</v>
      </c>
      <c r="O149" s="14" t="s">
        <v>331</v>
      </c>
      <c r="P149" s="14" t="s">
        <v>71</v>
      </c>
      <c r="Q149" s="14" t="s">
        <v>5</v>
      </c>
      <c r="R149" s="14" t="s">
        <v>177</v>
      </c>
      <c r="S149" s="14" t="s">
        <v>71</v>
      </c>
      <c r="T149" s="15">
        <v>102.71</v>
      </c>
      <c r="U149" s="15"/>
      <c r="V149" s="16">
        <f>+T149*12/(1.005)</f>
        <v>1226.3880597014927</v>
      </c>
      <c r="X149" s="14" t="s">
        <v>136</v>
      </c>
      <c r="Z149" s="14" t="s">
        <v>71</v>
      </c>
      <c r="AA149" s="18">
        <f t="shared" si="8"/>
        <v>366</v>
      </c>
      <c r="AB149" s="19">
        <f t="shared" ca="1" si="9"/>
        <v>45465</v>
      </c>
      <c r="AC149" s="20"/>
      <c r="AD149" s="19"/>
      <c r="AE149" s="98"/>
    </row>
    <row r="150" spans="1:31" x14ac:dyDescent="0.3">
      <c r="A150" s="108">
        <v>150</v>
      </c>
      <c r="B150" s="46">
        <v>45373</v>
      </c>
      <c r="D150" s="13" t="s">
        <v>242</v>
      </c>
      <c r="E150" s="13" t="s">
        <v>51</v>
      </c>
      <c r="F150" s="13" t="s">
        <v>52</v>
      </c>
      <c r="G150" s="14" t="s">
        <v>118</v>
      </c>
      <c r="H150" s="14">
        <v>4187797</v>
      </c>
      <c r="I150" s="14" t="s">
        <v>334</v>
      </c>
      <c r="K150" s="21"/>
      <c r="L150" s="21"/>
      <c r="Q150" s="14" t="s">
        <v>6</v>
      </c>
      <c r="R150" s="14" t="s">
        <v>335</v>
      </c>
      <c r="T150" s="15"/>
      <c r="U150" s="15"/>
      <c r="V150" s="16">
        <v>777.99</v>
      </c>
      <c r="AA150" s="18">
        <f t="shared" si="8"/>
        <v>366</v>
      </c>
      <c r="AB150" s="19">
        <f t="shared" ca="1" si="9"/>
        <v>45465</v>
      </c>
      <c r="AC150" s="20"/>
      <c r="AD150" s="19"/>
      <c r="AE150" s="98"/>
    </row>
    <row r="151" spans="1:31" x14ac:dyDescent="0.3">
      <c r="A151" s="105">
        <v>151</v>
      </c>
      <c r="B151" s="46">
        <v>45373</v>
      </c>
      <c r="D151" s="13" t="s">
        <v>242</v>
      </c>
      <c r="E151" s="13" t="s">
        <v>51</v>
      </c>
      <c r="F151" s="13" t="s">
        <v>52</v>
      </c>
      <c r="G151" s="14" t="s">
        <v>60</v>
      </c>
      <c r="H151" s="14">
        <v>4187800</v>
      </c>
      <c r="I151" s="14" t="s">
        <v>336</v>
      </c>
      <c r="K151" s="21"/>
      <c r="L151" s="21"/>
      <c r="Q151" s="14" t="s">
        <v>6</v>
      </c>
      <c r="R151" s="14" t="s">
        <v>115</v>
      </c>
      <c r="T151" s="15"/>
      <c r="U151" s="15"/>
      <c r="V151" s="16">
        <v>803.54</v>
      </c>
      <c r="AA151" s="18">
        <f t="shared" si="8"/>
        <v>366</v>
      </c>
      <c r="AB151" s="19">
        <f t="shared" ca="1" si="9"/>
        <v>45465</v>
      </c>
      <c r="AC151" s="20"/>
      <c r="AD151" s="19"/>
      <c r="AE151" s="98"/>
    </row>
    <row r="152" spans="1:31" x14ac:dyDescent="0.3">
      <c r="A152" s="107">
        <v>152</v>
      </c>
      <c r="B152" s="46">
        <v>45373</v>
      </c>
      <c r="D152" s="13" t="s">
        <v>242</v>
      </c>
      <c r="E152" s="13" t="s">
        <v>51</v>
      </c>
      <c r="F152" s="13" t="s">
        <v>52</v>
      </c>
      <c r="G152" s="14" t="s">
        <v>60</v>
      </c>
      <c r="H152" s="14">
        <v>4187803</v>
      </c>
      <c r="I152" s="14" t="s">
        <v>337</v>
      </c>
      <c r="K152" s="21"/>
      <c r="L152" s="21"/>
      <c r="Q152" s="14" t="s">
        <v>6</v>
      </c>
      <c r="R152" s="14" t="s">
        <v>62</v>
      </c>
      <c r="T152" s="15"/>
      <c r="U152" s="15"/>
      <c r="V152" s="16">
        <v>676.62</v>
      </c>
      <c r="AA152" s="18">
        <f t="shared" si="8"/>
        <v>366</v>
      </c>
      <c r="AB152" s="19">
        <f t="shared" ca="1" si="9"/>
        <v>45465</v>
      </c>
      <c r="AC152" s="20"/>
      <c r="AD152" s="19"/>
      <c r="AE152" s="98"/>
    </row>
    <row r="153" spans="1:31" x14ac:dyDescent="0.3">
      <c r="A153" s="108">
        <v>153</v>
      </c>
      <c r="B153" s="46">
        <v>45373</v>
      </c>
      <c r="D153" s="13" t="s">
        <v>242</v>
      </c>
      <c r="E153" s="13" t="s">
        <v>51</v>
      </c>
      <c r="F153" s="13" t="s">
        <v>52</v>
      </c>
      <c r="G153" s="14" t="s">
        <v>60</v>
      </c>
      <c r="H153" s="14">
        <v>4187810</v>
      </c>
      <c r="I153" s="14" t="s">
        <v>338</v>
      </c>
      <c r="K153" s="21"/>
      <c r="L153" s="21"/>
      <c r="Q153" s="14" t="s">
        <v>6</v>
      </c>
      <c r="R153" s="14" t="s">
        <v>115</v>
      </c>
      <c r="T153" s="15"/>
      <c r="U153" s="15"/>
      <c r="V153" s="16">
        <v>803.54</v>
      </c>
      <c r="AA153" s="18">
        <f t="shared" si="8"/>
        <v>366</v>
      </c>
      <c r="AB153" s="19">
        <f t="shared" ca="1" si="9"/>
        <v>45465</v>
      </c>
      <c r="AC153" s="20"/>
      <c r="AD153" s="19"/>
      <c r="AE153" s="98"/>
    </row>
    <row r="154" spans="1:31" x14ac:dyDescent="0.3">
      <c r="A154" s="105">
        <v>154</v>
      </c>
      <c r="B154" s="46">
        <v>45373</v>
      </c>
      <c r="D154" s="13" t="s">
        <v>242</v>
      </c>
      <c r="E154" s="13" t="s">
        <v>51</v>
      </c>
      <c r="F154" s="13" t="s">
        <v>52</v>
      </c>
      <c r="G154" s="14" t="s">
        <v>60</v>
      </c>
      <c r="H154" s="14">
        <v>4187812</v>
      </c>
      <c r="I154" s="14" t="s">
        <v>339</v>
      </c>
      <c r="K154" s="21"/>
      <c r="L154" s="21"/>
      <c r="Q154" s="14" t="s">
        <v>6</v>
      </c>
      <c r="R154" s="14" t="s">
        <v>62</v>
      </c>
      <c r="T154" s="15"/>
      <c r="U154" s="15"/>
      <c r="V154" s="16">
        <v>676.62</v>
      </c>
      <c r="AA154" s="18">
        <f t="shared" si="8"/>
        <v>366</v>
      </c>
      <c r="AB154" s="19">
        <f t="shared" ca="1" si="9"/>
        <v>45465</v>
      </c>
      <c r="AC154" s="20"/>
      <c r="AD154" s="19"/>
      <c r="AE154" s="98"/>
    </row>
    <row r="155" spans="1:31" x14ac:dyDescent="0.3">
      <c r="A155" s="107">
        <v>155</v>
      </c>
      <c r="B155" s="46">
        <v>45373</v>
      </c>
      <c r="D155" s="13" t="s">
        <v>242</v>
      </c>
      <c r="E155" s="13" t="s">
        <v>51</v>
      </c>
      <c r="F155" s="13" t="s">
        <v>52</v>
      </c>
      <c r="G155" s="14" t="s">
        <v>60</v>
      </c>
      <c r="H155" s="14">
        <v>4187814</v>
      </c>
      <c r="I155" s="14" t="s">
        <v>340</v>
      </c>
      <c r="K155" s="21"/>
      <c r="L155" s="21"/>
      <c r="Q155" s="14" t="s">
        <v>6</v>
      </c>
      <c r="R155" s="14" t="s">
        <v>62</v>
      </c>
      <c r="T155" s="15"/>
      <c r="U155" s="15"/>
      <c r="V155" s="16">
        <v>812.02</v>
      </c>
      <c r="AA155" s="18">
        <f t="shared" si="8"/>
        <v>366</v>
      </c>
      <c r="AB155" s="19">
        <f t="shared" ca="1" si="9"/>
        <v>45465</v>
      </c>
      <c r="AC155" s="20"/>
      <c r="AD155" s="19"/>
      <c r="AE155" s="98"/>
    </row>
    <row r="156" spans="1:31" x14ac:dyDescent="0.3">
      <c r="A156" s="108">
        <v>156</v>
      </c>
      <c r="B156" s="46">
        <v>45373</v>
      </c>
      <c r="D156" s="13" t="s">
        <v>242</v>
      </c>
      <c r="E156" s="13" t="s">
        <v>51</v>
      </c>
      <c r="F156" s="13" t="s">
        <v>52</v>
      </c>
      <c r="G156" s="14" t="s">
        <v>60</v>
      </c>
      <c r="H156" s="14">
        <v>4187817</v>
      </c>
      <c r="I156" s="14" t="s">
        <v>341</v>
      </c>
      <c r="K156" s="21"/>
      <c r="L156" s="21"/>
      <c r="Q156" s="14" t="s">
        <v>6</v>
      </c>
      <c r="R156" s="14" t="s">
        <v>115</v>
      </c>
      <c r="T156" s="15"/>
      <c r="U156" s="15"/>
      <c r="V156" s="16">
        <v>555.66999999999996</v>
      </c>
      <c r="AA156" s="18">
        <f t="shared" si="8"/>
        <v>366</v>
      </c>
      <c r="AB156" s="19">
        <f t="shared" ca="1" si="9"/>
        <v>45465</v>
      </c>
      <c r="AC156" s="20"/>
      <c r="AD156" s="19"/>
      <c r="AE156" s="98"/>
    </row>
    <row r="157" spans="1:31" x14ac:dyDescent="0.3">
      <c r="A157" s="105">
        <v>157</v>
      </c>
      <c r="B157" s="46">
        <v>45373</v>
      </c>
      <c r="D157" s="13" t="s">
        <v>242</v>
      </c>
      <c r="E157" s="13" t="s">
        <v>51</v>
      </c>
      <c r="F157" s="13" t="s">
        <v>52</v>
      </c>
      <c r="G157" s="14" t="s">
        <v>60</v>
      </c>
      <c r="H157" s="14">
        <v>4187821</v>
      </c>
      <c r="I157" s="14" t="s">
        <v>342</v>
      </c>
      <c r="K157" s="21"/>
      <c r="L157" s="21"/>
      <c r="Q157" s="14" t="s">
        <v>6</v>
      </c>
      <c r="R157" s="14" t="s">
        <v>115</v>
      </c>
      <c r="T157" s="15"/>
      <c r="U157" s="15"/>
      <c r="V157" s="16">
        <v>803.54</v>
      </c>
      <c r="AA157" s="18">
        <f t="shared" si="8"/>
        <v>366</v>
      </c>
      <c r="AB157" s="19">
        <f t="shared" ca="1" si="9"/>
        <v>45465</v>
      </c>
      <c r="AC157" s="20"/>
      <c r="AD157" s="19"/>
      <c r="AE157" s="98"/>
    </row>
    <row r="158" spans="1:31" x14ac:dyDescent="0.3">
      <c r="A158" s="107">
        <v>158</v>
      </c>
      <c r="B158" s="46">
        <v>45373</v>
      </c>
      <c r="D158" s="13" t="s">
        <v>242</v>
      </c>
      <c r="E158" s="13" t="s">
        <v>51</v>
      </c>
      <c r="F158" s="13" t="s">
        <v>52</v>
      </c>
      <c r="G158" s="14" t="s">
        <v>60</v>
      </c>
      <c r="H158" s="14">
        <v>4187825</v>
      </c>
      <c r="I158" s="14" t="s">
        <v>343</v>
      </c>
      <c r="K158" s="21"/>
      <c r="L158" s="21"/>
      <c r="Q158" s="14" t="s">
        <v>6</v>
      </c>
      <c r="R158" s="14" t="s">
        <v>115</v>
      </c>
      <c r="T158" s="15"/>
      <c r="U158" s="15"/>
      <c r="V158" s="16">
        <v>803.54</v>
      </c>
      <c r="AA158" s="18">
        <f t="shared" si="8"/>
        <v>366</v>
      </c>
      <c r="AB158" s="19">
        <f t="shared" ca="1" si="9"/>
        <v>45465</v>
      </c>
      <c r="AC158" s="20"/>
      <c r="AD158" s="19"/>
      <c r="AE158" s="98"/>
    </row>
    <row r="159" spans="1:31" x14ac:dyDescent="0.3">
      <c r="A159" s="108">
        <v>159</v>
      </c>
      <c r="B159" s="46">
        <v>45373</v>
      </c>
      <c r="D159" s="13" t="s">
        <v>242</v>
      </c>
      <c r="E159" s="13" t="s">
        <v>51</v>
      </c>
      <c r="F159" s="13" t="s">
        <v>52</v>
      </c>
      <c r="G159" s="14" t="s">
        <v>60</v>
      </c>
      <c r="H159" s="14">
        <v>4187828</v>
      </c>
      <c r="I159" s="14" t="s">
        <v>344</v>
      </c>
      <c r="K159" s="21"/>
      <c r="L159" s="21"/>
      <c r="Q159" s="14" t="s">
        <v>6</v>
      </c>
      <c r="R159" s="14" t="s">
        <v>115</v>
      </c>
      <c r="T159" s="15"/>
      <c r="U159" s="15"/>
      <c r="V159" s="16">
        <v>555.66999999999996</v>
      </c>
      <c r="AA159" s="18">
        <f t="shared" si="8"/>
        <v>366</v>
      </c>
      <c r="AB159" s="19">
        <f t="shared" ca="1" si="9"/>
        <v>45465</v>
      </c>
      <c r="AC159" s="20"/>
      <c r="AD159" s="19"/>
      <c r="AE159" s="98"/>
    </row>
    <row r="160" spans="1:31" x14ac:dyDescent="0.3">
      <c r="A160" s="105">
        <v>160</v>
      </c>
      <c r="B160" s="46">
        <v>45373</v>
      </c>
      <c r="D160" s="13" t="s">
        <v>242</v>
      </c>
      <c r="E160" s="13" t="s">
        <v>51</v>
      </c>
      <c r="F160" s="13" t="s">
        <v>52</v>
      </c>
      <c r="G160" s="14" t="s">
        <v>60</v>
      </c>
      <c r="H160" s="14">
        <v>4187816</v>
      </c>
      <c r="I160" s="14" t="s">
        <v>345</v>
      </c>
      <c r="K160" s="21"/>
      <c r="L160" s="21"/>
      <c r="Q160" s="14" t="s">
        <v>6</v>
      </c>
      <c r="R160" s="14" t="s">
        <v>62</v>
      </c>
      <c r="T160" s="15"/>
      <c r="U160" s="15"/>
      <c r="V160" s="16">
        <v>812.02</v>
      </c>
      <c r="AA160" s="18">
        <f t="shared" si="8"/>
        <v>366</v>
      </c>
      <c r="AB160" s="19">
        <f t="shared" ca="1" si="9"/>
        <v>45465</v>
      </c>
      <c r="AC160" s="20"/>
      <c r="AD160" s="19"/>
      <c r="AE160" s="98"/>
    </row>
    <row r="161" spans="1:31" x14ac:dyDescent="0.3">
      <c r="A161" s="107">
        <v>161</v>
      </c>
      <c r="B161" s="46">
        <v>45373</v>
      </c>
      <c r="D161" s="13" t="s">
        <v>242</v>
      </c>
      <c r="E161" s="13" t="s">
        <v>51</v>
      </c>
      <c r="F161" s="13" t="s">
        <v>52</v>
      </c>
      <c r="G161" s="14" t="s">
        <v>60</v>
      </c>
      <c r="H161" s="14">
        <v>4187815</v>
      </c>
      <c r="I161" s="14" t="s">
        <v>346</v>
      </c>
      <c r="K161" s="21"/>
      <c r="L161" s="21"/>
      <c r="Q161" s="14" t="s">
        <v>6</v>
      </c>
      <c r="R161" s="14" t="s">
        <v>62</v>
      </c>
      <c r="T161" s="15"/>
      <c r="U161" s="15"/>
      <c r="V161" s="16">
        <v>676.62</v>
      </c>
      <c r="AA161" s="18">
        <f t="shared" si="8"/>
        <v>366</v>
      </c>
      <c r="AB161" s="19">
        <f t="shared" ca="1" si="9"/>
        <v>45465</v>
      </c>
      <c r="AC161" s="20"/>
      <c r="AD161" s="19"/>
      <c r="AE161" s="98"/>
    </row>
    <row r="162" spans="1:31" x14ac:dyDescent="0.3">
      <c r="A162" s="108">
        <v>162</v>
      </c>
      <c r="B162" s="46">
        <v>45373</v>
      </c>
      <c r="D162" s="13" t="s">
        <v>242</v>
      </c>
      <c r="E162" s="13" t="s">
        <v>51</v>
      </c>
      <c r="F162" s="13" t="s">
        <v>52</v>
      </c>
      <c r="G162" s="14" t="s">
        <v>60</v>
      </c>
      <c r="H162" s="14">
        <v>4187827</v>
      </c>
      <c r="I162" s="14" t="s">
        <v>347</v>
      </c>
      <c r="K162" s="21"/>
      <c r="L162" s="21"/>
      <c r="Q162" s="14" t="s">
        <v>6</v>
      </c>
      <c r="R162" s="14" t="s">
        <v>62</v>
      </c>
      <c r="T162" s="15"/>
      <c r="U162" s="15"/>
      <c r="V162" s="16">
        <v>676.62</v>
      </c>
      <c r="AA162" s="18">
        <f t="shared" si="8"/>
        <v>366</v>
      </c>
      <c r="AB162" s="19">
        <f t="shared" ca="1" si="9"/>
        <v>45465</v>
      </c>
      <c r="AC162" s="20"/>
      <c r="AD162" s="19"/>
      <c r="AE162" s="98"/>
    </row>
    <row r="163" spans="1:31" x14ac:dyDescent="0.3">
      <c r="A163" s="105">
        <v>163</v>
      </c>
      <c r="B163" s="46">
        <v>45373</v>
      </c>
      <c r="D163" s="13" t="s">
        <v>242</v>
      </c>
      <c r="E163" s="13" t="s">
        <v>51</v>
      </c>
      <c r="F163" s="13" t="s">
        <v>66</v>
      </c>
      <c r="G163" s="14" t="s">
        <v>18</v>
      </c>
      <c r="H163" s="14">
        <v>4187764</v>
      </c>
      <c r="I163" s="14" t="s">
        <v>348</v>
      </c>
      <c r="J163" s="14" t="s">
        <v>349</v>
      </c>
      <c r="K163" s="21">
        <v>954290441</v>
      </c>
      <c r="L163" s="21">
        <v>982257807</v>
      </c>
      <c r="M163" s="14" t="s">
        <v>69</v>
      </c>
      <c r="N163" s="14" t="s">
        <v>70</v>
      </c>
      <c r="O163" s="14" t="s">
        <v>348</v>
      </c>
      <c r="P163" s="14" t="s">
        <v>71</v>
      </c>
      <c r="Q163" s="14" t="s">
        <v>6</v>
      </c>
      <c r="R163" s="14" t="s">
        <v>350</v>
      </c>
      <c r="S163" s="14" t="s">
        <v>71</v>
      </c>
      <c r="T163" s="15">
        <v>155.41</v>
      </c>
      <c r="U163" s="15"/>
      <c r="V163" s="16">
        <f>Tabla1[[#This Row],[PAGO MENSUAL]]*12</f>
        <v>1864.92</v>
      </c>
      <c r="X163" s="14" t="s">
        <v>73</v>
      </c>
      <c r="Z163" s="14" t="s">
        <v>74</v>
      </c>
      <c r="AA163" s="18">
        <f t="shared" si="8"/>
        <v>366</v>
      </c>
      <c r="AB163" s="19">
        <f t="shared" ca="1" si="9"/>
        <v>45465</v>
      </c>
      <c r="AC163" s="20"/>
      <c r="AD163" s="19"/>
      <c r="AE163" s="98"/>
    </row>
    <row r="164" spans="1:31" x14ac:dyDescent="0.3">
      <c r="A164" s="107">
        <v>164</v>
      </c>
      <c r="B164" s="46">
        <v>45373</v>
      </c>
      <c r="D164" s="13" t="s">
        <v>242</v>
      </c>
      <c r="E164" s="13" t="s">
        <v>51</v>
      </c>
      <c r="F164" s="13" t="s">
        <v>66</v>
      </c>
      <c r="G164" s="14" t="s">
        <v>18</v>
      </c>
      <c r="I164" s="14" t="s">
        <v>356</v>
      </c>
      <c r="J164" s="14" t="s">
        <v>28</v>
      </c>
      <c r="K164" s="21">
        <v>917828451</v>
      </c>
      <c r="L164" s="21">
        <v>995271928</v>
      </c>
      <c r="M164" s="14" t="s">
        <v>69</v>
      </c>
      <c r="N164" s="14" t="s">
        <v>70</v>
      </c>
      <c r="O164" s="14" t="s">
        <v>357</v>
      </c>
      <c r="P164" s="14" t="s">
        <v>71</v>
      </c>
      <c r="Q164" s="14" t="s">
        <v>2</v>
      </c>
      <c r="R164" s="14" t="s">
        <v>358</v>
      </c>
      <c r="S164" s="14" t="s">
        <v>74</v>
      </c>
      <c r="T164" s="15">
        <v>31.69</v>
      </c>
      <c r="U164" s="15"/>
      <c r="V164" s="16">
        <f>+T164*12/(1.005)/1.07</f>
        <v>353.63370065560053</v>
      </c>
      <c r="X164" s="14" t="s">
        <v>136</v>
      </c>
      <c r="Z164" s="14" t="s">
        <v>71</v>
      </c>
      <c r="AA164" s="18">
        <f t="shared" ref="AA164:AA193" si="10">+DATE(YEAR(C164)+1,MONTH(C164),DAY(C164))</f>
        <v>366</v>
      </c>
      <c r="AB164" s="19">
        <f t="shared" ref="AB164:AB193" ca="1" si="11">+TODAY()-AA164</f>
        <v>45465</v>
      </c>
      <c r="AC164" s="20"/>
      <c r="AD164" s="19"/>
      <c r="AE164" s="98"/>
    </row>
    <row r="165" spans="1:31" x14ac:dyDescent="0.3">
      <c r="A165" s="108">
        <v>165</v>
      </c>
      <c r="B165" s="46">
        <v>45373</v>
      </c>
      <c r="D165" s="13" t="s">
        <v>242</v>
      </c>
      <c r="E165" s="13" t="s">
        <v>51</v>
      </c>
      <c r="F165" s="13" t="s">
        <v>66</v>
      </c>
      <c r="G165" s="14" t="s">
        <v>175</v>
      </c>
      <c r="I165" s="14" t="s">
        <v>353</v>
      </c>
      <c r="J165" s="14" t="s">
        <v>28</v>
      </c>
      <c r="K165" s="21">
        <v>3050683022</v>
      </c>
      <c r="L165" s="21">
        <v>997040800</v>
      </c>
      <c r="M165" s="14" t="s">
        <v>69</v>
      </c>
      <c r="N165" s="14" t="s">
        <v>70</v>
      </c>
      <c r="O165" s="14" t="s">
        <v>354</v>
      </c>
      <c r="P165" s="14" t="s">
        <v>355</v>
      </c>
      <c r="Q165" s="14" t="s">
        <v>5</v>
      </c>
      <c r="R165" s="14" t="s">
        <v>318</v>
      </c>
      <c r="S165" s="14" t="s">
        <v>71</v>
      </c>
      <c r="T165" s="15">
        <v>101.28</v>
      </c>
      <c r="U165" s="15"/>
      <c r="V165" s="16">
        <f>+T165*12/(1.005)</f>
        <v>1209.3134328358212</v>
      </c>
      <c r="X165" s="14" t="s">
        <v>136</v>
      </c>
      <c r="Z165" s="14" t="s">
        <v>71</v>
      </c>
      <c r="AA165" s="18">
        <f t="shared" si="10"/>
        <v>366</v>
      </c>
      <c r="AB165" s="19">
        <f t="shared" ca="1" si="11"/>
        <v>45465</v>
      </c>
      <c r="AC165" s="20"/>
      <c r="AD165" s="19"/>
      <c r="AE165" s="98"/>
    </row>
    <row r="166" spans="1:31" x14ac:dyDescent="0.3">
      <c r="A166" s="105">
        <v>166</v>
      </c>
      <c r="B166" s="46">
        <v>45373</v>
      </c>
      <c r="D166" s="13" t="s">
        <v>242</v>
      </c>
      <c r="E166" s="13" t="s">
        <v>51</v>
      </c>
      <c r="F166" s="13" t="s">
        <v>66</v>
      </c>
      <c r="G166" s="14" t="s">
        <v>84</v>
      </c>
      <c r="I166" s="14" t="s">
        <v>351</v>
      </c>
      <c r="J166" s="14" t="s">
        <v>28</v>
      </c>
      <c r="K166" s="21">
        <v>916536758</v>
      </c>
      <c r="L166" s="21">
        <v>979012860</v>
      </c>
      <c r="M166" s="14" t="s">
        <v>88</v>
      </c>
      <c r="N166" s="14" t="s">
        <v>70</v>
      </c>
      <c r="O166" s="14" t="s">
        <v>351</v>
      </c>
      <c r="P166" s="14" t="s">
        <v>71</v>
      </c>
      <c r="Q166" s="14" t="s">
        <v>6</v>
      </c>
      <c r="R166" s="14" t="s">
        <v>352</v>
      </c>
      <c r="S166" s="14" t="s">
        <v>71</v>
      </c>
      <c r="T166" s="15">
        <v>125.05</v>
      </c>
      <c r="U166" s="15"/>
      <c r="V166" s="16">
        <f>Tabla1[[#This Row],[PAGO MENSUAL]]*12</f>
        <v>1500.6</v>
      </c>
      <c r="X166" s="14" t="s">
        <v>73</v>
      </c>
      <c r="Z166" s="14" t="s">
        <v>74</v>
      </c>
      <c r="AA166" s="18">
        <f t="shared" si="10"/>
        <v>366</v>
      </c>
      <c r="AB166" s="19">
        <f t="shared" ca="1" si="11"/>
        <v>45465</v>
      </c>
      <c r="AC166" s="20"/>
      <c r="AD166" s="19"/>
      <c r="AE166" s="98"/>
    </row>
    <row r="167" spans="1:31" x14ac:dyDescent="0.3">
      <c r="A167" s="107">
        <v>167</v>
      </c>
      <c r="B167" s="46">
        <v>45377</v>
      </c>
      <c r="D167" s="13" t="s">
        <v>242</v>
      </c>
      <c r="E167" s="13" t="s">
        <v>51</v>
      </c>
      <c r="F167" s="13" t="s">
        <v>66</v>
      </c>
      <c r="G167" s="14" t="s">
        <v>11</v>
      </c>
      <c r="I167" s="14" t="s">
        <v>359</v>
      </c>
      <c r="J167" s="14" t="s">
        <v>360</v>
      </c>
      <c r="K167" s="21">
        <v>920158276</v>
      </c>
      <c r="L167" s="21">
        <v>992321392</v>
      </c>
      <c r="M167" s="14" t="s">
        <v>69</v>
      </c>
      <c r="N167" s="14" t="s">
        <v>70</v>
      </c>
      <c r="O167" s="14" t="s">
        <v>359</v>
      </c>
      <c r="P167" s="14" t="s">
        <v>71</v>
      </c>
      <c r="Q167" s="14" t="s">
        <v>3</v>
      </c>
      <c r="R167" s="14" t="s">
        <v>64</v>
      </c>
      <c r="S167" s="14" t="s">
        <v>71</v>
      </c>
      <c r="T167" s="15">
        <v>33.67</v>
      </c>
      <c r="U167" s="15"/>
      <c r="V167" s="16">
        <f>+(T167*12)/1.005-65</f>
        <v>337.02985074626872</v>
      </c>
      <c r="X167" s="14" t="s">
        <v>136</v>
      </c>
      <c r="Z167" s="14" t="s">
        <v>71</v>
      </c>
      <c r="AA167" s="18">
        <f t="shared" si="10"/>
        <v>366</v>
      </c>
      <c r="AB167" s="19">
        <f t="shared" ca="1" si="11"/>
        <v>45465</v>
      </c>
      <c r="AC167" s="20"/>
      <c r="AD167" s="19"/>
      <c r="AE167" s="98"/>
    </row>
    <row r="168" spans="1:31" x14ac:dyDescent="0.3">
      <c r="A168" s="108">
        <v>168</v>
      </c>
      <c r="B168" s="46">
        <v>45378</v>
      </c>
      <c r="D168" s="13" t="s">
        <v>242</v>
      </c>
      <c r="E168" s="13" t="s">
        <v>51</v>
      </c>
      <c r="F168" s="13" t="s">
        <v>52</v>
      </c>
      <c r="G168" s="14" t="s">
        <v>155</v>
      </c>
      <c r="H168" s="14">
        <v>4188089</v>
      </c>
      <c r="I168" s="14" t="s">
        <v>361</v>
      </c>
      <c r="K168" s="21"/>
      <c r="L168" s="21"/>
      <c r="Q168" s="14" t="s">
        <v>6</v>
      </c>
      <c r="R168" s="14" t="s">
        <v>286</v>
      </c>
      <c r="T168" s="15">
        <f>+Tabla1[[#This Row],[PRIMA NETA ANUAL]]/12</f>
        <v>24.704166666666666</v>
      </c>
      <c r="U168" s="15"/>
      <c r="V168" s="16">
        <v>296.45</v>
      </c>
      <c r="X168" s="14" t="s">
        <v>136</v>
      </c>
      <c r="Z168" s="14" t="s">
        <v>71</v>
      </c>
      <c r="AA168" s="18">
        <f t="shared" si="10"/>
        <v>366</v>
      </c>
      <c r="AB168" s="19">
        <f t="shared" ca="1" si="11"/>
        <v>45465</v>
      </c>
      <c r="AC168" s="20"/>
      <c r="AD168" s="19"/>
      <c r="AE168" s="98"/>
    </row>
    <row r="169" spans="1:31" x14ac:dyDescent="0.3">
      <c r="A169" s="105">
        <v>169</v>
      </c>
      <c r="B169" s="46">
        <v>45379</v>
      </c>
      <c r="D169" s="13" t="s">
        <v>242</v>
      </c>
      <c r="E169" s="13" t="s">
        <v>51</v>
      </c>
      <c r="F169" s="13" t="s">
        <v>52</v>
      </c>
      <c r="G169" s="14" t="s">
        <v>57</v>
      </c>
      <c r="H169" s="14">
        <v>4188433</v>
      </c>
      <c r="I169" s="14" t="s">
        <v>363</v>
      </c>
      <c r="K169" s="21"/>
      <c r="L169" s="21"/>
      <c r="Q169" s="14" t="s">
        <v>6</v>
      </c>
      <c r="R169" s="14" t="s">
        <v>115</v>
      </c>
      <c r="T169" s="15"/>
      <c r="U169" s="15"/>
      <c r="V169" s="16">
        <v>785.75</v>
      </c>
      <c r="X169" s="14" t="s">
        <v>136</v>
      </c>
      <c r="Z169" s="14" t="s">
        <v>71</v>
      </c>
      <c r="AA169" s="18">
        <f t="shared" si="10"/>
        <v>366</v>
      </c>
      <c r="AB169" s="19">
        <f t="shared" ca="1" si="11"/>
        <v>45465</v>
      </c>
      <c r="AC169" s="20"/>
      <c r="AD169" s="19"/>
      <c r="AE169" s="98"/>
    </row>
    <row r="170" spans="1:31" x14ac:dyDescent="0.3">
      <c r="A170" s="107">
        <v>170</v>
      </c>
      <c r="B170" s="46">
        <v>45379</v>
      </c>
      <c r="D170" s="13" t="s">
        <v>242</v>
      </c>
      <c r="E170" s="13" t="s">
        <v>51</v>
      </c>
      <c r="F170" s="13" t="s">
        <v>52</v>
      </c>
      <c r="G170" s="14" t="s">
        <v>57</v>
      </c>
      <c r="H170" s="14">
        <v>4188436</v>
      </c>
      <c r="I170" s="14" t="s">
        <v>363</v>
      </c>
      <c r="K170" s="21"/>
      <c r="L170" s="21"/>
      <c r="Q170" s="14" t="s">
        <v>6</v>
      </c>
      <c r="R170" s="14" t="s">
        <v>115</v>
      </c>
      <c r="T170" s="15"/>
      <c r="U170" s="15"/>
      <c r="V170" s="16">
        <v>983.83</v>
      </c>
      <c r="X170" s="14" t="s">
        <v>136</v>
      </c>
      <c r="Z170" s="14" t="s">
        <v>71</v>
      </c>
      <c r="AA170" s="18">
        <f t="shared" si="10"/>
        <v>366</v>
      </c>
      <c r="AB170" s="19">
        <f t="shared" ca="1" si="11"/>
        <v>45465</v>
      </c>
      <c r="AC170" s="20"/>
      <c r="AD170" s="19"/>
      <c r="AE170" s="98"/>
    </row>
    <row r="171" spans="1:31" x14ac:dyDescent="0.3">
      <c r="A171" s="108">
        <v>171</v>
      </c>
      <c r="B171" s="46">
        <v>45379</v>
      </c>
      <c r="D171" s="13" t="s">
        <v>242</v>
      </c>
      <c r="E171" s="13" t="s">
        <v>51</v>
      </c>
      <c r="F171" s="13" t="s">
        <v>66</v>
      </c>
      <c r="G171" s="14" t="s">
        <v>218</v>
      </c>
      <c r="I171" s="14" t="s">
        <v>362</v>
      </c>
      <c r="J171" s="14" t="s">
        <v>68</v>
      </c>
      <c r="K171" s="21">
        <v>906265087</v>
      </c>
      <c r="L171" s="21">
        <v>939566499</v>
      </c>
      <c r="M171" s="14" t="s">
        <v>69</v>
      </c>
      <c r="N171" s="14" t="s">
        <v>70</v>
      </c>
      <c r="O171" s="14" t="s">
        <v>362</v>
      </c>
      <c r="P171" s="14" t="s">
        <v>71</v>
      </c>
      <c r="Q171" s="14" t="s">
        <v>2</v>
      </c>
      <c r="R171" s="14" t="s">
        <v>200</v>
      </c>
      <c r="S171" s="14" t="s">
        <v>71</v>
      </c>
      <c r="T171" s="15">
        <v>78.61</v>
      </c>
      <c r="U171" s="15"/>
      <c r="V171" s="16">
        <f>+T171*12/(1.005)/1.07</f>
        <v>877.22136978658102</v>
      </c>
      <c r="X171" s="14" t="s">
        <v>136</v>
      </c>
      <c r="Z171" s="14" t="s">
        <v>71</v>
      </c>
      <c r="AA171" s="18">
        <f t="shared" si="10"/>
        <v>366</v>
      </c>
      <c r="AB171" s="19">
        <f t="shared" ca="1" si="11"/>
        <v>45465</v>
      </c>
      <c r="AC171" s="20"/>
      <c r="AD171" s="19"/>
      <c r="AE171" s="98"/>
    </row>
    <row r="172" spans="1:31" x14ac:dyDescent="0.3">
      <c r="A172" s="105">
        <v>172</v>
      </c>
      <c r="B172" s="46">
        <v>45383</v>
      </c>
      <c r="D172" s="13" t="s">
        <v>185</v>
      </c>
      <c r="E172" s="13" t="s">
        <v>186</v>
      </c>
      <c r="F172" s="13" t="s">
        <v>52</v>
      </c>
      <c r="G172" s="14" t="s">
        <v>155</v>
      </c>
      <c r="H172" s="14">
        <v>4123165</v>
      </c>
      <c r="I172" s="14" t="s">
        <v>364</v>
      </c>
      <c r="K172" s="21"/>
      <c r="L172" s="21"/>
      <c r="Q172" s="14" t="s">
        <v>6</v>
      </c>
      <c r="T172" s="15"/>
      <c r="U172" s="15"/>
      <c r="X172" s="14" t="s">
        <v>136</v>
      </c>
      <c r="Z172" s="14" t="s">
        <v>71</v>
      </c>
      <c r="AA172" s="18">
        <f t="shared" si="10"/>
        <v>366</v>
      </c>
      <c r="AB172" s="19">
        <f t="shared" ca="1" si="11"/>
        <v>45465</v>
      </c>
      <c r="AC172" s="20"/>
      <c r="AD172" s="19"/>
      <c r="AE172" s="98"/>
    </row>
    <row r="173" spans="1:31" x14ac:dyDescent="0.3">
      <c r="A173" s="107">
        <v>173</v>
      </c>
      <c r="B173" s="46">
        <v>45383</v>
      </c>
      <c r="D173" s="13" t="s">
        <v>185</v>
      </c>
      <c r="E173" s="13" t="s">
        <v>51</v>
      </c>
      <c r="F173" s="13" t="s">
        <v>52</v>
      </c>
      <c r="G173" s="14" t="s">
        <v>155</v>
      </c>
      <c r="H173" s="14" t="s">
        <v>367</v>
      </c>
      <c r="I173" s="14" t="s">
        <v>368</v>
      </c>
      <c r="K173" s="21"/>
      <c r="L173" s="21"/>
      <c r="Q173" s="14" t="s">
        <v>3</v>
      </c>
      <c r="R173" s="14" t="s">
        <v>369</v>
      </c>
      <c r="T173" s="15"/>
      <c r="U173" s="15"/>
      <c r="V173" s="16">
        <v>1564.98</v>
      </c>
      <c r="X173" s="14" t="s">
        <v>136</v>
      </c>
      <c r="Z173" s="14" t="s">
        <v>71</v>
      </c>
      <c r="AA173" s="18">
        <f t="shared" si="10"/>
        <v>366</v>
      </c>
      <c r="AB173" s="19">
        <f t="shared" ca="1" si="11"/>
        <v>45465</v>
      </c>
      <c r="AC173" s="20"/>
      <c r="AD173" s="19"/>
      <c r="AE173" s="98"/>
    </row>
    <row r="174" spans="1:31" x14ac:dyDescent="0.3">
      <c r="A174" s="108">
        <v>174</v>
      </c>
      <c r="B174" s="46">
        <v>45383</v>
      </c>
      <c r="D174" s="13" t="s">
        <v>185</v>
      </c>
      <c r="E174" s="13" t="s">
        <v>51</v>
      </c>
      <c r="F174" s="13" t="s">
        <v>52</v>
      </c>
      <c r="G174" s="14" t="s">
        <v>60</v>
      </c>
      <c r="H174" s="14">
        <v>4188146</v>
      </c>
      <c r="I174" s="14" t="s">
        <v>365</v>
      </c>
      <c r="K174" s="21"/>
      <c r="L174" s="21"/>
      <c r="Q174" s="14" t="s">
        <v>6</v>
      </c>
      <c r="R174" s="14" t="s">
        <v>171</v>
      </c>
      <c r="T174" s="15"/>
      <c r="U174" s="15"/>
      <c r="V174" s="16">
        <v>904.07</v>
      </c>
      <c r="X174" s="14" t="s">
        <v>136</v>
      </c>
      <c r="Z174" s="14" t="s">
        <v>71</v>
      </c>
      <c r="AA174" s="18">
        <f t="shared" si="10"/>
        <v>366</v>
      </c>
      <c r="AB174" s="19">
        <f t="shared" ca="1" si="11"/>
        <v>45465</v>
      </c>
      <c r="AC174" s="20"/>
      <c r="AD174" s="19"/>
      <c r="AE174" s="98"/>
    </row>
    <row r="175" spans="1:31" x14ac:dyDescent="0.3">
      <c r="A175" s="105">
        <v>175</v>
      </c>
      <c r="B175" s="46">
        <v>45383</v>
      </c>
      <c r="D175" s="13" t="s">
        <v>185</v>
      </c>
      <c r="E175" s="13" t="s">
        <v>51</v>
      </c>
      <c r="F175" s="13" t="s">
        <v>52</v>
      </c>
      <c r="G175" s="14" t="s">
        <v>60</v>
      </c>
      <c r="H175" s="14">
        <v>4188494</v>
      </c>
      <c r="I175" s="14" t="s">
        <v>366</v>
      </c>
      <c r="K175" s="21"/>
      <c r="L175" s="21"/>
      <c r="Q175" s="14" t="s">
        <v>6</v>
      </c>
      <c r="R175" s="14" t="s">
        <v>62</v>
      </c>
      <c r="T175" s="15"/>
      <c r="U175" s="15"/>
      <c r="V175" s="16">
        <v>3083.96</v>
      </c>
      <c r="X175" s="14" t="s">
        <v>136</v>
      </c>
      <c r="Z175" s="14" t="s">
        <v>71</v>
      </c>
      <c r="AA175" s="18">
        <f t="shared" si="10"/>
        <v>366</v>
      </c>
      <c r="AB175" s="19">
        <f t="shared" ca="1" si="11"/>
        <v>45465</v>
      </c>
      <c r="AC175" s="20"/>
      <c r="AD175" s="19"/>
      <c r="AE175" s="98"/>
    </row>
    <row r="176" spans="1:31" x14ac:dyDescent="0.3">
      <c r="A176" s="107">
        <v>176</v>
      </c>
      <c r="B176" s="46">
        <v>45383</v>
      </c>
      <c r="D176" s="13" t="s">
        <v>185</v>
      </c>
      <c r="E176" s="13" t="s">
        <v>51</v>
      </c>
      <c r="F176" s="13" t="s">
        <v>66</v>
      </c>
      <c r="G176" s="14" t="s">
        <v>175</v>
      </c>
      <c r="I176" s="14" t="s">
        <v>370</v>
      </c>
      <c r="J176" s="14" t="s">
        <v>294</v>
      </c>
      <c r="K176" s="21">
        <v>1308111242</v>
      </c>
      <c r="L176" s="21">
        <v>992727960</v>
      </c>
      <c r="M176" s="14" t="s">
        <v>88</v>
      </c>
      <c r="N176" s="14" t="s">
        <v>70</v>
      </c>
      <c r="O176" s="14" t="s">
        <v>371</v>
      </c>
      <c r="P176" s="14" t="s">
        <v>71</v>
      </c>
      <c r="Q176" s="14" t="s">
        <v>5</v>
      </c>
      <c r="R176" s="14" t="s">
        <v>177</v>
      </c>
      <c r="S176" s="14" t="s">
        <v>71</v>
      </c>
      <c r="T176" s="15">
        <v>71.62</v>
      </c>
      <c r="U176" s="15"/>
      <c r="V176" s="16">
        <f>+Tabla1[[#This Row],[PAGO MENSUAL]]*12/(1.005)</f>
        <v>855.16417910447774</v>
      </c>
      <c r="X176" s="14" t="s">
        <v>136</v>
      </c>
      <c r="Z176" s="14" t="s">
        <v>71</v>
      </c>
      <c r="AA176" s="18">
        <f t="shared" si="10"/>
        <v>366</v>
      </c>
      <c r="AB176" s="19">
        <f t="shared" ca="1" si="11"/>
        <v>45465</v>
      </c>
      <c r="AC176" s="20"/>
      <c r="AD176" s="19"/>
      <c r="AE176" s="98"/>
    </row>
    <row r="177" spans="1:31" x14ac:dyDescent="0.3">
      <c r="A177" s="108">
        <v>177</v>
      </c>
      <c r="B177" s="46">
        <v>45384</v>
      </c>
      <c r="D177" s="13" t="s">
        <v>185</v>
      </c>
      <c r="E177" s="13" t="s">
        <v>51</v>
      </c>
      <c r="F177" s="13" t="s">
        <v>52</v>
      </c>
      <c r="G177" s="14" t="s">
        <v>75</v>
      </c>
      <c r="H177" s="14">
        <v>4188520</v>
      </c>
      <c r="I177" s="14" t="s">
        <v>372</v>
      </c>
      <c r="K177" s="21"/>
      <c r="L177" s="21"/>
      <c r="Q177" s="14" t="s">
        <v>6</v>
      </c>
      <c r="R177" s="14" t="s">
        <v>115</v>
      </c>
      <c r="T177" s="15"/>
      <c r="U177" s="15"/>
      <c r="V177" s="16">
        <v>3177.4</v>
      </c>
      <c r="X177" s="14" t="s">
        <v>136</v>
      </c>
      <c r="Z177" s="14" t="s">
        <v>71</v>
      </c>
      <c r="AA177" s="18">
        <f t="shared" si="10"/>
        <v>366</v>
      </c>
      <c r="AB177" s="19">
        <f t="shared" ca="1" si="11"/>
        <v>45465</v>
      </c>
      <c r="AC177" s="20"/>
      <c r="AD177" s="19"/>
      <c r="AE177" s="98"/>
    </row>
    <row r="178" spans="1:31" x14ac:dyDescent="0.3">
      <c r="A178" s="105">
        <v>178</v>
      </c>
      <c r="B178" s="46">
        <v>45384</v>
      </c>
      <c r="D178" s="13" t="s">
        <v>185</v>
      </c>
      <c r="E178" s="13" t="s">
        <v>51</v>
      </c>
      <c r="F178" s="13" t="s">
        <v>66</v>
      </c>
      <c r="G178" s="14" t="s">
        <v>11</v>
      </c>
      <c r="I178" s="14" t="s">
        <v>373</v>
      </c>
      <c r="J178" s="14" t="s">
        <v>294</v>
      </c>
      <c r="K178" s="21">
        <v>802263442</v>
      </c>
      <c r="L178" s="21">
        <v>987685933</v>
      </c>
      <c r="M178" s="14" t="s">
        <v>69</v>
      </c>
      <c r="N178" s="14" t="s">
        <v>70</v>
      </c>
      <c r="O178" s="14" t="s">
        <v>373</v>
      </c>
      <c r="P178" s="14" t="s">
        <v>71</v>
      </c>
      <c r="Q178" s="14" t="s">
        <v>5</v>
      </c>
      <c r="R178" s="14" t="s">
        <v>232</v>
      </c>
      <c r="S178" s="14" t="s">
        <v>71</v>
      </c>
      <c r="T178" s="15">
        <v>111.73</v>
      </c>
      <c r="U178" s="15"/>
      <c r="V178" s="16">
        <f>+Tabla1[[#This Row],[PAGO MENSUAL]]*12/(1.005)</f>
        <v>1334.0895522388062</v>
      </c>
      <c r="X178" s="14" t="s">
        <v>136</v>
      </c>
      <c r="Z178" s="14" t="s">
        <v>71</v>
      </c>
      <c r="AA178" s="18">
        <f t="shared" si="10"/>
        <v>366</v>
      </c>
      <c r="AB178" s="19">
        <f t="shared" ca="1" si="11"/>
        <v>45465</v>
      </c>
      <c r="AC178" s="20"/>
      <c r="AD178" s="19"/>
      <c r="AE178" s="98"/>
    </row>
    <row r="179" spans="1:31" x14ac:dyDescent="0.3">
      <c r="A179" s="107">
        <v>179</v>
      </c>
      <c r="B179" s="46">
        <v>45385</v>
      </c>
      <c r="D179" s="13" t="s">
        <v>185</v>
      </c>
      <c r="E179" s="13" t="s">
        <v>51</v>
      </c>
      <c r="F179" s="13" t="s">
        <v>52</v>
      </c>
      <c r="G179" s="14" t="s">
        <v>75</v>
      </c>
      <c r="H179" s="14">
        <v>4188471</v>
      </c>
      <c r="I179" s="14" t="s">
        <v>374</v>
      </c>
      <c r="K179" s="21"/>
      <c r="L179" s="21"/>
      <c r="Q179" s="14" t="s">
        <v>6</v>
      </c>
      <c r="R179" s="14" t="s">
        <v>115</v>
      </c>
      <c r="T179" s="15"/>
      <c r="U179" s="15"/>
      <c r="V179" s="16">
        <v>1136.07</v>
      </c>
      <c r="X179" s="14" t="s">
        <v>136</v>
      </c>
      <c r="Z179" s="14" t="s">
        <v>71</v>
      </c>
      <c r="AA179" s="18">
        <f t="shared" si="10"/>
        <v>366</v>
      </c>
      <c r="AB179" s="19">
        <f t="shared" ca="1" si="11"/>
        <v>45465</v>
      </c>
      <c r="AC179" s="20"/>
      <c r="AD179" s="19"/>
      <c r="AE179" s="98"/>
    </row>
    <row r="180" spans="1:31" x14ac:dyDescent="0.3">
      <c r="A180" s="108">
        <v>180</v>
      </c>
      <c r="B180" s="46">
        <v>45385</v>
      </c>
      <c r="D180" s="13" t="s">
        <v>185</v>
      </c>
      <c r="E180" s="13" t="s">
        <v>51</v>
      </c>
      <c r="F180" s="13" t="s">
        <v>66</v>
      </c>
      <c r="G180" s="14" t="s">
        <v>240</v>
      </c>
      <c r="I180" s="14" t="s">
        <v>375</v>
      </c>
      <c r="J180" s="14" t="s">
        <v>28</v>
      </c>
      <c r="K180" s="21">
        <v>922117130</v>
      </c>
      <c r="L180" s="21">
        <v>982246416</v>
      </c>
      <c r="M180" s="14" t="s">
        <v>88</v>
      </c>
      <c r="N180" s="14" t="s">
        <v>70</v>
      </c>
      <c r="O180" s="14" t="s">
        <v>376</v>
      </c>
      <c r="P180" s="14" t="s">
        <v>71</v>
      </c>
      <c r="Q180" s="14" t="s">
        <v>5</v>
      </c>
      <c r="R180" s="14" t="s">
        <v>232</v>
      </c>
      <c r="S180" s="14" t="s">
        <v>71</v>
      </c>
      <c r="T180" s="15">
        <v>126.21</v>
      </c>
      <c r="U180" s="15"/>
      <c r="V180" s="16">
        <f>+Tabla1[[#This Row],[PAGO MENSUAL]]*12/(1.005)</f>
        <v>1506.9850746268658</v>
      </c>
      <c r="X180" s="14" t="s">
        <v>136</v>
      </c>
      <c r="Z180" s="14" t="s">
        <v>71</v>
      </c>
      <c r="AA180" s="18">
        <f t="shared" si="10"/>
        <v>366</v>
      </c>
      <c r="AB180" s="19">
        <f t="shared" ca="1" si="11"/>
        <v>45465</v>
      </c>
      <c r="AC180" s="20"/>
      <c r="AD180" s="19"/>
      <c r="AE180" s="98"/>
    </row>
    <row r="181" spans="1:31" x14ac:dyDescent="0.3">
      <c r="A181" s="105">
        <v>181</v>
      </c>
      <c r="B181" s="46">
        <v>45386</v>
      </c>
      <c r="D181" s="13" t="s">
        <v>185</v>
      </c>
      <c r="E181" s="13" t="s">
        <v>51</v>
      </c>
      <c r="F181" s="13" t="s">
        <v>52</v>
      </c>
      <c r="G181" s="14" t="s">
        <v>377</v>
      </c>
      <c r="H181" s="14">
        <v>4188608</v>
      </c>
      <c r="I181" s="14" t="s">
        <v>378</v>
      </c>
      <c r="K181" s="21"/>
      <c r="L181" s="21"/>
      <c r="Q181" s="14" t="s">
        <v>6</v>
      </c>
      <c r="R181" s="14" t="s">
        <v>62</v>
      </c>
      <c r="T181" s="15"/>
      <c r="U181" s="15"/>
      <c r="V181" s="16">
        <v>690.47</v>
      </c>
      <c r="X181" s="14" t="s">
        <v>136</v>
      </c>
      <c r="Z181" s="14" t="s">
        <v>71</v>
      </c>
      <c r="AA181" s="18">
        <f t="shared" si="10"/>
        <v>366</v>
      </c>
      <c r="AB181" s="19">
        <f t="shared" ca="1" si="11"/>
        <v>45465</v>
      </c>
      <c r="AC181" s="20"/>
      <c r="AD181" s="19"/>
      <c r="AE181" s="98"/>
    </row>
    <row r="182" spans="1:31" x14ac:dyDescent="0.3">
      <c r="A182" s="107">
        <v>182</v>
      </c>
      <c r="B182" s="46">
        <v>45387</v>
      </c>
      <c r="D182" s="13" t="s">
        <v>185</v>
      </c>
      <c r="E182" s="13" t="s">
        <v>51</v>
      </c>
      <c r="F182" s="13" t="s">
        <v>52</v>
      </c>
      <c r="G182" s="14" t="s">
        <v>57</v>
      </c>
      <c r="H182" s="14">
        <v>4188730</v>
      </c>
      <c r="I182" s="14" t="s">
        <v>383</v>
      </c>
      <c r="K182" s="21"/>
      <c r="L182" s="21"/>
      <c r="Q182" s="14" t="s">
        <v>6</v>
      </c>
      <c r="R182" s="14" t="s">
        <v>96</v>
      </c>
      <c r="T182" s="15"/>
      <c r="U182" s="15"/>
      <c r="V182" s="16">
        <v>998.64</v>
      </c>
      <c r="X182" s="14" t="s">
        <v>136</v>
      </c>
      <c r="Z182" s="14" t="s">
        <v>71</v>
      </c>
      <c r="AA182" s="18">
        <f t="shared" si="10"/>
        <v>366</v>
      </c>
      <c r="AB182" s="19">
        <f t="shared" ca="1" si="11"/>
        <v>45465</v>
      </c>
      <c r="AC182" s="20"/>
      <c r="AD182" s="19"/>
      <c r="AE182" s="98"/>
    </row>
    <row r="183" spans="1:31" x14ac:dyDescent="0.3">
      <c r="A183" s="108">
        <v>183</v>
      </c>
      <c r="B183" s="46">
        <v>45387</v>
      </c>
      <c r="D183" s="13" t="s">
        <v>185</v>
      </c>
      <c r="E183" s="13" t="s">
        <v>51</v>
      </c>
      <c r="F183" s="13" t="s">
        <v>52</v>
      </c>
      <c r="G183" s="14" t="s">
        <v>155</v>
      </c>
      <c r="H183" s="14">
        <v>4188707</v>
      </c>
      <c r="I183" s="14" t="s">
        <v>380</v>
      </c>
      <c r="K183" s="21"/>
      <c r="L183" s="21"/>
      <c r="Q183" s="14" t="s">
        <v>6</v>
      </c>
      <c r="R183" s="14" t="s">
        <v>115</v>
      </c>
      <c r="T183" s="15"/>
      <c r="U183" s="15"/>
      <c r="V183" s="16">
        <v>1363.41</v>
      </c>
      <c r="X183" s="14" t="s">
        <v>136</v>
      </c>
      <c r="Z183" s="14" t="s">
        <v>71</v>
      </c>
      <c r="AA183" s="18">
        <f t="shared" si="10"/>
        <v>366</v>
      </c>
      <c r="AB183" s="19">
        <f t="shared" ca="1" si="11"/>
        <v>45465</v>
      </c>
      <c r="AC183" s="20"/>
      <c r="AD183" s="19"/>
      <c r="AE183" s="98"/>
    </row>
    <row r="184" spans="1:31" x14ac:dyDescent="0.3">
      <c r="A184" s="105">
        <v>184</v>
      </c>
      <c r="B184" s="46">
        <v>45387</v>
      </c>
      <c r="D184" s="13" t="s">
        <v>185</v>
      </c>
      <c r="E184" s="13" t="s">
        <v>51</v>
      </c>
      <c r="F184" s="13" t="s">
        <v>52</v>
      </c>
      <c r="G184" s="14" t="s">
        <v>155</v>
      </c>
      <c r="H184" s="14">
        <v>4188708</v>
      </c>
      <c r="I184" s="14" t="s">
        <v>381</v>
      </c>
      <c r="K184" s="21"/>
      <c r="L184" s="21"/>
      <c r="Q184" s="14" t="s">
        <v>6</v>
      </c>
      <c r="R184" s="14" t="s">
        <v>115</v>
      </c>
      <c r="T184" s="15"/>
      <c r="U184" s="15"/>
      <c r="V184" s="16">
        <v>1375.11</v>
      </c>
      <c r="X184" s="14" t="s">
        <v>136</v>
      </c>
      <c r="Z184" s="14" t="s">
        <v>71</v>
      </c>
      <c r="AA184" s="18">
        <f t="shared" si="10"/>
        <v>366</v>
      </c>
      <c r="AB184" s="19">
        <f t="shared" ca="1" si="11"/>
        <v>45465</v>
      </c>
      <c r="AC184" s="20"/>
      <c r="AD184" s="19"/>
      <c r="AE184" s="98"/>
    </row>
    <row r="185" spans="1:31" x14ac:dyDescent="0.3">
      <c r="A185" s="107">
        <v>185</v>
      </c>
      <c r="B185" s="46">
        <v>45387</v>
      </c>
      <c r="D185" s="13" t="s">
        <v>185</v>
      </c>
      <c r="E185" s="13" t="s">
        <v>51</v>
      </c>
      <c r="F185" s="13" t="s">
        <v>52</v>
      </c>
      <c r="G185" s="14" t="s">
        <v>155</v>
      </c>
      <c r="H185" s="14">
        <v>4188722</v>
      </c>
      <c r="I185" s="14" t="s">
        <v>384</v>
      </c>
      <c r="K185" s="21"/>
      <c r="L185" s="21"/>
      <c r="Q185" s="14" t="s">
        <v>6</v>
      </c>
      <c r="R185" s="14" t="s">
        <v>115</v>
      </c>
      <c r="T185" s="15"/>
      <c r="U185" s="15"/>
      <c r="V185" s="16">
        <v>1363.17</v>
      </c>
      <c r="X185" s="14" t="s">
        <v>136</v>
      </c>
      <c r="Z185" s="14" t="s">
        <v>71</v>
      </c>
      <c r="AA185" s="18">
        <f t="shared" si="10"/>
        <v>366</v>
      </c>
      <c r="AB185" s="19">
        <f t="shared" ca="1" si="11"/>
        <v>45465</v>
      </c>
      <c r="AC185" s="20"/>
      <c r="AD185" s="19"/>
      <c r="AE185" s="98"/>
    </row>
    <row r="186" spans="1:31" x14ac:dyDescent="0.3">
      <c r="A186" s="108">
        <v>186</v>
      </c>
      <c r="B186" s="46">
        <v>45387</v>
      </c>
      <c r="D186" s="13" t="s">
        <v>185</v>
      </c>
      <c r="E186" s="13" t="s">
        <v>51</v>
      </c>
      <c r="F186" s="13" t="s">
        <v>52</v>
      </c>
      <c r="G186" s="14" t="s">
        <v>155</v>
      </c>
      <c r="H186" s="14">
        <v>4188749</v>
      </c>
      <c r="I186" s="14" t="s">
        <v>384</v>
      </c>
      <c r="K186" s="21"/>
      <c r="L186" s="21"/>
      <c r="Q186" s="14" t="s">
        <v>6</v>
      </c>
      <c r="R186" s="14" t="s">
        <v>320</v>
      </c>
      <c r="T186" s="15"/>
      <c r="U186" s="15"/>
      <c r="V186" s="16">
        <v>525.34</v>
      </c>
      <c r="X186" s="14" t="s">
        <v>136</v>
      </c>
      <c r="Z186" s="14" t="s">
        <v>71</v>
      </c>
      <c r="AA186" s="18">
        <f t="shared" si="10"/>
        <v>366</v>
      </c>
      <c r="AB186" s="19">
        <f t="shared" ca="1" si="11"/>
        <v>45465</v>
      </c>
      <c r="AC186" s="20"/>
      <c r="AD186" s="19"/>
      <c r="AE186" s="98"/>
    </row>
    <row r="187" spans="1:31" x14ac:dyDescent="0.3">
      <c r="A187" s="105">
        <v>187</v>
      </c>
      <c r="B187" s="46">
        <v>45387</v>
      </c>
      <c r="D187" s="13" t="s">
        <v>185</v>
      </c>
      <c r="E187" s="13" t="s">
        <v>51</v>
      </c>
      <c r="F187" s="13" t="s">
        <v>52</v>
      </c>
      <c r="G187" s="14" t="s">
        <v>98</v>
      </c>
      <c r="H187" s="14">
        <v>4188733</v>
      </c>
      <c r="I187" s="14" t="s">
        <v>382</v>
      </c>
      <c r="K187" s="21"/>
      <c r="L187" s="21"/>
      <c r="Q187" s="14" t="s">
        <v>6</v>
      </c>
      <c r="R187" s="14" t="s">
        <v>80</v>
      </c>
      <c r="T187" s="15"/>
      <c r="U187" s="15"/>
      <c r="V187" s="16">
        <v>835.06</v>
      </c>
      <c r="X187" s="14" t="s">
        <v>136</v>
      </c>
      <c r="Z187" s="14" t="s">
        <v>71</v>
      </c>
      <c r="AA187" s="18">
        <f t="shared" si="10"/>
        <v>366</v>
      </c>
      <c r="AB187" s="19">
        <f t="shared" ca="1" si="11"/>
        <v>45465</v>
      </c>
      <c r="AC187" s="20"/>
      <c r="AD187" s="19"/>
      <c r="AE187" s="98"/>
    </row>
    <row r="188" spans="1:31" x14ac:dyDescent="0.3">
      <c r="A188" s="107">
        <v>188</v>
      </c>
      <c r="B188" s="46">
        <v>45387</v>
      </c>
      <c r="D188" s="13" t="s">
        <v>185</v>
      </c>
      <c r="E188" s="13" t="s">
        <v>51</v>
      </c>
      <c r="F188" s="13" t="s">
        <v>52</v>
      </c>
      <c r="G188" s="14" t="s">
        <v>78</v>
      </c>
      <c r="I188" s="14" t="s">
        <v>385</v>
      </c>
      <c r="K188" s="21"/>
      <c r="L188" s="21"/>
      <c r="Q188" s="14" t="s">
        <v>2</v>
      </c>
      <c r="R188" s="14" t="s">
        <v>143</v>
      </c>
      <c r="T188" s="15"/>
      <c r="U188" s="15"/>
      <c r="V188" s="16">
        <v>1065.72</v>
      </c>
      <c r="X188" s="14" t="s">
        <v>136</v>
      </c>
      <c r="Z188" s="14" t="s">
        <v>71</v>
      </c>
      <c r="AA188" s="18">
        <f t="shared" si="10"/>
        <v>366</v>
      </c>
      <c r="AB188" s="19">
        <f t="shared" ca="1" si="11"/>
        <v>45465</v>
      </c>
      <c r="AC188" s="20"/>
      <c r="AD188" s="19"/>
      <c r="AE188" s="98"/>
    </row>
    <row r="189" spans="1:31" x14ac:dyDescent="0.3">
      <c r="A189" s="108">
        <v>189</v>
      </c>
      <c r="B189" s="46">
        <v>45387</v>
      </c>
      <c r="D189" s="13" t="s">
        <v>185</v>
      </c>
      <c r="E189" s="13" t="s">
        <v>51</v>
      </c>
      <c r="F189" s="13" t="s">
        <v>52</v>
      </c>
      <c r="G189" s="14" t="s">
        <v>118</v>
      </c>
      <c r="I189" s="14" t="s">
        <v>386</v>
      </c>
      <c r="K189" s="21"/>
      <c r="L189" s="21"/>
      <c r="Q189" s="14" t="s">
        <v>5</v>
      </c>
      <c r="R189" s="14" t="s">
        <v>387</v>
      </c>
      <c r="T189" s="15"/>
      <c r="U189" s="15"/>
      <c r="V189" s="16">
        <v>1313.04</v>
      </c>
      <c r="X189" s="14" t="s">
        <v>136</v>
      </c>
      <c r="Z189" s="14" t="s">
        <v>71</v>
      </c>
      <c r="AA189" s="18">
        <f t="shared" si="10"/>
        <v>366</v>
      </c>
      <c r="AB189" s="19">
        <f t="shared" ca="1" si="11"/>
        <v>45465</v>
      </c>
      <c r="AC189" s="20"/>
      <c r="AD189" s="19"/>
      <c r="AE189" s="98"/>
    </row>
    <row r="190" spans="1:31" x14ac:dyDescent="0.3">
      <c r="A190" s="105">
        <v>190</v>
      </c>
      <c r="B190" s="46">
        <v>45387</v>
      </c>
      <c r="D190" s="13" t="s">
        <v>185</v>
      </c>
      <c r="E190" s="13" t="s">
        <v>51</v>
      </c>
      <c r="F190" s="13" t="s">
        <v>52</v>
      </c>
      <c r="G190" s="14" t="s">
        <v>75</v>
      </c>
      <c r="H190" s="14">
        <v>4188777</v>
      </c>
      <c r="I190" s="14" t="s">
        <v>388</v>
      </c>
      <c r="K190" s="21"/>
      <c r="L190" s="21"/>
      <c r="Q190" s="14" t="s">
        <v>6</v>
      </c>
      <c r="R190" s="14" t="s">
        <v>389</v>
      </c>
      <c r="T190" s="15"/>
      <c r="U190" s="15"/>
      <c r="V190" s="16">
        <v>422.3</v>
      </c>
      <c r="X190" s="14" t="s">
        <v>136</v>
      </c>
      <c r="Z190" s="14" t="s">
        <v>71</v>
      </c>
      <c r="AA190" s="18">
        <f t="shared" si="10"/>
        <v>366</v>
      </c>
      <c r="AB190" s="19">
        <f t="shared" ca="1" si="11"/>
        <v>45465</v>
      </c>
      <c r="AC190" s="20"/>
      <c r="AD190" s="19"/>
      <c r="AE190" s="98"/>
    </row>
    <row r="191" spans="1:31" x14ac:dyDescent="0.3">
      <c r="A191" s="107">
        <v>191</v>
      </c>
      <c r="B191" s="46">
        <v>45387</v>
      </c>
      <c r="D191" s="13" t="s">
        <v>185</v>
      </c>
      <c r="E191" s="13" t="s">
        <v>51</v>
      </c>
      <c r="F191" s="13" t="s">
        <v>52</v>
      </c>
      <c r="G191" s="14" t="s">
        <v>60</v>
      </c>
      <c r="H191" s="14">
        <v>4188695</v>
      </c>
      <c r="I191" s="14" t="s">
        <v>379</v>
      </c>
      <c r="K191" s="21"/>
      <c r="L191" s="21"/>
      <c r="Q191" s="14" t="s">
        <v>6</v>
      </c>
      <c r="R191" s="14" t="s">
        <v>62</v>
      </c>
      <c r="T191" s="15"/>
      <c r="U191" s="15"/>
      <c r="V191" s="16">
        <v>1143.23</v>
      </c>
      <c r="X191" s="14" t="s">
        <v>136</v>
      </c>
      <c r="Z191" s="14" t="s">
        <v>71</v>
      </c>
      <c r="AA191" s="18">
        <f t="shared" si="10"/>
        <v>366</v>
      </c>
      <c r="AB191" s="19">
        <f t="shared" ca="1" si="11"/>
        <v>45465</v>
      </c>
      <c r="AC191" s="20"/>
      <c r="AD191" s="19"/>
      <c r="AE191" s="98"/>
    </row>
    <row r="192" spans="1:31" x14ac:dyDescent="0.3">
      <c r="A192" s="108">
        <v>192</v>
      </c>
      <c r="B192" s="46">
        <v>45391</v>
      </c>
      <c r="D192" s="13" t="s">
        <v>185</v>
      </c>
      <c r="E192" s="13" t="s">
        <v>51</v>
      </c>
      <c r="F192" s="13" t="s">
        <v>52</v>
      </c>
      <c r="G192" s="14" t="s">
        <v>57</v>
      </c>
      <c r="I192" s="14" t="s">
        <v>390</v>
      </c>
      <c r="K192" s="21"/>
      <c r="L192" s="21"/>
      <c r="Q192" s="14" t="s">
        <v>5</v>
      </c>
      <c r="R192" s="14" t="s">
        <v>391</v>
      </c>
      <c r="T192" s="15"/>
      <c r="U192" s="15"/>
      <c r="V192" s="16">
        <v>819.32</v>
      </c>
      <c r="X192" s="14" t="s">
        <v>136</v>
      </c>
      <c r="Z192" s="14" t="s">
        <v>71</v>
      </c>
      <c r="AA192" s="18">
        <f t="shared" si="10"/>
        <v>366</v>
      </c>
      <c r="AB192" s="19">
        <f t="shared" ca="1" si="11"/>
        <v>45465</v>
      </c>
      <c r="AC192" s="20"/>
      <c r="AD192" s="19"/>
      <c r="AE192" s="98"/>
    </row>
    <row r="193" spans="1:31" x14ac:dyDescent="0.3">
      <c r="A193" s="105">
        <v>193</v>
      </c>
      <c r="B193" s="46">
        <v>45391</v>
      </c>
      <c r="D193" s="13" t="s">
        <v>185</v>
      </c>
      <c r="E193" s="13" t="s">
        <v>51</v>
      </c>
      <c r="F193" s="13" t="s">
        <v>66</v>
      </c>
      <c r="G193" s="14" t="s">
        <v>13</v>
      </c>
      <c r="I193" s="14" t="s">
        <v>392</v>
      </c>
      <c r="J193" s="14" t="s">
        <v>28</v>
      </c>
      <c r="K193" s="21"/>
      <c r="L193" s="21"/>
      <c r="M193" s="14" t="s">
        <v>69</v>
      </c>
      <c r="N193" s="14" t="s">
        <v>70</v>
      </c>
      <c r="O193" s="14" t="s">
        <v>392</v>
      </c>
      <c r="P193" s="14" t="s">
        <v>71</v>
      </c>
      <c r="Q193" s="14" t="s">
        <v>307</v>
      </c>
      <c r="R193" s="14" t="s">
        <v>232</v>
      </c>
      <c r="S193" s="14" t="s">
        <v>71</v>
      </c>
      <c r="T193" s="15">
        <v>83.32</v>
      </c>
      <c r="U193" s="15"/>
      <c r="V193" s="16">
        <f>+Tabla1[[#This Row],[PAGO MENSUAL]]*12/(1.005)</f>
        <v>994.8656716417911</v>
      </c>
      <c r="X193" s="14" t="s">
        <v>136</v>
      </c>
      <c r="Z193" s="14" t="s">
        <v>71</v>
      </c>
      <c r="AA193" s="18">
        <f t="shared" si="10"/>
        <v>366</v>
      </c>
      <c r="AB193" s="19">
        <f t="shared" ca="1" si="11"/>
        <v>45465</v>
      </c>
      <c r="AC193" s="20"/>
      <c r="AD193" s="19"/>
      <c r="AE193" s="98"/>
    </row>
    <row r="194" spans="1:31" x14ac:dyDescent="0.3">
      <c r="A194" s="107">
        <v>194</v>
      </c>
      <c r="B194" s="46">
        <v>45392</v>
      </c>
      <c r="D194" s="13" t="s">
        <v>185</v>
      </c>
      <c r="E194" s="13" t="s">
        <v>51</v>
      </c>
      <c r="F194" s="13" t="s">
        <v>52</v>
      </c>
      <c r="G194" s="14" t="s">
        <v>53</v>
      </c>
      <c r="H194" s="14">
        <v>4188773</v>
      </c>
      <c r="I194" s="14" t="s">
        <v>394</v>
      </c>
      <c r="K194" s="21"/>
      <c r="L194" s="21"/>
      <c r="Q194" s="14" t="s">
        <v>395</v>
      </c>
      <c r="R194" s="14" t="s">
        <v>96</v>
      </c>
      <c r="T194" s="15"/>
      <c r="U194" s="15"/>
      <c r="V194" s="16">
        <v>1056.9100000000001</v>
      </c>
      <c r="AB194" s="19"/>
      <c r="AC194" s="20"/>
      <c r="AD194" s="19"/>
      <c r="AE194" s="98"/>
    </row>
    <row r="195" spans="1:31" x14ac:dyDescent="0.3">
      <c r="A195" s="108">
        <v>195</v>
      </c>
      <c r="B195" s="46">
        <v>45392</v>
      </c>
      <c r="D195" s="13" t="s">
        <v>185</v>
      </c>
      <c r="E195" s="13" t="s">
        <v>51</v>
      </c>
      <c r="F195" s="13" t="s">
        <v>52</v>
      </c>
      <c r="G195" s="14" t="s">
        <v>396</v>
      </c>
      <c r="H195" s="14">
        <v>15997</v>
      </c>
      <c r="I195" s="14" t="s">
        <v>397</v>
      </c>
      <c r="K195" s="21"/>
      <c r="L195" s="21"/>
      <c r="Q195" s="14" t="s">
        <v>307</v>
      </c>
      <c r="R195" s="14" t="s">
        <v>327</v>
      </c>
      <c r="T195" s="15"/>
      <c r="U195" s="15"/>
      <c r="V195" s="16">
        <v>795.08</v>
      </c>
      <c r="AB195" s="19"/>
      <c r="AC195" s="20"/>
      <c r="AD195" s="19"/>
      <c r="AE195" s="98"/>
    </row>
    <row r="196" spans="1:31" x14ac:dyDescent="0.3">
      <c r="A196" s="105">
        <v>196</v>
      </c>
      <c r="B196" s="46">
        <v>45392</v>
      </c>
      <c r="D196" s="13" t="s">
        <v>185</v>
      </c>
      <c r="E196" s="13" t="s">
        <v>51</v>
      </c>
      <c r="F196" s="13" t="s">
        <v>66</v>
      </c>
      <c r="G196" s="14" t="s">
        <v>11</v>
      </c>
      <c r="I196" s="14" t="s">
        <v>393</v>
      </c>
      <c r="K196" s="21">
        <v>930886296</v>
      </c>
      <c r="L196" s="21">
        <v>993517739</v>
      </c>
      <c r="M196" s="14" t="s">
        <v>88</v>
      </c>
      <c r="N196" s="14" t="s">
        <v>108</v>
      </c>
      <c r="Q196" s="14" t="s">
        <v>4</v>
      </c>
      <c r="T196" s="15"/>
      <c r="U196" s="15">
        <v>1090.5</v>
      </c>
      <c r="V196" s="16">
        <f>+Tabla1[[#This Row],[PAGO ANUAL]]</f>
        <v>1090.5</v>
      </c>
      <c r="X196" s="14" t="s">
        <v>136</v>
      </c>
      <c r="Z196" s="14" t="s">
        <v>71</v>
      </c>
      <c r="AA196" s="18">
        <f>+DATE(YEAR(C196)+1,MONTH(C196),DAY(C196))</f>
        <v>366</v>
      </c>
      <c r="AB196" s="19">
        <f ca="1">+TODAY()-AA196</f>
        <v>45465</v>
      </c>
      <c r="AC196" s="20"/>
      <c r="AD196" s="19"/>
      <c r="AE196" s="98"/>
    </row>
    <row r="197" spans="1:31" x14ac:dyDescent="0.3">
      <c r="A197" s="107">
        <v>197</v>
      </c>
      <c r="B197" s="46">
        <v>45392</v>
      </c>
      <c r="D197" s="13" t="s">
        <v>185</v>
      </c>
      <c r="E197" s="13" t="s">
        <v>51</v>
      </c>
      <c r="F197" s="13" t="s">
        <v>66</v>
      </c>
      <c r="G197" s="14" t="s">
        <v>11</v>
      </c>
      <c r="I197" s="14" t="s">
        <v>373</v>
      </c>
      <c r="K197" s="21">
        <v>802263442</v>
      </c>
      <c r="L197" s="21">
        <v>987685933</v>
      </c>
      <c r="M197" s="14" t="s">
        <v>88</v>
      </c>
      <c r="N197" s="14" t="s">
        <v>108</v>
      </c>
      <c r="Q197" s="14" t="s">
        <v>4</v>
      </c>
      <c r="T197" s="15"/>
      <c r="U197" s="15">
        <v>1911</v>
      </c>
      <c r="V197" s="16">
        <f>+Tabla1[[#This Row],[PAGO ANUAL]]</f>
        <v>1911</v>
      </c>
      <c r="X197" s="14" t="s">
        <v>136</v>
      </c>
      <c r="Z197" s="14" t="s">
        <v>71</v>
      </c>
      <c r="AA197" s="18">
        <f>+DATE(YEAR(C197)+1,MONTH(C197),DAY(C197))</f>
        <v>366</v>
      </c>
      <c r="AB197" s="19">
        <f ca="1">+TODAY()-AA197</f>
        <v>45465</v>
      </c>
      <c r="AC197" s="20"/>
      <c r="AD197" s="19"/>
      <c r="AE197" s="98"/>
    </row>
    <row r="198" spans="1:31" x14ac:dyDescent="0.3">
      <c r="A198" s="108">
        <v>198</v>
      </c>
      <c r="B198" s="46">
        <v>45393</v>
      </c>
      <c r="D198" s="13" t="s">
        <v>185</v>
      </c>
      <c r="E198" s="13" t="s">
        <v>51</v>
      </c>
      <c r="F198" s="13" t="s">
        <v>52</v>
      </c>
      <c r="G198" s="14" t="s">
        <v>155</v>
      </c>
      <c r="H198" s="14">
        <v>4189058</v>
      </c>
      <c r="I198" s="14" t="s">
        <v>398</v>
      </c>
      <c r="K198" s="21"/>
      <c r="L198" s="21"/>
      <c r="Q198" s="14" t="s">
        <v>399</v>
      </c>
      <c r="R198" s="14" t="s">
        <v>400</v>
      </c>
      <c r="T198" s="15"/>
      <c r="U198" s="15"/>
      <c r="V198" s="16">
        <v>4817.75</v>
      </c>
      <c r="AB198" s="19"/>
      <c r="AC198" s="20"/>
      <c r="AD198" s="19"/>
      <c r="AE198" s="98"/>
    </row>
    <row r="199" spans="1:31" x14ac:dyDescent="0.3">
      <c r="A199" s="105">
        <v>199</v>
      </c>
      <c r="B199" s="46">
        <v>45393</v>
      </c>
      <c r="D199" s="13" t="s">
        <v>185</v>
      </c>
      <c r="E199" s="13" t="s">
        <v>51</v>
      </c>
      <c r="F199" s="13" t="s">
        <v>52</v>
      </c>
      <c r="G199" s="14" t="s">
        <v>155</v>
      </c>
      <c r="H199" s="14">
        <v>4189013</v>
      </c>
      <c r="I199" s="14" t="s">
        <v>402</v>
      </c>
      <c r="K199" s="21"/>
      <c r="L199" s="21"/>
      <c r="Q199" s="14" t="s">
        <v>395</v>
      </c>
      <c r="R199" s="14" t="s">
        <v>115</v>
      </c>
      <c r="T199" s="15"/>
      <c r="U199" s="15"/>
      <c r="V199" s="16">
        <v>501.7</v>
      </c>
      <c r="AB199" s="19"/>
      <c r="AC199" s="20"/>
      <c r="AD199" s="19"/>
      <c r="AE199" s="98"/>
    </row>
    <row r="200" spans="1:31" x14ac:dyDescent="0.3">
      <c r="A200" s="107">
        <v>200</v>
      </c>
      <c r="B200" s="46">
        <v>45393</v>
      </c>
      <c r="D200" s="13" t="s">
        <v>185</v>
      </c>
      <c r="E200" s="13" t="s">
        <v>51</v>
      </c>
      <c r="F200" s="13" t="s">
        <v>52</v>
      </c>
      <c r="G200" s="14" t="s">
        <v>98</v>
      </c>
      <c r="I200" s="14" t="s">
        <v>403</v>
      </c>
      <c r="K200" s="21"/>
      <c r="L200" s="21"/>
      <c r="Q200" s="14" t="s">
        <v>404</v>
      </c>
      <c r="R200" s="14" t="s">
        <v>405</v>
      </c>
      <c r="T200" s="15"/>
      <c r="U200" s="15"/>
      <c r="V200" s="16">
        <v>2450.09</v>
      </c>
      <c r="AB200" s="19"/>
      <c r="AC200" s="20"/>
      <c r="AD200" s="19"/>
      <c r="AE200" s="98"/>
    </row>
    <row r="201" spans="1:31" x14ac:dyDescent="0.3">
      <c r="A201" s="108">
        <v>201</v>
      </c>
      <c r="B201" s="46">
        <v>45393</v>
      </c>
      <c r="D201" s="13" t="s">
        <v>185</v>
      </c>
      <c r="E201" s="13" t="s">
        <v>51</v>
      </c>
      <c r="F201" s="13" t="s">
        <v>52</v>
      </c>
      <c r="G201" s="14" t="s">
        <v>377</v>
      </c>
      <c r="H201" s="14">
        <v>4189023</v>
      </c>
      <c r="I201" s="14" t="s">
        <v>401</v>
      </c>
      <c r="K201" s="21"/>
      <c r="L201" s="21"/>
      <c r="Q201" s="14" t="s">
        <v>395</v>
      </c>
      <c r="R201" s="14" t="s">
        <v>96</v>
      </c>
      <c r="T201" s="15"/>
      <c r="U201" s="15"/>
      <c r="V201" s="16">
        <v>1378.93</v>
      </c>
      <c r="AB201" s="19"/>
      <c r="AC201" s="20"/>
      <c r="AD201" s="19"/>
      <c r="AE201" s="98"/>
    </row>
    <row r="202" spans="1:31" x14ac:dyDescent="0.3">
      <c r="A202" s="105">
        <v>202</v>
      </c>
      <c r="B202" s="46">
        <v>45394</v>
      </c>
      <c r="D202" s="13" t="s">
        <v>185</v>
      </c>
      <c r="E202" s="13" t="s">
        <v>51</v>
      </c>
      <c r="F202" s="13" t="s">
        <v>52</v>
      </c>
      <c r="G202" s="14" t="s">
        <v>57</v>
      </c>
      <c r="H202" s="14" t="s">
        <v>412</v>
      </c>
      <c r="I202" s="14" t="s">
        <v>413</v>
      </c>
      <c r="K202" s="21"/>
      <c r="L202" s="21"/>
      <c r="Q202" s="14" t="s">
        <v>414</v>
      </c>
      <c r="R202" s="14" t="s">
        <v>64</v>
      </c>
      <c r="T202" s="15"/>
      <c r="U202" s="15"/>
      <c r="V202" s="16">
        <v>718.28</v>
      </c>
      <c r="AB202" s="19"/>
      <c r="AC202" s="20"/>
      <c r="AD202" s="19"/>
      <c r="AE202" s="98"/>
    </row>
    <row r="203" spans="1:31" x14ac:dyDescent="0.3">
      <c r="A203" s="107">
        <v>203</v>
      </c>
      <c r="B203" s="46">
        <v>45394</v>
      </c>
      <c r="D203" s="13" t="s">
        <v>185</v>
      </c>
      <c r="E203" s="13" t="s">
        <v>51</v>
      </c>
      <c r="F203" s="13" t="s">
        <v>52</v>
      </c>
      <c r="G203" s="14" t="s">
        <v>90</v>
      </c>
      <c r="H203" s="14">
        <v>4189058</v>
      </c>
      <c r="I203" s="14" t="s">
        <v>411</v>
      </c>
      <c r="K203" s="21"/>
      <c r="L203" s="21"/>
      <c r="Q203" s="14" t="s">
        <v>6</v>
      </c>
      <c r="R203" s="14" t="s">
        <v>115</v>
      </c>
      <c r="T203" s="15"/>
      <c r="U203" s="15"/>
      <c r="V203" s="16">
        <v>501.7</v>
      </c>
      <c r="X203" s="14" t="s">
        <v>136</v>
      </c>
      <c r="Z203" s="14" t="s">
        <v>71</v>
      </c>
      <c r="AA203" s="18">
        <f t="shared" ref="AA203:AA232" si="12">+DATE(YEAR(C203)+1,MONTH(C203),DAY(C203))</f>
        <v>366</v>
      </c>
      <c r="AB203" s="19">
        <f t="shared" ref="AB203:AB232" ca="1" si="13">+TODAY()-AA203</f>
        <v>45465</v>
      </c>
      <c r="AC203" s="20"/>
      <c r="AD203" s="19"/>
      <c r="AE203" s="98"/>
    </row>
    <row r="204" spans="1:31" x14ac:dyDescent="0.3">
      <c r="A204" s="108">
        <v>204</v>
      </c>
      <c r="B204" s="46">
        <v>45394</v>
      </c>
      <c r="D204" s="13" t="s">
        <v>185</v>
      </c>
      <c r="E204" s="13" t="s">
        <v>51</v>
      </c>
      <c r="F204" s="13" t="s">
        <v>52</v>
      </c>
      <c r="G204" s="14" t="s">
        <v>60</v>
      </c>
      <c r="H204" s="14">
        <v>4188773</v>
      </c>
      <c r="I204" s="14" t="s">
        <v>409</v>
      </c>
      <c r="K204" s="21"/>
      <c r="L204" s="21"/>
      <c r="Q204" s="14" t="s">
        <v>6</v>
      </c>
      <c r="R204" s="14" t="s">
        <v>62</v>
      </c>
      <c r="T204" s="15"/>
      <c r="U204" s="15"/>
      <c r="V204" s="16">
        <v>690.47</v>
      </c>
      <c r="X204" s="14" t="s">
        <v>136</v>
      </c>
      <c r="Z204" s="14" t="s">
        <v>71</v>
      </c>
      <c r="AA204" s="18">
        <f t="shared" si="12"/>
        <v>366</v>
      </c>
      <c r="AB204" s="19">
        <f t="shared" ca="1" si="13"/>
        <v>45465</v>
      </c>
      <c r="AC204" s="20"/>
      <c r="AD204" s="19"/>
      <c r="AE204" s="98"/>
    </row>
    <row r="205" spans="1:31" x14ac:dyDescent="0.3">
      <c r="A205" s="105">
        <v>205</v>
      </c>
      <c r="B205" s="46">
        <v>45394</v>
      </c>
      <c r="D205" s="13" t="s">
        <v>185</v>
      </c>
      <c r="E205" s="13" t="s">
        <v>51</v>
      </c>
      <c r="F205" s="13" t="s">
        <v>52</v>
      </c>
      <c r="G205" s="14" t="s">
        <v>60</v>
      </c>
      <c r="H205" s="14">
        <v>4189099</v>
      </c>
      <c r="I205" s="14" t="s">
        <v>410</v>
      </c>
      <c r="K205" s="21"/>
      <c r="L205" s="21"/>
      <c r="Q205" s="14" t="s">
        <v>6</v>
      </c>
      <c r="R205" s="14" t="s">
        <v>115</v>
      </c>
      <c r="T205" s="15"/>
      <c r="U205" s="15"/>
      <c r="V205" s="16">
        <v>889.63</v>
      </c>
      <c r="X205" s="14" t="s">
        <v>136</v>
      </c>
      <c r="Z205" s="14" t="s">
        <v>71</v>
      </c>
      <c r="AA205" s="18">
        <f t="shared" si="12"/>
        <v>366</v>
      </c>
      <c r="AB205" s="19">
        <f t="shared" ca="1" si="13"/>
        <v>45465</v>
      </c>
      <c r="AC205" s="20"/>
      <c r="AD205" s="19"/>
      <c r="AE205" s="98"/>
    </row>
    <row r="206" spans="1:31" x14ac:dyDescent="0.3">
      <c r="A206" s="107">
        <v>206</v>
      </c>
      <c r="B206" s="46">
        <v>45394</v>
      </c>
      <c r="D206" s="13" t="s">
        <v>185</v>
      </c>
      <c r="E206" s="13" t="s">
        <v>51</v>
      </c>
      <c r="F206" s="13" t="s">
        <v>66</v>
      </c>
      <c r="G206" s="14" t="s">
        <v>11</v>
      </c>
      <c r="I206" s="14" t="s">
        <v>406</v>
      </c>
      <c r="J206" s="14" t="s">
        <v>28</v>
      </c>
      <c r="K206" s="21">
        <v>909365785</v>
      </c>
      <c r="L206" s="21">
        <v>963645626</v>
      </c>
      <c r="M206" s="14" t="s">
        <v>69</v>
      </c>
      <c r="N206" s="14" t="s">
        <v>108</v>
      </c>
      <c r="O206" s="14" t="s">
        <v>406</v>
      </c>
      <c r="P206" s="14" t="s">
        <v>71</v>
      </c>
      <c r="Q206" s="14" t="s">
        <v>407</v>
      </c>
      <c r="R206" s="14" t="s">
        <v>408</v>
      </c>
      <c r="T206" s="15">
        <v>104.68</v>
      </c>
      <c r="U206" s="15"/>
      <c r="V206" s="16">
        <f>+(T206*12)/1.005</f>
        <v>1249.9104477611943</v>
      </c>
      <c r="X206" s="14" t="s">
        <v>136</v>
      </c>
      <c r="Z206" s="14" t="s">
        <v>71</v>
      </c>
      <c r="AA206" s="18">
        <f t="shared" si="12"/>
        <v>366</v>
      </c>
      <c r="AB206" s="19">
        <f t="shared" ca="1" si="13"/>
        <v>45465</v>
      </c>
      <c r="AC206" s="20"/>
      <c r="AD206" s="19"/>
      <c r="AE206" s="98"/>
    </row>
    <row r="207" spans="1:31" x14ac:dyDescent="0.3">
      <c r="A207" s="108">
        <v>207</v>
      </c>
      <c r="B207" s="46">
        <v>45397</v>
      </c>
      <c r="D207" s="13" t="s">
        <v>185</v>
      </c>
      <c r="E207" s="13" t="s">
        <v>51</v>
      </c>
      <c r="F207" s="13" t="s">
        <v>66</v>
      </c>
      <c r="G207" s="14" t="s">
        <v>218</v>
      </c>
      <c r="I207" s="14" t="s">
        <v>416</v>
      </c>
      <c r="J207" s="14" t="s">
        <v>28</v>
      </c>
      <c r="K207" s="21">
        <v>912634854</v>
      </c>
      <c r="L207" s="21">
        <v>987383545</v>
      </c>
      <c r="M207" s="14" t="s">
        <v>88</v>
      </c>
      <c r="N207" s="14" t="s">
        <v>70</v>
      </c>
      <c r="O207" s="14" t="s">
        <v>417</v>
      </c>
      <c r="P207" s="14" t="s">
        <v>71</v>
      </c>
      <c r="Q207" s="14" t="s">
        <v>5</v>
      </c>
      <c r="R207" s="14" t="s">
        <v>295</v>
      </c>
      <c r="S207" s="14" t="s">
        <v>71</v>
      </c>
      <c r="T207" s="15">
        <v>194.66</v>
      </c>
      <c r="U207" s="15"/>
      <c r="V207" s="16">
        <f>+T207*12/(1.005)</f>
        <v>2324.2985074626868</v>
      </c>
      <c r="X207" s="14" t="s">
        <v>136</v>
      </c>
      <c r="Z207" s="14" t="s">
        <v>71</v>
      </c>
      <c r="AA207" s="18">
        <f t="shared" si="12"/>
        <v>366</v>
      </c>
      <c r="AB207" s="19">
        <f t="shared" ca="1" si="13"/>
        <v>45465</v>
      </c>
      <c r="AC207" s="20"/>
      <c r="AD207" s="19"/>
      <c r="AE207" s="98"/>
    </row>
    <row r="208" spans="1:31" x14ac:dyDescent="0.3">
      <c r="A208" s="105">
        <v>208</v>
      </c>
      <c r="B208" s="46">
        <v>45397</v>
      </c>
      <c r="D208" s="13" t="s">
        <v>185</v>
      </c>
      <c r="E208" s="13" t="s">
        <v>51</v>
      </c>
      <c r="F208" s="13" t="s">
        <v>66</v>
      </c>
      <c r="G208" s="14" t="s">
        <v>218</v>
      </c>
      <c r="I208" s="14" t="s">
        <v>418</v>
      </c>
      <c r="J208" s="14" t="s">
        <v>28</v>
      </c>
      <c r="K208" s="21">
        <v>903477420</v>
      </c>
      <c r="L208" s="21">
        <v>997721266</v>
      </c>
      <c r="M208" s="14" t="s">
        <v>88</v>
      </c>
      <c r="N208" s="14" t="s">
        <v>70</v>
      </c>
      <c r="O208" s="14" t="s">
        <v>418</v>
      </c>
      <c r="P208" s="14" t="s">
        <v>71</v>
      </c>
      <c r="Q208" s="14" t="s">
        <v>5</v>
      </c>
      <c r="R208" s="14" t="s">
        <v>232</v>
      </c>
      <c r="T208" s="15">
        <v>440.41</v>
      </c>
      <c r="U208" s="15"/>
      <c r="V208" s="16">
        <f>+T208*12/(1.005)</f>
        <v>5258.626865671642</v>
      </c>
      <c r="X208" s="14" t="s">
        <v>136</v>
      </c>
      <c r="Z208" s="14" t="s">
        <v>71</v>
      </c>
      <c r="AA208" s="18">
        <f t="shared" si="12"/>
        <v>366</v>
      </c>
      <c r="AB208" s="19">
        <f t="shared" ca="1" si="13"/>
        <v>45465</v>
      </c>
      <c r="AC208" s="20"/>
      <c r="AD208" s="19"/>
      <c r="AE208" s="98"/>
    </row>
    <row r="209" spans="1:31" x14ac:dyDescent="0.3">
      <c r="A209" s="107">
        <v>209</v>
      </c>
      <c r="B209" s="46">
        <v>45397</v>
      </c>
      <c r="D209" s="13" t="s">
        <v>185</v>
      </c>
      <c r="E209" s="13" t="s">
        <v>51</v>
      </c>
      <c r="F209" s="13" t="s">
        <v>66</v>
      </c>
      <c r="G209" s="14" t="s">
        <v>175</v>
      </c>
      <c r="I209" s="14" t="s">
        <v>415</v>
      </c>
      <c r="J209" s="14" t="s">
        <v>28</v>
      </c>
      <c r="K209" s="21">
        <v>925756132</v>
      </c>
      <c r="L209" s="21">
        <v>980751941</v>
      </c>
      <c r="M209" s="14" t="s">
        <v>69</v>
      </c>
      <c r="N209" s="14" t="s">
        <v>70</v>
      </c>
      <c r="O209" s="14" t="s">
        <v>415</v>
      </c>
      <c r="P209" s="14" t="s">
        <v>71</v>
      </c>
      <c r="Q209" s="14" t="s">
        <v>5</v>
      </c>
      <c r="R209" s="14" t="s">
        <v>232</v>
      </c>
      <c r="S209" s="14" t="s">
        <v>71</v>
      </c>
      <c r="T209" s="15">
        <v>83.32</v>
      </c>
      <c r="U209" s="15"/>
      <c r="V209" s="16">
        <f>+T209*12/(1.005)</f>
        <v>994.8656716417911</v>
      </c>
      <c r="X209" s="14" t="s">
        <v>136</v>
      </c>
      <c r="Z209" s="14" t="s">
        <v>71</v>
      </c>
      <c r="AA209" s="18">
        <f t="shared" si="12"/>
        <v>366</v>
      </c>
      <c r="AB209" s="19">
        <f t="shared" ca="1" si="13"/>
        <v>45465</v>
      </c>
      <c r="AC209" s="20"/>
      <c r="AD209" s="19"/>
      <c r="AE209" s="98"/>
    </row>
    <row r="210" spans="1:31" x14ac:dyDescent="0.3">
      <c r="A210" s="108">
        <v>210</v>
      </c>
      <c r="B210" s="46">
        <v>45398</v>
      </c>
      <c r="D210" s="13" t="s">
        <v>185</v>
      </c>
      <c r="E210" s="13" t="s">
        <v>51</v>
      </c>
      <c r="F210" s="13" t="s">
        <v>52</v>
      </c>
      <c r="G210" s="14" t="s">
        <v>377</v>
      </c>
      <c r="H210" s="14">
        <v>4189251</v>
      </c>
      <c r="I210" s="14" t="s">
        <v>419</v>
      </c>
      <c r="K210" s="21"/>
      <c r="L210" s="21"/>
      <c r="Q210" s="14" t="s">
        <v>6</v>
      </c>
      <c r="R210" s="14" t="s">
        <v>265</v>
      </c>
      <c r="T210" s="15"/>
      <c r="U210" s="15"/>
      <c r="V210" s="16">
        <v>1446.15</v>
      </c>
      <c r="X210" s="14" t="s">
        <v>136</v>
      </c>
      <c r="Z210" s="14" t="s">
        <v>71</v>
      </c>
      <c r="AA210" s="18">
        <f t="shared" si="12"/>
        <v>366</v>
      </c>
      <c r="AB210" s="19">
        <f t="shared" ca="1" si="13"/>
        <v>45465</v>
      </c>
      <c r="AC210" s="20"/>
      <c r="AD210" s="19"/>
      <c r="AE210" s="98"/>
    </row>
    <row r="211" spans="1:31" x14ac:dyDescent="0.3">
      <c r="A211" s="105">
        <v>211</v>
      </c>
      <c r="B211" s="46">
        <v>45399</v>
      </c>
      <c r="D211" s="13" t="s">
        <v>185</v>
      </c>
      <c r="E211" s="13" t="s">
        <v>51</v>
      </c>
      <c r="F211" s="13" t="s">
        <v>52</v>
      </c>
      <c r="G211" s="14" t="s">
        <v>155</v>
      </c>
      <c r="H211" s="14">
        <v>4189337</v>
      </c>
      <c r="I211" s="14" t="s">
        <v>423</v>
      </c>
      <c r="K211" s="21"/>
      <c r="L211" s="21"/>
      <c r="Q211" s="14" t="s">
        <v>6</v>
      </c>
      <c r="R211" s="14" t="s">
        <v>171</v>
      </c>
      <c r="T211" s="15"/>
      <c r="U211" s="15"/>
      <c r="V211" s="16">
        <v>1771.99</v>
      </c>
      <c r="X211" s="14" t="s">
        <v>136</v>
      </c>
      <c r="Z211" s="14" t="s">
        <v>71</v>
      </c>
      <c r="AA211" s="18">
        <f t="shared" si="12"/>
        <v>366</v>
      </c>
      <c r="AB211" s="19">
        <f t="shared" ca="1" si="13"/>
        <v>45465</v>
      </c>
      <c r="AC211" s="20"/>
      <c r="AD211" s="19"/>
      <c r="AE211" s="98"/>
    </row>
    <row r="212" spans="1:31" x14ac:dyDescent="0.3">
      <c r="A212" s="107">
        <v>212</v>
      </c>
      <c r="B212" s="46">
        <v>45399</v>
      </c>
      <c r="D212" s="13" t="s">
        <v>185</v>
      </c>
      <c r="E212" s="13" t="s">
        <v>51</v>
      </c>
      <c r="F212" s="13" t="s">
        <v>66</v>
      </c>
      <c r="G212" s="14" t="s">
        <v>11</v>
      </c>
      <c r="I212" s="14" t="s">
        <v>424</v>
      </c>
      <c r="J212" s="14" t="s">
        <v>208</v>
      </c>
      <c r="K212" s="21">
        <v>915484786</v>
      </c>
      <c r="L212" s="21">
        <v>994273356</v>
      </c>
      <c r="M212" s="14" t="s">
        <v>69</v>
      </c>
      <c r="N212" s="14" t="s">
        <v>70</v>
      </c>
      <c r="O212" s="14" t="s">
        <v>424</v>
      </c>
      <c r="P212" s="14" t="s">
        <v>71</v>
      </c>
      <c r="Q212" s="14" t="s">
        <v>3</v>
      </c>
      <c r="R212" s="14" t="s">
        <v>64</v>
      </c>
      <c r="S212" s="14" t="s">
        <v>71</v>
      </c>
      <c r="T212" s="15">
        <v>73.2</v>
      </c>
      <c r="U212" s="15"/>
      <c r="V212" s="16">
        <f>+(T212*12)/1.005-65</f>
        <v>809.02985074626883</v>
      </c>
      <c r="X212" s="14" t="s">
        <v>136</v>
      </c>
      <c r="Z212" s="14" t="s">
        <v>71</v>
      </c>
      <c r="AA212" s="18">
        <f t="shared" si="12"/>
        <v>366</v>
      </c>
      <c r="AB212" s="19">
        <f t="shared" ca="1" si="13"/>
        <v>45465</v>
      </c>
      <c r="AC212" s="20"/>
      <c r="AD212" s="19"/>
      <c r="AE212" s="98"/>
    </row>
    <row r="213" spans="1:31" x14ac:dyDescent="0.3">
      <c r="A213" s="108">
        <v>213</v>
      </c>
      <c r="B213" s="46">
        <v>45399</v>
      </c>
      <c r="D213" s="13" t="s">
        <v>185</v>
      </c>
      <c r="E213" s="13" t="s">
        <v>51</v>
      </c>
      <c r="F213" s="13" t="s">
        <v>66</v>
      </c>
      <c r="G213" s="14" t="s">
        <v>16</v>
      </c>
      <c r="I213" s="14" t="s">
        <v>420</v>
      </c>
      <c r="J213" s="14" t="s">
        <v>28</v>
      </c>
      <c r="K213" s="21">
        <v>952657385</v>
      </c>
      <c r="L213" s="21">
        <v>981813669</v>
      </c>
      <c r="M213" s="14" t="s">
        <v>69</v>
      </c>
      <c r="N213" s="14" t="s">
        <v>70</v>
      </c>
      <c r="O213" s="14" t="s">
        <v>420</v>
      </c>
      <c r="P213" s="14" t="s">
        <v>71</v>
      </c>
      <c r="Q213" s="14" t="s">
        <v>2</v>
      </c>
      <c r="R213" s="14" t="s">
        <v>421</v>
      </c>
      <c r="S213" s="14" t="s">
        <v>71</v>
      </c>
      <c r="T213" s="15">
        <v>51.84</v>
      </c>
      <c r="U213" s="15"/>
      <c r="V213" s="16">
        <f>+T213*12/(1.005)/1.07</f>
        <v>578.49072395034182</v>
      </c>
      <c r="X213" s="14" t="s">
        <v>136</v>
      </c>
      <c r="Z213" s="14" t="s">
        <v>71</v>
      </c>
      <c r="AA213" s="18">
        <f t="shared" si="12"/>
        <v>366</v>
      </c>
      <c r="AB213" s="19">
        <f t="shared" ca="1" si="13"/>
        <v>45465</v>
      </c>
      <c r="AC213" s="20"/>
      <c r="AD213" s="19"/>
      <c r="AE213" s="98"/>
    </row>
    <row r="214" spans="1:31" x14ac:dyDescent="0.3">
      <c r="A214" s="105">
        <v>214</v>
      </c>
      <c r="B214" s="46">
        <v>45399</v>
      </c>
      <c r="D214" s="13" t="s">
        <v>185</v>
      </c>
      <c r="E214" s="13" t="s">
        <v>51</v>
      </c>
      <c r="F214" s="13" t="s">
        <v>66</v>
      </c>
      <c r="G214" s="14" t="s">
        <v>16</v>
      </c>
      <c r="I214" s="14" t="s">
        <v>422</v>
      </c>
      <c r="J214" s="14" t="s">
        <v>28</v>
      </c>
      <c r="K214" s="21">
        <v>918943036</v>
      </c>
      <c r="L214" s="21">
        <v>992352131</v>
      </c>
      <c r="M214" s="14" t="s">
        <v>69</v>
      </c>
      <c r="N214" s="14" t="s">
        <v>70</v>
      </c>
      <c r="O214" s="14" t="s">
        <v>422</v>
      </c>
      <c r="P214" s="14" t="s">
        <v>71</v>
      </c>
      <c r="Q214" s="14" t="s">
        <v>2</v>
      </c>
      <c r="R214" s="14" t="s">
        <v>200</v>
      </c>
      <c r="S214" s="14" t="s">
        <v>71</v>
      </c>
      <c r="T214" s="15">
        <v>85.2</v>
      </c>
      <c r="U214" s="15"/>
      <c r="V214" s="16">
        <f>+T214*12/(1.005)/1.07</f>
        <v>950.76021760357105</v>
      </c>
      <c r="X214" s="14" t="s">
        <v>136</v>
      </c>
      <c r="Z214" s="14" t="s">
        <v>71</v>
      </c>
      <c r="AA214" s="18">
        <f t="shared" si="12"/>
        <v>366</v>
      </c>
      <c r="AB214" s="19">
        <f t="shared" ca="1" si="13"/>
        <v>45465</v>
      </c>
      <c r="AC214" s="20"/>
      <c r="AD214" s="19"/>
      <c r="AE214" s="98"/>
    </row>
    <row r="215" spans="1:31" x14ac:dyDescent="0.3">
      <c r="A215" s="107">
        <v>215</v>
      </c>
      <c r="B215" s="46">
        <v>45400</v>
      </c>
      <c r="D215" s="13" t="s">
        <v>185</v>
      </c>
      <c r="E215" s="13" t="s">
        <v>51</v>
      </c>
      <c r="F215" s="13" t="s">
        <v>66</v>
      </c>
      <c r="G215" s="14" t="s">
        <v>11</v>
      </c>
      <c r="I215" s="14" t="s">
        <v>424</v>
      </c>
      <c r="J215" s="14" t="s">
        <v>68</v>
      </c>
      <c r="K215" s="21">
        <v>915484786</v>
      </c>
      <c r="L215" s="21">
        <v>994273356</v>
      </c>
      <c r="M215" s="14" t="s">
        <v>69</v>
      </c>
      <c r="N215" s="14" t="s">
        <v>70</v>
      </c>
      <c r="O215" s="14" t="s">
        <v>424</v>
      </c>
      <c r="P215" s="14" t="s">
        <v>71</v>
      </c>
      <c r="Q215" s="14" t="s">
        <v>404</v>
      </c>
      <c r="R215" s="14" t="s">
        <v>248</v>
      </c>
      <c r="S215" s="14" t="s">
        <v>71</v>
      </c>
      <c r="T215" s="15">
        <v>144.35</v>
      </c>
      <c r="U215" s="15"/>
      <c r="V215" s="16">
        <f>+(T215*12)/1.005</f>
        <v>1723.5820895522388</v>
      </c>
      <c r="X215" s="14" t="s">
        <v>136</v>
      </c>
      <c r="Z215" s="14" t="s">
        <v>71</v>
      </c>
      <c r="AA215" s="18">
        <f t="shared" si="12"/>
        <v>366</v>
      </c>
      <c r="AB215" s="19">
        <f t="shared" ca="1" si="13"/>
        <v>45465</v>
      </c>
      <c r="AC215" s="20"/>
      <c r="AD215" s="19"/>
      <c r="AE215" s="98"/>
    </row>
    <row r="216" spans="1:31" x14ac:dyDescent="0.3">
      <c r="A216" s="108">
        <v>216</v>
      </c>
      <c r="B216" s="46">
        <v>45400</v>
      </c>
      <c r="D216" s="13" t="s">
        <v>185</v>
      </c>
      <c r="E216" s="13" t="s">
        <v>51</v>
      </c>
      <c r="F216" s="13" t="s">
        <v>66</v>
      </c>
      <c r="G216" s="14" t="s">
        <v>218</v>
      </c>
      <c r="I216" s="14" t="s">
        <v>425</v>
      </c>
      <c r="J216" s="14" t="s">
        <v>28</v>
      </c>
      <c r="K216" s="21">
        <v>923236293</v>
      </c>
      <c r="L216" s="21">
        <v>980025324</v>
      </c>
      <c r="M216" s="14" t="s">
        <v>88</v>
      </c>
      <c r="N216" s="14" t="s">
        <v>70</v>
      </c>
      <c r="O216" s="14" t="s">
        <v>425</v>
      </c>
      <c r="P216" s="14" t="s">
        <v>426</v>
      </c>
      <c r="Q216" s="14" t="s">
        <v>6</v>
      </c>
      <c r="R216" s="14" t="s">
        <v>122</v>
      </c>
      <c r="T216" s="15">
        <v>204.71</v>
      </c>
      <c r="U216" s="15"/>
      <c r="V216" s="16">
        <f>+Tabla1[[#This Row],[PAGO MENSUAL]]*12</f>
        <v>2456.52</v>
      </c>
      <c r="X216" s="14" t="s">
        <v>136</v>
      </c>
      <c r="Z216" s="14" t="s">
        <v>71</v>
      </c>
      <c r="AA216" s="18">
        <f t="shared" si="12"/>
        <v>366</v>
      </c>
      <c r="AB216" s="19">
        <f t="shared" ca="1" si="13"/>
        <v>45465</v>
      </c>
      <c r="AC216" s="20"/>
      <c r="AD216" s="19"/>
      <c r="AE216" s="98"/>
    </row>
    <row r="217" spans="1:31" x14ac:dyDescent="0.3">
      <c r="A217" s="105">
        <v>217</v>
      </c>
      <c r="B217" s="46">
        <v>45400</v>
      </c>
      <c r="D217" s="13" t="s">
        <v>185</v>
      </c>
      <c r="E217" s="13" t="s">
        <v>51</v>
      </c>
      <c r="F217" s="13" t="s">
        <v>66</v>
      </c>
      <c r="G217" s="14" t="s">
        <v>14</v>
      </c>
      <c r="I217" s="14" t="s">
        <v>427</v>
      </c>
      <c r="J217" s="14" t="s">
        <v>28</v>
      </c>
      <c r="K217" s="21">
        <v>903567840</v>
      </c>
      <c r="L217" s="21">
        <v>984056270</v>
      </c>
      <c r="M217" s="14" t="s">
        <v>69</v>
      </c>
      <c r="N217" s="14" t="s">
        <v>70</v>
      </c>
      <c r="O217" s="14" t="s">
        <v>427</v>
      </c>
      <c r="P217" s="14" t="s">
        <v>71</v>
      </c>
      <c r="Q217" s="14" t="s">
        <v>3</v>
      </c>
      <c r="R217" s="14" t="s">
        <v>64</v>
      </c>
      <c r="S217" s="14" t="s">
        <v>71</v>
      </c>
      <c r="T217" s="15">
        <v>240.04</v>
      </c>
      <c r="U217" s="15"/>
      <c r="V217" s="16">
        <f>+(T217*12)/1.005-65</f>
        <v>2801.1492537313434</v>
      </c>
      <c r="X217" s="14" t="s">
        <v>136</v>
      </c>
      <c r="Z217" s="14" t="s">
        <v>71</v>
      </c>
      <c r="AA217" s="18">
        <f t="shared" si="12"/>
        <v>366</v>
      </c>
      <c r="AB217" s="19">
        <f t="shared" ca="1" si="13"/>
        <v>45465</v>
      </c>
      <c r="AC217" s="20"/>
      <c r="AD217" s="19"/>
      <c r="AE217" s="98"/>
    </row>
    <row r="218" spans="1:31" x14ac:dyDescent="0.3">
      <c r="A218" s="107">
        <v>218</v>
      </c>
      <c r="B218" s="46">
        <v>45402</v>
      </c>
      <c r="D218" s="13" t="s">
        <v>185</v>
      </c>
      <c r="E218" s="13" t="s">
        <v>51</v>
      </c>
      <c r="F218" s="13" t="s">
        <v>66</v>
      </c>
      <c r="G218" s="14" t="s">
        <v>218</v>
      </c>
      <c r="I218" s="14" t="s">
        <v>428</v>
      </c>
      <c r="J218" s="14" t="s">
        <v>121</v>
      </c>
      <c r="K218" s="21">
        <v>921897039</v>
      </c>
      <c r="L218" s="21">
        <v>979029020</v>
      </c>
      <c r="M218" s="14" t="s">
        <v>88</v>
      </c>
      <c r="N218" s="14" t="s">
        <v>70</v>
      </c>
      <c r="O218" s="14" t="s">
        <v>429</v>
      </c>
      <c r="P218" s="14" t="s">
        <v>71</v>
      </c>
      <c r="Q218" s="14" t="s">
        <v>5</v>
      </c>
      <c r="R218" s="14" t="s">
        <v>232</v>
      </c>
      <c r="S218" s="14" t="s">
        <v>71</v>
      </c>
      <c r="T218" s="15">
        <v>154.84</v>
      </c>
      <c r="U218" s="15"/>
      <c r="V218" s="16">
        <f>+T218*12/(1.005)</f>
        <v>1848.8358208955226</v>
      </c>
      <c r="X218" s="14" t="s">
        <v>136</v>
      </c>
      <c r="Z218" s="14" t="s">
        <v>71</v>
      </c>
      <c r="AA218" s="18">
        <f t="shared" si="12"/>
        <v>366</v>
      </c>
      <c r="AB218" s="19">
        <f t="shared" ca="1" si="13"/>
        <v>45465</v>
      </c>
      <c r="AC218" s="20"/>
      <c r="AD218" s="19"/>
      <c r="AE218" s="98"/>
    </row>
    <row r="219" spans="1:31" x14ac:dyDescent="0.3">
      <c r="A219" s="108">
        <v>219</v>
      </c>
      <c r="B219" s="46">
        <v>45404</v>
      </c>
      <c r="D219" s="13" t="s">
        <v>185</v>
      </c>
      <c r="E219" s="13" t="s">
        <v>51</v>
      </c>
      <c r="F219" s="13" t="s">
        <v>52</v>
      </c>
      <c r="G219" s="14" t="s">
        <v>155</v>
      </c>
      <c r="H219" s="14" t="s">
        <v>431</v>
      </c>
      <c r="I219" s="14" t="s">
        <v>432</v>
      </c>
      <c r="K219" s="21"/>
      <c r="L219" s="21"/>
      <c r="Q219" s="14" t="s">
        <v>3</v>
      </c>
      <c r="R219" s="14" t="s">
        <v>64</v>
      </c>
      <c r="T219" s="15"/>
      <c r="U219" s="15"/>
      <c r="V219" s="16">
        <v>811.59</v>
      </c>
      <c r="X219" s="14" t="s">
        <v>136</v>
      </c>
      <c r="Z219" s="14" t="s">
        <v>71</v>
      </c>
      <c r="AA219" s="18">
        <f t="shared" si="12"/>
        <v>366</v>
      </c>
      <c r="AB219" s="19">
        <f t="shared" ca="1" si="13"/>
        <v>45465</v>
      </c>
      <c r="AC219" s="20"/>
      <c r="AD219" s="19"/>
      <c r="AE219" s="98"/>
    </row>
    <row r="220" spans="1:31" x14ac:dyDescent="0.3">
      <c r="A220" s="105">
        <v>220</v>
      </c>
      <c r="B220" s="46">
        <v>45404</v>
      </c>
      <c r="D220" s="13" t="s">
        <v>185</v>
      </c>
      <c r="E220" s="13" t="s">
        <v>51</v>
      </c>
      <c r="F220" s="13" t="s">
        <v>52</v>
      </c>
      <c r="G220" s="14" t="s">
        <v>155</v>
      </c>
      <c r="H220" s="14" t="s">
        <v>433</v>
      </c>
      <c r="I220" s="14" t="s">
        <v>434</v>
      </c>
      <c r="K220" s="21"/>
      <c r="L220" s="21"/>
      <c r="Q220" s="14" t="s">
        <v>3</v>
      </c>
      <c r="R220" s="14" t="s">
        <v>64</v>
      </c>
      <c r="T220" s="15"/>
      <c r="U220" s="15"/>
      <c r="V220" s="16">
        <v>1491.15</v>
      </c>
      <c r="X220" s="14" t="s">
        <v>136</v>
      </c>
      <c r="Z220" s="14" t="s">
        <v>71</v>
      </c>
      <c r="AA220" s="18">
        <f t="shared" si="12"/>
        <v>366</v>
      </c>
      <c r="AB220" s="19">
        <f t="shared" ca="1" si="13"/>
        <v>45465</v>
      </c>
      <c r="AC220" s="20"/>
      <c r="AD220" s="19"/>
      <c r="AE220" s="98"/>
    </row>
    <row r="221" spans="1:31" x14ac:dyDescent="0.3">
      <c r="A221" s="107">
        <v>221</v>
      </c>
      <c r="B221" s="46">
        <v>45404</v>
      </c>
      <c r="D221" s="13" t="s">
        <v>185</v>
      </c>
      <c r="E221" s="13" t="s">
        <v>51</v>
      </c>
      <c r="F221" s="13" t="s">
        <v>52</v>
      </c>
      <c r="G221" s="14" t="s">
        <v>129</v>
      </c>
      <c r="H221" s="14">
        <v>4189498</v>
      </c>
      <c r="I221" s="14" t="s">
        <v>435</v>
      </c>
      <c r="K221" s="21"/>
      <c r="L221" s="21"/>
      <c r="Q221" s="14" t="s">
        <v>6</v>
      </c>
      <c r="R221" s="14" t="s">
        <v>171</v>
      </c>
      <c r="T221" s="15"/>
      <c r="U221" s="15"/>
      <c r="V221" s="16">
        <v>748.02</v>
      </c>
      <c r="X221" s="14" t="s">
        <v>136</v>
      </c>
      <c r="Z221" s="14" t="s">
        <v>71</v>
      </c>
      <c r="AA221" s="18">
        <f t="shared" si="12"/>
        <v>366</v>
      </c>
      <c r="AB221" s="19">
        <f t="shared" ca="1" si="13"/>
        <v>45465</v>
      </c>
      <c r="AC221" s="20"/>
      <c r="AD221" s="19"/>
      <c r="AE221" s="98"/>
    </row>
    <row r="222" spans="1:31" x14ac:dyDescent="0.3">
      <c r="A222" s="108">
        <v>222</v>
      </c>
      <c r="B222" s="46">
        <v>45404</v>
      </c>
      <c r="D222" s="13" t="s">
        <v>185</v>
      </c>
      <c r="E222" s="13" t="s">
        <v>51</v>
      </c>
      <c r="F222" s="13" t="s">
        <v>52</v>
      </c>
      <c r="G222" s="14" t="s">
        <v>118</v>
      </c>
      <c r="I222" s="14" t="s">
        <v>430</v>
      </c>
      <c r="K222" s="21"/>
      <c r="L222" s="21"/>
      <c r="Q222" s="14" t="s">
        <v>5</v>
      </c>
      <c r="R222" s="14" t="s">
        <v>308</v>
      </c>
      <c r="T222" s="15"/>
      <c r="U222" s="15"/>
      <c r="V222" s="16">
        <v>1012.87</v>
      </c>
      <c r="X222" s="14" t="s">
        <v>136</v>
      </c>
      <c r="Z222" s="14" t="s">
        <v>71</v>
      </c>
      <c r="AA222" s="18">
        <f t="shared" si="12"/>
        <v>366</v>
      </c>
      <c r="AB222" s="19">
        <f t="shared" ca="1" si="13"/>
        <v>45465</v>
      </c>
      <c r="AC222" s="20"/>
      <c r="AD222" s="19"/>
      <c r="AE222" s="98"/>
    </row>
    <row r="223" spans="1:31" x14ac:dyDescent="0.3">
      <c r="A223" s="105">
        <v>223</v>
      </c>
      <c r="B223" s="46">
        <v>45404</v>
      </c>
      <c r="D223" s="13" t="s">
        <v>185</v>
      </c>
      <c r="E223" s="13" t="s">
        <v>51</v>
      </c>
      <c r="F223" s="13" t="s">
        <v>52</v>
      </c>
      <c r="G223" s="14" t="s">
        <v>60</v>
      </c>
      <c r="I223" s="14" t="s">
        <v>436</v>
      </c>
      <c r="K223" s="21"/>
      <c r="L223" s="21"/>
      <c r="Q223" s="14" t="s">
        <v>5</v>
      </c>
      <c r="R223" s="14" t="s">
        <v>391</v>
      </c>
      <c r="T223" s="15"/>
      <c r="U223" s="15"/>
      <c r="V223" s="16">
        <v>4442.28</v>
      </c>
      <c r="X223" s="14" t="s">
        <v>136</v>
      </c>
      <c r="Z223" s="14" t="s">
        <v>71</v>
      </c>
      <c r="AA223" s="18">
        <f t="shared" si="12"/>
        <v>366</v>
      </c>
      <c r="AB223" s="19">
        <f t="shared" ca="1" si="13"/>
        <v>45465</v>
      </c>
      <c r="AC223" s="20"/>
      <c r="AD223" s="19"/>
      <c r="AE223" s="98"/>
    </row>
    <row r="224" spans="1:31" x14ac:dyDescent="0.3">
      <c r="A224" s="107">
        <v>224</v>
      </c>
      <c r="B224" s="46">
        <v>45405</v>
      </c>
      <c r="D224" s="13" t="s">
        <v>185</v>
      </c>
      <c r="E224" s="13" t="s">
        <v>51</v>
      </c>
      <c r="F224" s="13" t="s">
        <v>66</v>
      </c>
      <c r="G224" s="14" t="s">
        <v>13</v>
      </c>
      <c r="I224" s="14" t="s">
        <v>437</v>
      </c>
      <c r="J224" s="14" t="s">
        <v>294</v>
      </c>
      <c r="K224" s="21">
        <v>905013371</v>
      </c>
      <c r="L224" s="21">
        <v>981544822</v>
      </c>
      <c r="M224" s="14" t="s">
        <v>69</v>
      </c>
      <c r="N224" s="14" t="s">
        <v>70</v>
      </c>
      <c r="O224" s="14" t="s">
        <v>438</v>
      </c>
      <c r="P224" s="14" t="s">
        <v>71</v>
      </c>
      <c r="Q224" s="14" t="s">
        <v>5</v>
      </c>
      <c r="R224" s="14" t="s">
        <v>232</v>
      </c>
      <c r="T224" s="15">
        <v>379.41</v>
      </c>
      <c r="U224" s="15"/>
      <c r="V224" s="16">
        <f>+T224*12/(1.005)</f>
        <v>4530.2686567164183</v>
      </c>
      <c r="X224" s="14" t="s">
        <v>136</v>
      </c>
      <c r="Z224" s="14" t="s">
        <v>71</v>
      </c>
      <c r="AA224" s="18">
        <f t="shared" si="12"/>
        <v>366</v>
      </c>
      <c r="AB224" s="19">
        <f t="shared" ca="1" si="13"/>
        <v>45465</v>
      </c>
      <c r="AC224" s="20"/>
      <c r="AD224" s="19"/>
      <c r="AE224" s="98"/>
    </row>
    <row r="225" spans="1:31" x14ac:dyDescent="0.3">
      <c r="A225" s="108">
        <v>225</v>
      </c>
      <c r="B225" s="46">
        <v>45406</v>
      </c>
      <c r="D225" s="13" t="s">
        <v>185</v>
      </c>
      <c r="E225" s="13" t="s">
        <v>51</v>
      </c>
      <c r="F225" s="13" t="s">
        <v>52</v>
      </c>
      <c r="G225" s="14" t="s">
        <v>113</v>
      </c>
      <c r="H225" s="14">
        <v>4189721</v>
      </c>
      <c r="I225" s="14" t="s">
        <v>439</v>
      </c>
      <c r="K225" s="21"/>
      <c r="L225" s="21"/>
      <c r="Q225" s="14" t="s">
        <v>6</v>
      </c>
      <c r="R225" s="14" t="s">
        <v>62</v>
      </c>
      <c r="T225" s="15"/>
      <c r="U225" s="15"/>
      <c r="V225" s="16">
        <v>750.17</v>
      </c>
      <c r="X225" s="14" t="s">
        <v>136</v>
      </c>
      <c r="Z225" s="14" t="s">
        <v>71</v>
      </c>
      <c r="AA225" s="18">
        <f t="shared" si="12"/>
        <v>366</v>
      </c>
      <c r="AB225" s="19">
        <f t="shared" ca="1" si="13"/>
        <v>45465</v>
      </c>
      <c r="AC225" s="20"/>
      <c r="AD225" s="19"/>
      <c r="AE225" s="98"/>
    </row>
    <row r="226" spans="1:31" x14ac:dyDescent="0.3">
      <c r="A226" s="105">
        <v>226</v>
      </c>
      <c r="B226" s="46">
        <v>45407</v>
      </c>
      <c r="D226" s="13" t="s">
        <v>185</v>
      </c>
      <c r="E226" s="13" t="s">
        <v>51</v>
      </c>
      <c r="F226" s="13" t="s">
        <v>52</v>
      </c>
      <c r="G226" s="14" t="s">
        <v>75</v>
      </c>
      <c r="H226" s="14">
        <v>4189737</v>
      </c>
      <c r="I226" s="14" t="s">
        <v>440</v>
      </c>
      <c r="K226" s="21"/>
      <c r="L226" s="21"/>
      <c r="Q226" s="14" t="s">
        <v>6</v>
      </c>
      <c r="T226" s="15"/>
      <c r="U226" s="15"/>
      <c r="V226" s="16">
        <v>2060.58</v>
      </c>
      <c r="X226" s="14" t="s">
        <v>136</v>
      </c>
      <c r="Z226" s="14" t="s">
        <v>71</v>
      </c>
      <c r="AA226" s="18">
        <f t="shared" si="12"/>
        <v>366</v>
      </c>
      <c r="AB226" s="19">
        <f t="shared" ca="1" si="13"/>
        <v>45465</v>
      </c>
      <c r="AC226" s="20"/>
      <c r="AD226" s="19"/>
      <c r="AE226" s="98"/>
    </row>
    <row r="227" spans="1:31" x14ac:dyDescent="0.3">
      <c r="A227" s="107">
        <v>227</v>
      </c>
      <c r="B227" s="46">
        <v>45407</v>
      </c>
      <c r="D227" s="13" t="s">
        <v>185</v>
      </c>
      <c r="E227" s="13" t="s">
        <v>51</v>
      </c>
      <c r="F227" s="13" t="s">
        <v>52</v>
      </c>
      <c r="G227" s="14" t="s">
        <v>75</v>
      </c>
      <c r="H227" s="14">
        <v>4189737</v>
      </c>
      <c r="I227" s="14" t="s">
        <v>441</v>
      </c>
      <c r="K227" s="21"/>
      <c r="L227" s="21"/>
      <c r="Q227" s="14" t="s">
        <v>6</v>
      </c>
      <c r="R227" s="14" t="s">
        <v>80</v>
      </c>
      <c r="T227" s="15"/>
      <c r="U227" s="15"/>
      <c r="V227" s="16">
        <v>1544.06</v>
      </c>
      <c r="X227" s="14" t="s">
        <v>136</v>
      </c>
      <c r="Z227" s="14" t="s">
        <v>71</v>
      </c>
      <c r="AA227" s="18">
        <f t="shared" si="12"/>
        <v>366</v>
      </c>
      <c r="AB227" s="19">
        <f t="shared" ca="1" si="13"/>
        <v>45465</v>
      </c>
      <c r="AC227" s="20"/>
      <c r="AD227" s="19"/>
      <c r="AE227" s="98"/>
    </row>
    <row r="228" spans="1:31" x14ac:dyDescent="0.3">
      <c r="A228" s="108">
        <v>228</v>
      </c>
      <c r="B228" s="46">
        <v>45407</v>
      </c>
      <c r="D228" s="13" t="s">
        <v>185</v>
      </c>
      <c r="E228" s="13" t="s">
        <v>51</v>
      </c>
      <c r="F228" s="13" t="s">
        <v>52</v>
      </c>
      <c r="G228" s="14" t="s">
        <v>75</v>
      </c>
      <c r="I228" s="14" t="s">
        <v>442</v>
      </c>
      <c r="K228" s="21"/>
      <c r="L228" s="21"/>
      <c r="Q228" s="14" t="s">
        <v>55</v>
      </c>
      <c r="R228" s="14" t="s">
        <v>248</v>
      </c>
      <c r="T228" s="15"/>
      <c r="U228" s="15"/>
      <c r="V228" s="16">
        <v>2982.37</v>
      </c>
      <c r="X228" s="14" t="s">
        <v>136</v>
      </c>
      <c r="Z228" s="14" t="s">
        <v>71</v>
      </c>
      <c r="AA228" s="18">
        <f t="shared" si="12"/>
        <v>366</v>
      </c>
      <c r="AB228" s="19">
        <f t="shared" ca="1" si="13"/>
        <v>45465</v>
      </c>
      <c r="AC228" s="20"/>
      <c r="AD228" s="19"/>
      <c r="AE228" s="98"/>
    </row>
    <row r="229" spans="1:31" x14ac:dyDescent="0.3">
      <c r="A229" s="105">
        <v>229</v>
      </c>
      <c r="B229" s="46">
        <v>45407</v>
      </c>
      <c r="D229" s="13" t="s">
        <v>185</v>
      </c>
      <c r="E229" s="13" t="s">
        <v>51</v>
      </c>
      <c r="F229" s="13" t="s">
        <v>66</v>
      </c>
      <c r="G229" s="14" t="s">
        <v>13</v>
      </c>
      <c r="I229" s="14" t="s">
        <v>443</v>
      </c>
      <c r="K229" s="21"/>
      <c r="L229" s="21"/>
      <c r="M229" s="14" t="s">
        <v>88</v>
      </c>
      <c r="N229" s="14" t="s">
        <v>70</v>
      </c>
      <c r="O229" s="14" t="s">
        <v>443</v>
      </c>
      <c r="P229" s="14" t="s">
        <v>71</v>
      </c>
      <c r="Q229" s="14" t="s">
        <v>3</v>
      </c>
      <c r="R229" s="14" t="s">
        <v>64</v>
      </c>
      <c r="T229" s="15">
        <v>55.16</v>
      </c>
      <c r="U229" s="15"/>
      <c r="V229" s="16">
        <f>+(T229*12)/1.005-65</f>
        <v>593.62686567164178</v>
      </c>
      <c r="X229" s="14" t="s">
        <v>136</v>
      </c>
      <c r="Z229" s="14" t="s">
        <v>71</v>
      </c>
      <c r="AA229" s="18">
        <f t="shared" si="12"/>
        <v>366</v>
      </c>
      <c r="AB229" s="19">
        <f t="shared" ca="1" si="13"/>
        <v>45465</v>
      </c>
      <c r="AC229" s="20"/>
      <c r="AD229" s="19"/>
      <c r="AE229" s="98"/>
    </row>
    <row r="230" spans="1:31" x14ac:dyDescent="0.3">
      <c r="A230" s="107">
        <v>230</v>
      </c>
      <c r="B230" s="46">
        <v>45407</v>
      </c>
      <c r="D230" s="13" t="s">
        <v>185</v>
      </c>
      <c r="E230" s="13" t="s">
        <v>51</v>
      </c>
      <c r="F230" s="13" t="s">
        <v>66</v>
      </c>
      <c r="G230" s="14" t="s">
        <v>14</v>
      </c>
      <c r="I230" s="14" t="s">
        <v>444</v>
      </c>
      <c r="K230" s="21">
        <v>904458494</v>
      </c>
      <c r="L230" s="21">
        <v>994613959</v>
      </c>
      <c r="M230" s="14" t="s">
        <v>69</v>
      </c>
      <c r="N230" s="14" t="s">
        <v>70</v>
      </c>
      <c r="O230" s="14" t="s">
        <v>444</v>
      </c>
      <c r="P230" s="14" t="s">
        <v>71</v>
      </c>
      <c r="Q230" s="14" t="s">
        <v>148</v>
      </c>
      <c r="R230" s="14" t="s">
        <v>279</v>
      </c>
      <c r="T230" s="15">
        <v>142.96</v>
      </c>
      <c r="U230" s="15"/>
      <c r="V230" s="16">
        <f>+(T230*12)/1.005</f>
        <v>1706.9850746268658</v>
      </c>
      <c r="X230" s="14" t="s">
        <v>136</v>
      </c>
      <c r="Z230" s="14" t="s">
        <v>71</v>
      </c>
      <c r="AA230" s="18">
        <f t="shared" si="12"/>
        <v>366</v>
      </c>
      <c r="AB230" s="19">
        <f t="shared" ca="1" si="13"/>
        <v>45465</v>
      </c>
      <c r="AC230" s="20"/>
      <c r="AD230" s="19"/>
      <c r="AE230" s="98"/>
    </row>
    <row r="231" spans="1:31" x14ac:dyDescent="0.3">
      <c r="A231" s="108">
        <v>231</v>
      </c>
      <c r="B231" s="46">
        <v>45408</v>
      </c>
      <c r="D231" s="13" t="s">
        <v>185</v>
      </c>
      <c r="E231" s="13" t="s">
        <v>51</v>
      </c>
      <c r="F231" s="13" t="s">
        <v>66</v>
      </c>
      <c r="G231" s="14" t="s">
        <v>218</v>
      </c>
      <c r="I231" s="14" t="s">
        <v>293</v>
      </c>
      <c r="K231" s="21"/>
      <c r="L231" s="21"/>
      <c r="M231" s="14" t="s">
        <v>88</v>
      </c>
      <c r="N231" s="14" t="s">
        <v>70</v>
      </c>
      <c r="P231" s="14" t="s">
        <v>71</v>
      </c>
      <c r="Q231" s="14" t="s">
        <v>3</v>
      </c>
      <c r="R231" s="14" t="s">
        <v>64</v>
      </c>
      <c r="T231" s="15">
        <f>594.17/12</f>
        <v>49.514166666666661</v>
      </c>
      <c r="U231" s="15"/>
      <c r="V231" s="16">
        <f>+(T231*12)/1.005-65</f>
        <v>526.21393034825871</v>
      </c>
      <c r="X231" s="14" t="s">
        <v>136</v>
      </c>
      <c r="Z231" s="14" t="s">
        <v>71</v>
      </c>
      <c r="AA231" s="18">
        <f t="shared" si="12"/>
        <v>366</v>
      </c>
      <c r="AB231" s="19">
        <f t="shared" ca="1" si="13"/>
        <v>45465</v>
      </c>
      <c r="AC231" s="20"/>
      <c r="AD231" s="19"/>
      <c r="AE231" s="98"/>
    </row>
    <row r="232" spans="1:31" x14ac:dyDescent="0.3">
      <c r="A232" s="105">
        <v>232</v>
      </c>
      <c r="B232" s="46">
        <v>45408</v>
      </c>
      <c r="D232" s="13" t="s">
        <v>185</v>
      </c>
      <c r="E232" s="13" t="s">
        <v>51</v>
      </c>
      <c r="F232" s="13" t="s">
        <v>66</v>
      </c>
      <c r="G232" s="14" t="s">
        <v>218</v>
      </c>
      <c r="I232" s="14" t="s">
        <v>445</v>
      </c>
      <c r="K232" s="21"/>
      <c r="L232" s="21"/>
      <c r="M232" s="14" t="s">
        <v>88</v>
      </c>
      <c r="N232" s="14" t="s">
        <v>70</v>
      </c>
      <c r="P232" s="14" t="s">
        <v>71</v>
      </c>
      <c r="Q232" s="14" t="s">
        <v>3</v>
      </c>
      <c r="R232" s="14" t="s">
        <v>64</v>
      </c>
      <c r="T232" s="15">
        <f>588.63/12</f>
        <v>49.052500000000002</v>
      </c>
      <c r="U232" s="15"/>
      <c r="V232" s="16">
        <f>+(T232*12)/1.005-65</f>
        <v>520.70149253731347</v>
      </c>
      <c r="X232" s="14" t="s">
        <v>136</v>
      </c>
      <c r="Z232" s="14" t="s">
        <v>71</v>
      </c>
      <c r="AA232" s="18">
        <f t="shared" si="12"/>
        <v>366</v>
      </c>
      <c r="AB232" s="19">
        <f t="shared" ca="1" si="13"/>
        <v>45465</v>
      </c>
      <c r="AC232" s="20"/>
      <c r="AD232" s="19"/>
      <c r="AE232" s="98"/>
    </row>
    <row r="233" spans="1:31" x14ac:dyDescent="0.3">
      <c r="A233" s="107">
        <v>233</v>
      </c>
      <c r="B233" s="46">
        <v>45411</v>
      </c>
      <c r="D233" s="13" t="s">
        <v>185</v>
      </c>
      <c r="E233" s="13" t="s">
        <v>51</v>
      </c>
      <c r="F233" s="13" t="s">
        <v>52</v>
      </c>
      <c r="G233" s="14" t="s">
        <v>155</v>
      </c>
      <c r="H233" s="14">
        <v>4190029</v>
      </c>
      <c r="I233" s="14" t="s">
        <v>446</v>
      </c>
      <c r="K233" s="21"/>
      <c r="L233" s="21"/>
      <c r="Q233" s="14" t="s">
        <v>6</v>
      </c>
      <c r="R233" s="14" t="s">
        <v>115</v>
      </c>
      <c r="T233" s="15"/>
      <c r="U233" s="15"/>
      <c r="V233" s="16">
        <v>803.54</v>
      </c>
      <c r="AB233" s="19"/>
      <c r="AC233" s="20"/>
      <c r="AD233" s="19"/>
      <c r="AE233" s="98"/>
    </row>
    <row r="234" spans="1:31" x14ac:dyDescent="0.3">
      <c r="A234" s="108">
        <v>234</v>
      </c>
      <c r="B234" s="46">
        <v>45411</v>
      </c>
      <c r="D234" s="13" t="s">
        <v>185</v>
      </c>
      <c r="E234" s="13" t="s">
        <v>51</v>
      </c>
      <c r="F234" s="13" t="s">
        <v>66</v>
      </c>
      <c r="G234" s="14" t="s">
        <v>11</v>
      </c>
      <c r="I234" s="14" t="s">
        <v>447</v>
      </c>
      <c r="K234" s="21"/>
      <c r="L234" s="21"/>
      <c r="Q234" s="14" t="s">
        <v>586</v>
      </c>
      <c r="T234" s="15"/>
      <c r="U234" s="15"/>
      <c r="V234" s="16">
        <f>2808.94/1.005-100</f>
        <v>2694.9651741293537</v>
      </c>
      <c r="X234" s="14" t="s">
        <v>136</v>
      </c>
      <c r="Z234" s="14" t="s">
        <v>71</v>
      </c>
      <c r="AA234" s="18">
        <f>+DATE(YEAR(C234)+1,MONTH(C234),DAY(C234))</f>
        <v>366</v>
      </c>
      <c r="AB234" s="19">
        <f ca="1">+TODAY()-AA234</f>
        <v>45465</v>
      </c>
      <c r="AC234" s="20"/>
      <c r="AD234" s="19"/>
      <c r="AE234" s="98"/>
    </row>
    <row r="235" spans="1:31" x14ac:dyDescent="0.3">
      <c r="A235" s="105">
        <v>235</v>
      </c>
      <c r="B235" s="46">
        <v>45411</v>
      </c>
      <c r="D235" s="13" t="s">
        <v>185</v>
      </c>
      <c r="E235" s="13" t="s">
        <v>51</v>
      </c>
      <c r="F235" s="13" t="s">
        <v>66</v>
      </c>
      <c r="G235" s="14" t="s">
        <v>11</v>
      </c>
      <c r="I235" s="14" t="s">
        <v>448</v>
      </c>
      <c r="K235" s="21"/>
      <c r="L235" s="21"/>
      <c r="Q235" s="14" t="s">
        <v>586</v>
      </c>
      <c r="T235" s="15"/>
      <c r="U235" s="15">
        <v>4415.28</v>
      </c>
      <c r="V235" s="16">
        <f>+Tabla1[[#This Row],[PAGO ANUAL]]/1.04</f>
        <v>4245.4615384615381</v>
      </c>
      <c r="X235" s="14" t="s">
        <v>136</v>
      </c>
      <c r="Z235" s="14" t="s">
        <v>71</v>
      </c>
      <c r="AA235" s="18">
        <f>+DATE(YEAR(C235)+1,MONTH(C235),DAY(C235))</f>
        <v>366</v>
      </c>
      <c r="AB235" s="19">
        <f ca="1">+TODAY()-AA235</f>
        <v>45465</v>
      </c>
      <c r="AC235" s="20"/>
      <c r="AD235" s="19"/>
      <c r="AE235" s="98"/>
    </row>
    <row r="236" spans="1:31" x14ac:dyDescent="0.3">
      <c r="A236" s="107">
        <v>236</v>
      </c>
      <c r="B236" s="46">
        <v>45412</v>
      </c>
      <c r="D236" s="13" t="s">
        <v>185</v>
      </c>
      <c r="E236" s="13" t="s">
        <v>51</v>
      </c>
      <c r="F236" s="13" t="s">
        <v>52</v>
      </c>
      <c r="G236" s="14" t="s">
        <v>78</v>
      </c>
      <c r="I236" s="14" t="s">
        <v>452</v>
      </c>
      <c r="K236" s="21"/>
      <c r="L236" s="21"/>
      <c r="Q236" s="14" t="s">
        <v>5</v>
      </c>
      <c r="R236" s="14" t="s">
        <v>391</v>
      </c>
      <c r="T236" s="15"/>
      <c r="U236" s="15"/>
      <c r="V236" s="16">
        <v>4467.47</v>
      </c>
      <c r="AB236" s="19"/>
      <c r="AC236" s="20"/>
      <c r="AD236" s="19"/>
      <c r="AE236" s="98"/>
    </row>
    <row r="237" spans="1:31" x14ac:dyDescent="0.3">
      <c r="A237" s="108">
        <v>237</v>
      </c>
      <c r="B237" s="46">
        <v>45412</v>
      </c>
      <c r="D237" s="13" t="s">
        <v>185</v>
      </c>
      <c r="E237" s="13" t="s">
        <v>51</v>
      </c>
      <c r="F237" s="13" t="s">
        <v>66</v>
      </c>
      <c r="G237" s="14" t="s">
        <v>12</v>
      </c>
      <c r="I237" s="14" t="s">
        <v>451</v>
      </c>
      <c r="K237" s="21"/>
      <c r="L237" s="21"/>
      <c r="Q237" s="14" t="s">
        <v>3</v>
      </c>
      <c r="R237" s="14" t="s">
        <v>64</v>
      </c>
      <c r="T237" s="15">
        <v>96.29</v>
      </c>
      <c r="U237" s="15"/>
      <c r="V237" s="16">
        <f>+(T237*12)/1.005-65</f>
        <v>1084.7313432835822</v>
      </c>
      <c r="X237" s="14" t="s">
        <v>136</v>
      </c>
      <c r="Z237" s="14" t="s">
        <v>71</v>
      </c>
      <c r="AA237" s="18">
        <f>+DATE(YEAR(C237)+1,MONTH(C237),DAY(C237))</f>
        <v>366</v>
      </c>
      <c r="AB237" s="19">
        <f ca="1">+TODAY()-AA237</f>
        <v>45465</v>
      </c>
      <c r="AC237" s="20"/>
      <c r="AD237" s="19"/>
      <c r="AE237" s="98"/>
    </row>
    <row r="238" spans="1:31" x14ac:dyDescent="0.3">
      <c r="A238" s="105">
        <v>238</v>
      </c>
      <c r="B238" s="46">
        <v>45412</v>
      </c>
      <c r="D238" s="13" t="s">
        <v>185</v>
      </c>
      <c r="E238" s="13" t="s">
        <v>51</v>
      </c>
      <c r="F238" s="13" t="s">
        <v>66</v>
      </c>
      <c r="G238" s="14" t="s">
        <v>15</v>
      </c>
      <c r="I238" s="14" t="s">
        <v>449</v>
      </c>
      <c r="J238" s="14" t="s">
        <v>360</v>
      </c>
      <c r="K238" s="21">
        <v>915236319</v>
      </c>
      <c r="L238" s="21">
        <v>991468691</v>
      </c>
      <c r="M238" s="14" t="s">
        <v>88</v>
      </c>
      <c r="N238" s="14" t="s">
        <v>70</v>
      </c>
      <c r="O238" s="14" t="s">
        <v>449</v>
      </c>
      <c r="P238" s="14" t="s">
        <v>71</v>
      </c>
      <c r="Q238" s="14" t="s">
        <v>3</v>
      </c>
      <c r="R238" s="14" t="s">
        <v>450</v>
      </c>
      <c r="T238" s="15">
        <v>292.11</v>
      </c>
      <c r="U238" s="15"/>
      <c r="V238" s="16">
        <f>+(T238*12)/1.005-65</f>
        <v>3422.880597014926</v>
      </c>
      <c r="X238" s="14" t="s">
        <v>136</v>
      </c>
      <c r="Z238" s="14" t="s">
        <v>71</v>
      </c>
      <c r="AA238" s="18">
        <f>+DATE(YEAR(C238)+1,MONTH(C238),DAY(C238))</f>
        <v>366</v>
      </c>
      <c r="AB238" s="19">
        <f ca="1">+TODAY()-AA238</f>
        <v>45465</v>
      </c>
      <c r="AC238" s="20"/>
      <c r="AD238" s="19"/>
      <c r="AE238" s="98"/>
    </row>
    <row r="239" spans="1:31" x14ac:dyDescent="0.3">
      <c r="A239" s="107">
        <v>239</v>
      </c>
      <c r="B239" s="46">
        <v>45414</v>
      </c>
      <c r="D239" s="13" t="s">
        <v>453</v>
      </c>
      <c r="E239" s="13" t="s">
        <v>51</v>
      </c>
      <c r="F239" s="13" t="s">
        <v>66</v>
      </c>
      <c r="G239" s="14" t="s">
        <v>12</v>
      </c>
      <c r="I239" s="14" t="s">
        <v>454</v>
      </c>
      <c r="J239" s="14" t="s">
        <v>28</v>
      </c>
      <c r="K239" s="21"/>
      <c r="L239" s="21"/>
      <c r="M239" s="14" t="s">
        <v>69</v>
      </c>
      <c r="N239" s="14" t="s">
        <v>70</v>
      </c>
      <c r="O239" s="14" t="s">
        <v>454</v>
      </c>
      <c r="Q239" s="14" t="s">
        <v>455</v>
      </c>
      <c r="R239" s="14" t="s">
        <v>456</v>
      </c>
      <c r="T239" s="15">
        <v>193.1</v>
      </c>
      <c r="U239" s="15"/>
      <c r="V239" s="16">
        <f>+T239*12/(1.005)/1.04</f>
        <v>2216.9919632606197</v>
      </c>
      <c r="X239" s="14" t="s">
        <v>136</v>
      </c>
      <c r="Z239" s="14" t="s">
        <v>71</v>
      </c>
      <c r="AA239" s="18">
        <f>+DATE(YEAR(C239)+1,MONTH(C239),DAY(C239))</f>
        <v>366</v>
      </c>
      <c r="AB239" s="19">
        <f ca="1">+TODAY()-AA239</f>
        <v>45465</v>
      </c>
      <c r="AC239" s="20"/>
      <c r="AD239" s="19"/>
      <c r="AE239" s="98"/>
    </row>
    <row r="240" spans="1:31" x14ac:dyDescent="0.3">
      <c r="A240" s="108">
        <v>240</v>
      </c>
      <c r="B240" s="46">
        <v>45417</v>
      </c>
      <c r="D240" s="13" t="s">
        <v>453</v>
      </c>
      <c r="E240" s="13" t="s">
        <v>51</v>
      </c>
      <c r="F240" s="13" t="s">
        <v>52</v>
      </c>
      <c r="G240" s="14" t="s">
        <v>155</v>
      </c>
      <c r="H240" s="14">
        <v>4190486</v>
      </c>
      <c r="I240" s="14" t="s">
        <v>457</v>
      </c>
      <c r="K240" s="21"/>
      <c r="L240" s="21"/>
      <c r="Q240" s="14" t="s">
        <v>395</v>
      </c>
      <c r="R240" s="14" t="s">
        <v>458</v>
      </c>
      <c r="T240" s="15"/>
      <c r="U240" s="15"/>
      <c r="V240" s="16">
        <v>1249.8599999999999</v>
      </c>
      <c r="AB240" s="19"/>
      <c r="AC240" s="20"/>
      <c r="AD240" s="19"/>
      <c r="AE240" s="98"/>
    </row>
    <row r="241" spans="1:31" x14ac:dyDescent="0.3">
      <c r="A241" s="105">
        <v>241</v>
      </c>
      <c r="B241" s="46">
        <v>45417</v>
      </c>
      <c r="D241" s="13" t="s">
        <v>453</v>
      </c>
      <c r="E241" s="13" t="s">
        <v>51</v>
      </c>
      <c r="F241" s="13" t="s">
        <v>52</v>
      </c>
      <c r="G241" s="14" t="s">
        <v>459</v>
      </c>
      <c r="H241" s="14">
        <v>4190417</v>
      </c>
      <c r="I241" s="14" t="s">
        <v>460</v>
      </c>
      <c r="K241" s="21"/>
      <c r="L241" s="21"/>
      <c r="Q241" s="14" t="s">
        <v>395</v>
      </c>
      <c r="R241" s="14" t="s">
        <v>461</v>
      </c>
      <c r="T241" s="15"/>
      <c r="U241" s="15"/>
      <c r="V241" s="16">
        <v>1500.6</v>
      </c>
      <c r="AB241" s="19"/>
      <c r="AC241" s="20"/>
      <c r="AD241" s="19"/>
      <c r="AE241" s="98"/>
    </row>
    <row r="242" spans="1:31" x14ac:dyDescent="0.3">
      <c r="A242" s="107">
        <v>242</v>
      </c>
      <c r="B242" s="46">
        <v>45418</v>
      </c>
      <c r="D242" s="13" t="s">
        <v>453</v>
      </c>
      <c r="E242" s="13" t="s">
        <v>51</v>
      </c>
      <c r="F242" s="13" t="s">
        <v>66</v>
      </c>
      <c r="G242" s="14" t="s">
        <v>17</v>
      </c>
      <c r="I242" s="14" t="s">
        <v>462</v>
      </c>
      <c r="J242" s="14" t="s">
        <v>68</v>
      </c>
      <c r="K242" s="21">
        <v>920753795</v>
      </c>
      <c r="L242" s="21">
        <v>997098424</v>
      </c>
      <c r="M242" s="14" t="s">
        <v>69</v>
      </c>
      <c r="N242" s="14" t="s">
        <v>70</v>
      </c>
      <c r="O242" s="14" t="s">
        <v>462</v>
      </c>
      <c r="P242" s="14" t="s">
        <v>74</v>
      </c>
      <c r="Q242" s="14" t="s">
        <v>2</v>
      </c>
      <c r="R242" s="14" t="s">
        <v>200</v>
      </c>
      <c r="S242" s="14" t="s">
        <v>71</v>
      </c>
      <c r="T242" s="15">
        <v>156.68</v>
      </c>
      <c r="U242" s="15"/>
      <c r="V242" s="16">
        <f>+T242*12/(1.005)/1.07</f>
        <v>1748.416794532013</v>
      </c>
      <c r="X242" s="14" t="s">
        <v>136</v>
      </c>
      <c r="Z242" s="14" t="s">
        <v>71</v>
      </c>
      <c r="AA242" s="18">
        <f>+DATE(YEAR(C242)+1,MONTH(C242),DAY(C242))</f>
        <v>366</v>
      </c>
      <c r="AB242" s="19">
        <f ca="1">+TODAY()-AA242</f>
        <v>45465</v>
      </c>
      <c r="AC242" s="20"/>
      <c r="AD242" s="19"/>
      <c r="AE242" s="98"/>
    </row>
    <row r="243" spans="1:31" x14ac:dyDescent="0.3">
      <c r="A243" s="108">
        <v>243</v>
      </c>
      <c r="B243" s="46">
        <v>45420</v>
      </c>
      <c r="D243" s="13" t="s">
        <v>453</v>
      </c>
      <c r="E243" s="13" t="s">
        <v>51</v>
      </c>
      <c r="F243" s="13" t="s">
        <v>52</v>
      </c>
      <c r="G243" s="14" t="s">
        <v>396</v>
      </c>
      <c r="H243" s="14">
        <v>4190667</v>
      </c>
      <c r="I243" s="14" t="s">
        <v>465</v>
      </c>
      <c r="K243" s="21"/>
      <c r="L243" s="21"/>
      <c r="Q243" s="14" t="s">
        <v>395</v>
      </c>
      <c r="R243" s="14" t="s">
        <v>115</v>
      </c>
      <c r="T243" s="15"/>
      <c r="U243" s="15"/>
      <c r="V243" s="16">
        <v>847.24</v>
      </c>
      <c r="AB243" s="19"/>
      <c r="AC243" s="20"/>
      <c r="AD243" s="19"/>
      <c r="AE243" s="98"/>
    </row>
    <row r="244" spans="1:31" x14ac:dyDescent="0.3">
      <c r="A244" s="105">
        <v>244</v>
      </c>
      <c r="B244" s="46">
        <v>45420</v>
      </c>
      <c r="D244" s="13" t="s">
        <v>453</v>
      </c>
      <c r="E244" s="13" t="s">
        <v>51</v>
      </c>
      <c r="F244" s="13" t="s">
        <v>66</v>
      </c>
      <c r="G244" s="14" t="s">
        <v>21</v>
      </c>
      <c r="I244" s="14" t="s">
        <v>464</v>
      </c>
      <c r="J244" s="14" t="s">
        <v>281</v>
      </c>
      <c r="K244" s="21">
        <v>931236525</v>
      </c>
      <c r="L244" s="21">
        <v>981483239</v>
      </c>
      <c r="M244" s="14" t="s">
        <v>69</v>
      </c>
      <c r="N244" s="14" t="s">
        <v>70</v>
      </c>
      <c r="O244" s="14" t="s">
        <v>464</v>
      </c>
      <c r="P244" s="14" t="s">
        <v>74</v>
      </c>
      <c r="Q244" s="14" t="s">
        <v>5</v>
      </c>
      <c r="R244" s="14" t="s">
        <v>177</v>
      </c>
      <c r="S244" s="14" t="s">
        <v>71</v>
      </c>
      <c r="T244" s="15">
        <v>50.73</v>
      </c>
      <c r="U244" s="15"/>
      <c r="V244" s="16">
        <f>+T244*12/(1.005)</f>
        <v>605.73134328358219</v>
      </c>
      <c r="X244" s="14" t="s">
        <v>136</v>
      </c>
      <c r="Z244" s="14" t="s">
        <v>71</v>
      </c>
      <c r="AA244" s="18">
        <f>+DATE(YEAR(C244)+1,MONTH(C244),DAY(C244))</f>
        <v>366</v>
      </c>
      <c r="AB244" s="19">
        <f ca="1">+TODAY()-AA244</f>
        <v>45465</v>
      </c>
      <c r="AC244" s="20"/>
      <c r="AD244" s="19"/>
      <c r="AE244" s="98"/>
    </row>
    <row r="245" spans="1:31" x14ac:dyDescent="0.3">
      <c r="A245" s="107">
        <v>245</v>
      </c>
      <c r="B245" s="46">
        <v>45420</v>
      </c>
      <c r="D245" s="13" t="s">
        <v>453</v>
      </c>
      <c r="E245" s="13" t="s">
        <v>792</v>
      </c>
      <c r="F245" s="13" t="s">
        <v>66</v>
      </c>
      <c r="G245" s="14" t="s">
        <v>21</v>
      </c>
      <c r="I245" s="14" t="s">
        <v>464</v>
      </c>
      <c r="J245" s="14" t="s">
        <v>281</v>
      </c>
      <c r="K245" s="21">
        <v>931236525</v>
      </c>
      <c r="L245" s="21">
        <v>981483239</v>
      </c>
      <c r="M245" s="14" t="s">
        <v>69</v>
      </c>
      <c r="N245" s="14" t="s">
        <v>70</v>
      </c>
      <c r="O245" s="14" t="s">
        <v>464</v>
      </c>
      <c r="P245" s="14" t="s">
        <v>74</v>
      </c>
      <c r="Q245" s="14" t="s">
        <v>3</v>
      </c>
      <c r="R245" s="14" t="s">
        <v>64</v>
      </c>
      <c r="S245" s="14" t="s">
        <v>71</v>
      </c>
      <c r="T245" s="15">
        <v>26.94</v>
      </c>
      <c r="U245" s="15"/>
      <c r="V245" s="16">
        <f>+(T245*1)/1.005</f>
        <v>26.805970149253735</v>
      </c>
      <c r="X245" s="14" t="s">
        <v>136</v>
      </c>
      <c r="Z245" s="14" t="s">
        <v>71</v>
      </c>
      <c r="AA245" s="18">
        <f>+DATE(YEAR(C245)+1,MONTH(C245),DAY(C245))</f>
        <v>366</v>
      </c>
      <c r="AB245" s="19">
        <f ca="1">+TODAY()-AA245</f>
        <v>45465</v>
      </c>
      <c r="AC245" s="20"/>
      <c r="AD245" s="19"/>
      <c r="AE245" s="98"/>
    </row>
    <row r="246" spans="1:31" x14ac:dyDescent="0.3">
      <c r="A246" s="108">
        <v>246</v>
      </c>
      <c r="B246" s="46">
        <v>45420</v>
      </c>
      <c r="D246" s="13" t="s">
        <v>453</v>
      </c>
      <c r="E246" s="13" t="s">
        <v>51</v>
      </c>
      <c r="F246" s="13" t="s">
        <v>66</v>
      </c>
      <c r="G246" s="14" t="s">
        <v>15</v>
      </c>
      <c r="I246" s="14" t="s">
        <v>463</v>
      </c>
      <c r="J246" s="14" t="s">
        <v>28</v>
      </c>
      <c r="K246" s="21">
        <v>104736152</v>
      </c>
      <c r="L246" s="21">
        <v>998991834</v>
      </c>
      <c r="M246" s="14" t="s">
        <v>88</v>
      </c>
      <c r="N246" s="14" t="s">
        <v>70</v>
      </c>
      <c r="O246" s="14" t="s">
        <v>449</v>
      </c>
      <c r="P246" s="14" t="s">
        <v>71</v>
      </c>
      <c r="Q246" s="14" t="s">
        <v>3</v>
      </c>
      <c r="R246" s="14" t="s">
        <v>450</v>
      </c>
      <c r="T246" s="15">
        <v>145.31</v>
      </c>
      <c r="U246" s="15"/>
      <c r="V246" s="16">
        <f>+(T246*12)/1.005-65</f>
        <v>1670.0447761194032</v>
      </c>
      <c r="X246" s="14" t="s">
        <v>136</v>
      </c>
      <c r="Z246" s="14" t="s">
        <v>71</v>
      </c>
      <c r="AA246" s="18">
        <f>+DATE(YEAR(C246)+1,MONTH(C246),DAY(C246))</f>
        <v>366</v>
      </c>
      <c r="AB246" s="19">
        <f ca="1">+TODAY()-AA246</f>
        <v>45465</v>
      </c>
      <c r="AC246" s="20"/>
      <c r="AD246" s="19"/>
      <c r="AE246" s="98"/>
    </row>
    <row r="247" spans="1:31" x14ac:dyDescent="0.3">
      <c r="A247" s="105">
        <v>247</v>
      </c>
      <c r="B247" s="46">
        <v>45421</v>
      </c>
      <c r="D247" s="13" t="s">
        <v>453</v>
      </c>
      <c r="E247" s="13" t="s">
        <v>51</v>
      </c>
      <c r="F247" s="13" t="s">
        <v>52</v>
      </c>
      <c r="G247" s="14" t="s">
        <v>466</v>
      </c>
      <c r="H247" s="14">
        <v>16037</v>
      </c>
      <c r="I247" s="14" t="s">
        <v>413</v>
      </c>
      <c r="K247" s="21"/>
      <c r="L247" s="21"/>
      <c r="Q247" s="14" t="s">
        <v>307</v>
      </c>
      <c r="R247" s="14" t="s">
        <v>391</v>
      </c>
      <c r="T247" s="15"/>
      <c r="U247" s="15"/>
      <c r="V247" s="16">
        <v>3014.01</v>
      </c>
      <c r="AB247" s="19"/>
      <c r="AC247" s="20"/>
      <c r="AD247" s="19"/>
      <c r="AE247" s="98"/>
    </row>
    <row r="248" spans="1:31" x14ac:dyDescent="0.3">
      <c r="A248" s="107">
        <v>248</v>
      </c>
      <c r="B248" s="46">
        <v>45421</v>
      </c>
      <c r="D248" s="13" t="s">
        <v>453</v>
      </c>
      <c r="E248" s="13" t="s">
        <v>51</v>
      </c>
      <c r="F248" s="13" t="s">
        <v>52</v>
      </c>
      <c r="G248" s="14" t="s">
        <v>467</v>
      </c>
      <c r="H248" s="14">
        <v>4190531</v>
      </c>
      <c r="I248" s="14" t="s">
        <v>468</v>
      </c>
      <c r="K248" s="21"/>
      <c r="L248" s="21"/>
      <c r="Q248" s="14" t="s">
        <v>395</v>
      </c>
      <c r="R248" s="14" t="s">
        <v>265</v>
      </c>
      <c r="T248" s="15"/>
      <c r="U248" s="15"/>
      <c r="V248" s="16">
        <v>738.13</v>
      </c>
      <c r="AB248" s="19"/>
      <c r="AC248" s="20"/>
      <c r="AD248" s="19"/>
      <c r="AE248" s="98"/>
    </row>
    <row r="249" spans="1:31" x14ac:dyDescent="0.3">
      <c r="A249" s="108">
        <v>249</v>
      </c>
      <c r="B249" s="46">
        <v>45421</v>
      </c>
      <c r="D249" s="13" t="s">
        <v>453</v>
      </c>
      <c r="E249" s="13" t="s">
        <v>51</v>
      </c>
      <c r="F249" s="13" t="s">
        <v>52</v>
      </c>
      <c r="G249" s="14" t="s">
        <v>459</v>
      </c>
      <c r="I249" s="14" t="s">
        <v>469</v>
      </c>
      <c r="K249" s="21"/>
      <c r="L249" s="21"/>
      <c r="Q249" s="14" t="s">
        <v>307</v>
      </c>
      <c r="R249" s="14" t="s">
        <v>327</v>
      </c>
      <c r="T249" s="15"/>
      <c r="U249" s="15"/>
      <c r="V249" s="16">
        <v>819.56</v>
      </c>
      <c r="AB249" s="19"/>
      <c r="AC249" s="20"/>
      <c r="AD249" s="19"/>
      <c r="AE249" s="98"/>
    </row>
    <row r="250" spans="1:31" x14ac:dyDescent="0.3">
      <c r="A250" s="105">
        <v>250</v>
      </c>
      <c r="B250" s="46">
        <v>45422</v>
      </c>
      <c r="D250" s="13" t="s">
        <v>453</v>
      </c>
      <c r="E250" s="13" t="s">
        <v>51</v>
      </c>
      <c r="F250" s="13" t="s">
        <v>52</v>
      </c>
      <c r="G250" s="14" t="s">
        <v>396</v>
      </c>
      <c r="H250" s="14">
        <v>16058</v>
      </c>
      <c r="I250" s="14" t="s">
        <v>471</v>
      </c>
      <c r="K250" s="21"/>
      <c r="L250" s="21"/>
      <c r="Q250" s="14" t="s">
        <v>307</v>
      </c>
      <c r="R250" s="14" t="s">
        <v>327</v>
      </c>
      <c r="T250" s="15"/>
      <c r="U250" s="15"/>
      <c r="V250" s="16">
        <v>795.08</v>
      </c>
      <c r="AB250" s="19"/>
      <c r="AC250" s="20"/>
      <c r="AD250" s="19"/>
      <c r="AE250" s="98"/>
    </row>
    <row r="251" spans="1:31" x14ac:dyDescent="0.3">
      <c r="A251" s="107">
        <v>251</v>
      </c>
      <c r="B251" s="46">
        <v>45422</v>
      </c>
      <c r="D251" s="13" t="s">
        <v>453</v>
      </c>
      <c r="E251" s="13" t="s">
        <v>51</v>
      </c>
      <c r="F251" s="13" t="s">
        <v>52</v>
      </c>
      <c r="G251" s="14" t="s">
        <v>396</v>
      </c>
      <c r="H251" s="14">
        <v>4190883</v>
      </c>
      <c r="I251" s="14" t="s">
        <v>472</v>
      </c>
      <c r="K251" s="21"/>
      <c r="L251" s="21"/>
      <c r="Q251" s="14" t="s">
        <v>395</v>
      </c>
      <c r="R251" s="14" t="s">
        <v>62</v>
      </c>
      <c r="T251" s="15"/>
      <c r="U251" s="15"/>
      <c r="V251" s="16">
        <v>1076.8499999999999</v>
      </c>
      <c r="AB251" s="19"/>
      <c r="AC251" s="20"/>
      <c r="AD251" s="19"/>
      <c r="AE251" s="98"/>
    </row>
    <row r="252" spans="1:31" x14ac:dyDescent="0.3">
      <c r="A252" s="108">
        <v>252</v>
      </c>
      <c r="B252" s="46">
        <v>45422</v>
      </c>
      <c r="D252" s="13" t="s">
        <v>453</v>
      </c>
      <c r="E252" s="13" t="s">
        <v>51</v>
      </c>
      <c r="F252" s="13" t="s">
        <v>66</v>
      </c>
      <c r="G252" s="14" t="s">
        <v>19</v>
      </c>
      <c r="I252" s="14" t="s">
        <v>470</v>
      </c>
      <c r="K252" s="21"/>
      <c r="L252" s="21"/>
      <c r="Q252" s="14" t="s">
        <v>395</v>
      </c>
      <c r="T252" s="15">
        <v>72.31</v>
      </c>
      <c r="U252" s="15"/>
      <c r="V252" s="16">
        <f>+T252*12/(1.005)</f>
        <v>863.40298507462694</v>
      </c>
      <c r="X252" s="14" t="s">
        <v>136</v>
      </c>
      <c r="Z252" s="14" t="s">
        <v>71</v>
      </c>
      <c r="AA252" s="18">
        <f>+DATE(YEAR(C252)+1,MONTH(C252),DAY(C252))</f>
        <v>366</v>
      </c>
      <c r="AB252" s="19">
        <f ca="1">+TODAY()-AA252</f>
        <v>45465</v>
      </c>
      <c r="AC252" s="20"/>
      <c r="AD252" s="19"/>
      <c r="AE252" s="98"/>
    </row>
    <row r="253" spans="1:31" x14ac:dyDescent="0.3">
      <c r="A253" s="105">
        <v>253</v>
      </c>
      <c r="B253" s="46">
        <v>45425</v>
      </c>
      <c r="D253" s="13" t="s">
        <v>453</v>
      </c>
      <c r="E253" s="13" t="s">
        <v>51</v>
      </c>
      <c r="F253" s="13" t="s">
        <v>52</v>
      </c>
      <c r="G253" s="14" t="s">
        <v>129</v>
      </c>
      <c r="H253" s="14">
        <v>4190888</v>
      </c>
      <c r="I253" s="14" t="s">
        <v>473</v>
      </c>
      <c r="K253" s="21"/>
      <c r="L253" s="21"/>
      <c r="Q253" s="14" t="s">
        <v>395</v>
      </c>
      <c r="R253" s="14" t="s">
        <v>117</v>
      </c>
      <c r="T253" s="15"/>
      <c r="U253" s="15"/>
      <c r="V253" s="16">
        <v>476.26</v>
      </c>
      <c r="AB253" s="19"/>
      <c r="AC253" s="20"/>
      <c r="AD253" s="19"/>
      <c r="AE253" s="98"/>
    </row>
    <row r="254" spans="1:31" x14ac:dyDescent="0.3">
      <c r="A254" s="107">
        <v>254</v>
      </c>
      <c r="B254" s="46">
        <v>45425</v>
      </c>
      <c r="D254" s="13" t="s">
        <v>453</v>
      </c>
      <c r="E254" s="13" t="s">
        <v>51</v>
      </c>
      <c r="F254" s="13" t="s">
        <v>52</v>
      </c>
      <c r="G254" s="14" t="s">
        <v>459</v>
      </c>
      <c r="I254" s="14" t="s">
        <v>476</v>
      </c>
      <c r="K254" s="21"/>
      <c r="L254" s="21"/>
      <c r="Q254" s="14" t="s">
        <v>477</v>
      </c>
      <c r="R254" s="14" t="s">
        <v>478</v>
      </c>
      <c r="T254" s="15"/>
      <c r="U254" s="15"/>
      <c r="V254" s="16">
        <v>858.56</v>
      </c>
      <c r="AB254" s="19"/>
      <c r="AC254" s="20"/>
      <c r="AD254" s="19"/>
      <c r="AE254" s="98"/>
    </row>
    <row r="255" spans="1:31" x14ac:dyDescent="0.3">
      <c r="A255" s="108">
        <v>255</v>
      </c>
      <c r="B255" s="46">
        <v>45425</v>
      </c>
      <c r="D255" s="13" t="s">
        <v>453</v>
      </c>
      <c r="E255" s="13" t="s">
        <v>51</v>
      </c>
      <c r="F255" s="13" t="s">
        <v>52</v>
      </c>
      <c r="G255" s="14" t="s">
        <v>396</v>
      </c>
      <c r="H255" s="14" t="s">
        <v>474</v>
      </c>
      <c r="I255" s="14" t="s">
        <v>475</v>
      </c>
      <c r="K255" s="21"/>
      <c r="L255" s="21"/>
      <c r="Q255" s="14" t="s">
        <v>3</v>
      </c>
      <c r="R255" s="14" t="s">
        <v>64</v>
      </c>
      <c r="T255" s="15"/>
      <c r="U255" s="15"/>
      <c r="V255" s="16">
        <v>3002.8</v>
      </c>
      <c r="AB255" s="19"/>
      <c r="AC255" s="20"/>
      <c r="AD255" s="19"/>
      <c r="AE255" s="98"/>
    </row>
    <row r="256" spans="1:31" x14ac:dyDescent="0.3">
      <c r="A256" s="105">
        <v>256</v>
      </c>
      <c r="B256" s="46">
        <v>45425</v>
      </c>
      <c r="D256" s="13" t="s">
        <v>453</v>
      </c>
      <c r="E256" s="13" t="s">
        <v>51</v>
      </c>
      <c r="F256" s="13" t="s">
        <v>66</v>
      </c>
      <c r="G256" s="14" t="s">
        <v>18</v>
      </c>
      <c r="I256" s="14" t="s">
        <v>479</v>
      </c>
      <c r="K256" s="21"/>
      <c r="L256" s="21"/>
      <c r="Q256" s="14" t="s">
        <v>4</v>
      </c>
      <c r="R256" s="14" t="s">
        <v>480</v>
      </c>
      <c r="T256" s="15"/>
      <c r="U256" s="15"/>
      <c r="V256" s="16">
        <v>1225</v>
      </c>
      <c r="AB256" s="19"/>
      <c r="AC256" s="20"/>
      <c r="AD256" s="19"/>
      <c r="AE256" s="98"/>
    </row>
    <row r="257" spans="1:31" x14ac:dyDescent="0.3">
      <c r="A257" s="107">
        <v>257</v>
      </c>
      <c r="B257" s="46">
        <v>45426</v>
      </c>
      <c r="D257" s="13" t="s">
        <v>453</v>
      </c>
      <c r="E257" s="13" t="s">
        <v>51</v>
      </c>
      <c r="F257" s="13" t="s">
        <v>52</v>
      </c>
      <c r="G257" s="14" t="s">
        <v>129</v>
      </c>
      <c r="H257" s="14">
        <v>350507</v>
      </c>
      <c r="I257" s="14" t="s">
        <v>473</v>
      </c>
      <c r="K257" s="21"/>
      <c r="L257" s="21"/>
      <c r="Q257" s="14" t="s">
        <v>404</v>
      </c>
      <c r="R257" s="14" t="s">
        <v>481</v>
      </c>
      <c r="T257" s="15"/>
      <c r="U257" s="15"/>
      <c r="V257" s="16">
        <v>1354</v>
      </c>
      <c r="AB257" s="19"/>
      <c r="AC257" s="20"/>
      <c r="AD257" s="19"/>
      <c r="AE257" s="98"/>
    </row>
    <row r="258" spans="1:31" x14ac:dyDescent="0.3">
      <c r="A258" s="108">
        <v>258</v>
      </c>
      <c r="B258" s="46">
        <v>45426</v>
      </c>
      <c r="D258" s="13" t="s">
        <v>453</v>
      </c>
      <c r="E258" s="13" t="s">
        <v>482</v>
      </c>
      <c r="F258" s="13" t="s">
        <v>52</v>
      </c>
      <c r="G258" s="14" t="s">
        <v>483</v>
      </c>
      <c r="H258" s="14">
        <v>14942</v>
      </c>
      <c r="I258" s="14" t="s">
        <v>484</v>
      </c>
      <c r="K258" s="21"/>
      <c r="L258" s="21"/>
      <c r="Q258" s="14" t="s">
        <v>307</v>
      </c>
      <c r="T258" s="15"/>
      <c r="U258" s="15"/>
      <c r="AB258" s="19"/>
      <c r="AC258" s="20"/>
      <c r="AD258" s="19"/>
      <c r="AE258" s="98"/>
    </row>
    <row r="259" spans="1:31" x14ac:dyDescent="0.3">
      <c r="A259" s="105">
        <v>259</v>
      </c>
      <c r="B259" s="46">
        <v>45426</v>
      </c>
      <c r="D259" s="13" t="s">
        <v>453</v>
      </c>
      <c r="E259" s="13" t="s">
        <v>51</v>
      </c>
      <c r="F259" s="13" t="s">
        <v>52</v>
      </c>
      <c r="G259" s="14" t="s">
        <v>396</v>
      </c>
      <c r="H259" s="14" t="s">
        <v>485</v>
      </c>
      <c r="I259" s="14" t="s">
        <v>366</v>
      </c>
      <c r="K259" s="21"/>
      <c r="L259" s="21"/>
      <c r="Q259" s="14" t="s">
        <v>3</v>
      </c>
      <c r="R259" s="14" t="s">
        <v>64</v>
      </c>
      <c r="T259" s="15"/>
      <c r="U259" s="15"/>
      <c r="V259" s="16">
        <v>733.58</v>
      </c>
      <c r="AB259" s="19"/>
      <c r="AC259" s="20"/>
      <c r="AD259" s="19"/>
      <c r="AE259" s="98"/>
    </row>
    <row r="260" spans="1:31" x14ac:dyDescent="0.3">
      <c r="A260" s="107">
        <v>260</v>
      </c>
      <c r="B260" s="46">
        <v>45426</v>
      </c>
      <c r="D260" s="13" t="s">
        <v>453</v>
      </c>
      <c r="E260" s="13" t="s">
        <v>51</v>
      </c>
      <c r="F260" s="13" t="s">
        <v>52</v>
      </c>
      <c r="G260" s="14" t="s">
        <v>396</v>
      </c>
      <c r="H260" s="14">
        <v>4191122</v>
      </c>
      <c r="I260" s="14" t="s">
        <v>486</v>
      </c>
      <c r="K260" s="21"/>
      <c r="L260" s="21"/>
      <c r="Q260" s="14" t="s">
        <v>395</v>
      </c>
      <c r="R260" s="14" t="s">
        <v>115</v>
      </c>
      <c r="T260" s="15"/>
      <c r="U260" s="15"/>
      <c r="V260" s="16">
        <v>1656.65</v>
      </c>
      <c r="AB260" s="19"/>
      <c r="AC260" s="20"/>
      <c r="AD260" s="19"/>
      <c r="AE260" s="98"/>
    </row>
    <row r="261" spans="1:31" x14ac:dyDescent="0.3">
      <c r="A261" s="108">
        <v>261</v>
      </c>
      <c r="B261" s="46">
        <v>45426</v>
      </c>
      <c r="D261" s="13" t="s">
        <v>453</v>
      </c>
      <c r="E261" s="13" t="s">
        <v>51</v>
      </c>
      <c r="F261" s="13" t="s">
        <v>52</v>
      </c>
      <c r="G261" s="14" t="s">
        <v>487</v>
      </c>
      <c r="H261" s="14">
        <v>4191095</v>
      </c>
      <c r="I261" s="14" t="s">
        <v>488</v>
      </c>
      <c r="K261" s="21"/>
      <c r="L261" s="21"/>
      <c r="Q261" s="14" t="s">
        <v>395</v>
      </c>
      <c r="R261" s="14" t="s">
        <v>265</v>
      </c>
      <c r="T261" s="15"/>
      <c r="U261" s="15"/>
      <c r="V261" s="16">
        <v>709.81</v>
      </c>
      <c r="AB261" s="19"/>
      <c r="AC261" s="20"/>
      <c r="AD261" s="19"/>
      <c r="AE261" s="98"/>
    </row>
    <row r="262" spans="1:31" x14ac:dyDescent="0.3">
      <c r="A262" s="105">
        <v>262</v>
      </c>
      <c r="B262" s="46">
        <v>45428</v>
      </c>
      <c r="D262" s="13" t="s">
        <v>453</v>
      </c>
      <c r="E262" s="13" t="s">
        <v>51</v>
      </c>
      <c r="F262" s="13" t="s">
        <v>52</v>
      </c>
      <c r="G262" s="14" t="s">
        <v>155</v>
      </c>
      <c r="H262" s="14">
        <v>4190828</v>
      </c>
      <c r="I262" s="14" t="s">
        <v>288</v>
      </c>
      <c r="K262" s="21"/>
      <c r="L262" s="21"/>
      <c r="Q262" s="14" t="s">
        <v>395</v>
      </c>
      <c r="R262" s="14" t="s">
        <v>493</v>
      </c>
      <c r="T262" s="15"/>
      <c r="U262" s="15"/>
      <c r="V262" s="16">
        <v>2424.9899999999998</v>
      </c>
      <c r="AB262" s="19"/>
      <c r="AC262" s="20"/>
      <c r="AD262" s="19"/>
      <c r="AE262" s="98"/>
    </row>
    <row r="263" spans="1:31" x14ac:dyDescent="0.3">
      <c r="A263" s="107">
        <v>263</v>
      </c>
      <c r="B263" s="46">
        <v>45428</v>
      </c>
      <c r="D263" s="13" t="s">
        <v>453</v>
      </c>
      <c r="E263" s="13" t="s">
        <v>51</v>
      </c>
      <c r="F263" s="13" t="s">
        <v>52</v>
      </c>
      <c r="G263" s="14" t="s">
        <v>491</v>
      </c>
      <c r="H263" s="14">
        <v>4190892</v>
      </c>
      <c r="I263" s="14" t="s">
        <v>492</v>
      </c>
      <c r="K263" s="21"/>
      <c r="L263" s="21"/>
      <c r="Q263" s="14" t="s">
        <v>395</v>
      </c>
      <c r="R263" s="14" t="s">
        <v>265</v>
      </c>
      <c r="T263" s="15"/>
      <c r="U263" s="15"/>
      <c r="V263" s="16">
        <v>2443.02</v>
      </c>
      <c r="AB263" s="19"/>
      <c r="AC263" s="20"/>
      <c r="AD263" s="19"/>
      <c r="AE263" s="98"/>
    </row>
    <row r="264" spans="1:31" x14ac:dyDescent="0.3">
      <c r="A264" s="108">
        <v>264</v>
      </c>
      <c r="B264" s="46">
        <v>45428</v>
      </c>
      <c r="D264" s="13" t="s">
        <v>453</v>
      </c>
      <c r="E264" s="13" t="s">
        <v>51</v>
      </c>
      <c r="F264" s="13" t="s">
        <v>66</v>
      </c>
      <c r="G264" s="14" t="s">
        <v>18</v>
      </c>
      <c r="I264" s="14" t="s">
        <v>489</v>
      </c>
      <c r="K264" s="21"/>
      <c r="L264" s="21"/>
      <c r="Q264" s="14" t="s">
        <v>307</v>
      </c>
      <c r="T264" s="15">
        <v>83.32</v>
      </c>
      <c r="U264" s="15"/>
      <c r="V264" s="16">
        <f>+T264*12/(1.005)</f>
        <v>994.8656716417911</v>
      </c>
      <c r="X264" s="14" t="s">
        <v>136</v>
      </c>
      <c r="Z264" s="14" t="s">
        <v>71</v>
      </c>
      <c r="AA264" s="18">
        <f>+DATE(YEAR(C264)+1,MONTH(C264),DAY(C264))</f>
        <v>366</v>
      </c>
      <c r="AB264" s="19">
        <f ca="1">+TODAY()-AA264</f>
        <v>45465</v>
      </c>
      <c r="AC264" s="20"/>
      <c r="AD264" s="19"/>
      <c r="AE264" s="98"/>
    </row>
    <row r="265" spans="1:31" x14ac:dyDescent="0.3">
      <c r="A265" s="105">
        <v>265</v>
      </c>
      <c r="B265" s="46">
        <v>45428</v>
      </c>
      <c r="D265" s="13" t="s">
        <v>453</v>
      </c>
      <c r="E265" s="13" t="s">
        <v>51</v>
      </c>
      <c r="F265" s="13" t="s">
        <v>66</v>
      </c>
      <c r="G265" s="14" t="s">
        <v>18</v>
      </c>
      <c r="I265" s="14" t="s">
        <v>490</v>
      </c>
      <c r="K265" s="21"/>
      <c r="L265" s="21"/>
      <c r="Q265" s="14" t="s">
        <v>2</v>
      </c>
      <c r="T265" s="15">
        <v>20.260000000000002</v>
      </c>
      <c r="U265" s="15"/>
      <c r="V265" s="16">
        <f>+T265*12/(1.005)/1.07</f>
        <v>226.08453061793836</v>
      </c>
      <c r="X265" s="14" t="s">
        <v>136</v>
      </c>
      <c r="Z265" s="14" t="s">
        <v>71</v>
      </c>
      <c r="AA265" s="18">
        <f>+DATE(YEAR(C265)+1,MONTH(C265),DAY(C265))</f>
        <v>366</v>
      </c>
      <c r="AB265" s="19">
        <f ca="1">+TODAY()-AA265</f>
        <v>45465</v>
      </c>
      <c r="AC265" s="20"/>
      <c r="AD265" s="19"/>
      <c r="AE265" s="98"/>
    </row>
    <row r="266" spans="1:31" x14ac:dyDescent="0.3">
      <c r="A266" s="107">
        <v>266</v>
      </c>
      <c r="B266" s="46">
        <v>45428</v>
      </c>
      <c r="D266" s="13" t="s">
        <v>453</v>
      </c>
      <c r="E266" s="13" t="s">
        <v>51</v>
      </c>
      <c r="F266" s="13" t="s">
        <v>66</v>
      </c>
      <c r="G266" s="14" t="s">
        <v>18</v>
      </c>
      <c r="I266" s="14" t="s">
        <v>489</v>
      </c>
      <c r="K266" s="21"/>
      <c r="L266" s="21"/>
      <c r="Q266" s="14" t="s">
        <v>3</v>
      </c>
      <c r="R266" s="14" t="s">
        <v>64</v>
      </c>
      <c r="T266" s="15">
        <f>+Tabla1[[#This Row],[PAGO ANUAL]]/12</f>
        <v>26.745833333333334</v>
      </c>
      <c r="U266" s="15">
        <v>320.95</v>
      </c>
      <c r="V266" s="16">
        <f>+(T266*12)/1.005-65</f>
        <v>254.3532338308458</v>
      </c>
      <c r="X266" s="14" t="s">
        <v>136</v>
      </c>
      <c r="Z266" s="14" t="s">
        <v>71</v>
      </c>
      <c r="AA266" s="18">
        <f>+DATE(YEAR(C266)+1,MONTH(C266),DAY(C266))</f>
        <v>366</v>
      </c>
      <c r="AB266" s="19"/>
      <c r="AC266" s="20"/>
      <c r="AD266" s="19"/>
      <c r="AE266" s="98"/>
    </row>
    <row r="267" spans="1:31" x14ac:dyDescent="0.3">
      <c r="A267" s="108">
        <v>267</v>
      </c>
      <c r="B267" s="46">
        <v>45429</v>
      </c>
      <c r="D267" s="13" t="s">
        <v>453</v>
      </c>
      <c r="E267" s="13" t="s">
        <v>51</v>
      </c>
      <c r="F267" s="13" t="s">
        <v>52</v>
      </c>
      <c r="G267" s="14" t="s">
        <v>113</v>
      </c>
      <c r="I267" s="14" t="s">
        <v>495</v>
      </c>
      <c r="K267" s="21"/>
      <c r="L267" s="21"/>
      <c r="Q267" s="14" t="s">
        <v>307</v>
      </c>
      <c r="R267" s="14" t="s">
        <v>391</v>
      </c>
      <c r="T267" s="15"/>
      <c r="U267" s="15"/>
      <c r="V267" s="16">
        <v>1429.22</v>
      </c>
      <c r="AB267" s="19"/>
      <c r="AC267" s="20"/>
      <c r="AD267" s="19"/>
      <c r="AE267" s="98"/>
    </row>
    <row r="268" spans="1:31" x14ac:dyDescent="0.3">
      <c r="A268" s="105">
        <v>268</v>
      </c>
      <c r="B268" s="46">
        <v>45429</v>
      </c>
      <c r="D268" s="13" t="s">
        <v>453</v>
      </c>
      <c r="E268" s="13" t="s">
        <v>51</v>
      </c>
      <c r="F268" s="13" t="s">
        <v>52</v>
      </c>
      <c r="G268" s="14" t="s">
        <v>491</v>
      </c>
      <c r="H268" s="14">
        <v>4191327</v>
      </c>
      <c r="I268" s="14" t="s">
        <v>494</v>
      </c>
      <c r="K268" s="21"/>
      <c r="L268" s="21"/>
      <c r="Q268" s="14" t="s">
        <v>395</v>
      </c>
      <c r="T268" s="15"/>
      <c r="U268" s="15"/>
      <c r="V268" s="16">
        <v>1505.13</v>
      </c>
      <c r="AB268" s="19"/>
      <c r="AC268" s="20"/>
      <c r="AD268" s="19"/>
      <c r="AE268" s="98"/>
    </row>
    <row r="269" spans="1:31" x14ac:dyDescent="0.3">
      <c r="A269" s="107">
        <v>269</v>
      </c>
      <c r="B269" s="46">
        <v>45433</v>
      </c>
      <c r="D269" s="13" t="s">
        <v>453</v>
      </c>
      <c r="E269" s="13" t="s">
        <v>51</v>
      </c>
      <c r="F269" s="13" t="s">
        <v>52</v>
      </c>
      <c r="G269" s="14" t="s">
        <v>396</v>
      </c>
      <c r="H269" s="14">
        <v>4191172</v>
      </c>
      <c r="I269" s="14" t="s">
        <v>496</v>
      </c>
      <c r="K269" s="21"/>
      <c r="L269" s="21"/>
      <c r="Q269" s="14" t="s">
        <v>395</v>
      </c>
      <c r="R269" s="14" t="s">
        <v>322</v>
      </c>
      <c r="T269" s="15"/>
      <c r="U269" s="15"/>
      <c r="V269" s="16">
        <v>1754.68</v>
      </c>
      <c r="AB269" s="19"/>
      <c r="AC269" s="20"/>
      <c r="AD269" s="19"/>
      <c r="AE269" s="98"/>
    </row>
    <row r="270" spans="1:31" x14ac:dyDescent="0.3">
      <c r="A270" s="108">
        <v>270</v>
      </c>
      <c r="B270" s="46">
        <v>45434</v>
      </c>
      <c r="D270" s="13" t="s">
        <v>453</v>
      </c>
      <c r="E270" s="13" t="s">
        <v>51</v>
      </c>
      <c r="F270" s="13" t="s">
        <v>66</v>
      </c>
      <c r="G270" s="14" t="s">
        <v>11</v>
      </c>
      <c r="I270" s="14" t="s">
        <v>498</v>
      </c>
      <c r="K270" s="21"/>
      <c r="L270" s="21"/>
      <c r="Q270" s="14" t="s">
        <v>132</v>
      </c>
      <c r="T270" s="15">
        <v>77</v>
      </c>
      <c r="U270" s="15"/>
      <c r="V270" s="16">
        <f>+Tabla1[[#This Row],[PAGO MENSUAL]]</f>
        <v>77</v>
      </c>
      <c r="X270" s="14" t="s">
        <v>136</v>
      </c>
      <c r="Z270" s="14" t="s">
        <v>71</v>
      </c>
      <c r="AA270" s="18">
        <f>+DATE(YEAR(C270)+1,MONTH(C270),DAY(C270))</f>
        <v>366</v>
      </c>
      <c r="AB270" s="19"/>
      <c r="AC270" s="20"/>
      <c r="AD270" s="19"/>
      <c r="AE270" s="98"/>
    </row>
    <row r="271" spans="1:31" x14ac:dyDescent="0.3">
      <c r="A271" s="105">
        <v>271</v>
      </c>
      <c r="B271" s="46">
        <v>45434</v>
      </c>
      <c r="D271" s="13" t="s">
        <v>453</v>
      </c>
      <c r="E271" s="13" t="s">
        <v>51</v>
      </c>
      <c r="F271" s="13" t="s">
        <v>66</v>
      </c>
      <c r="G271" s="14" t="s">
        <v>16</v>
      </c>
      <c r="I271" s="14" t="s">
        <v>499</v>
      </c>
      <c r="K271" s="21"/>
      <c r="L271" s="21"/>
      <c r="Q271" s="14" t="s">
        <v>2</v>
      </c>
      <c r="R271" s="14" t="s">
        <v>421</v>
      </c>
      <c r="T271" s="15">
        <v>57.4</v>
      </c>
      <c r="U271" s="15"/>
      <c r="V271" s="16">
        <f>+T271*12/(1.005)/1.07</f>
        <v>640.53563955921322</v>
      </c>
      <c r="X271" s="14" t="s">
        <v>136</v>
      </c>
      <c r="Z271" s="14" t="s">
        <v>71</v>
      </c>
      <c r="AA271" s="18">
        <f>+DATE(YEAR(C271)+1,MONTH(C271),DAY(C271))</f>
        <v>366</v>
      </c>
      <c r="AB271" s="19"/>
      <c r="AC271" s="20"/>
      <c r="AD271" s="19"/>
      <c r="AE271" s="98"/>
    </row>
    <row r="272" spans="1:31" x14ac:dyDescent="0.3">
      <c r="A272" s="107">
        <v>272</v>
      </c>
      <c r="B272" s="46">
        <v>45434</v>
      </c>
      <c r="D272" s="13" t="s">
        <v>453</v>
      </c>
      <c r="E272" s="13" t="s">
        <v>51</v>
      </c>
      <c r="F272" s="13" t="s">
        <v>66</v>
      </c>
      <c r="G272" s="14" t="s">
        <v>175</v>
      </c>
      <c r="I272" s="14" t="s">
        <v>497</v>
      </c>
      <c r="K272" s="21"/>
      <c r="L272" s="21"/>
      <c r="Q272" s="14" t="s">
        <v>5</v>
      </c>
      <c r="R272" s="14" t="s">
        <v>177</v>
      </c>
      <c r="T272" s="15">
        <v>62.33</v>
      </c>
      <c r="U272" s="15"/>
      <c r="V272" s="16">
        <f>+T272*12/(1.005)</f>
        <v>744.23880597014931</v>
      </c>
      <c r="X272" s="14" t="s">
        <v>136</v>
      </c>
      <c r="Z272" s="14" t="s">
        <v>71</v>
      </c>
      <c r="AA272" s="18">
        <f>+DATE(YEAR(C272)+1,MONTH(C272),DAY(C272))</f>
        <v>366</v>
      </c>
      <c r="AB272" s="19"/>
      <c r="AC272" s="20"/>
      <c r="AD272" s="19"/>
      <c r="AE272" s="98"/>
    </row>
    <row r="273" spans="1:31" x14ac:dyDescent="0.3">
      <c r="A273" s="108">
        <v>273</v>
      </c>
      <c r="B273" s="46">
        <v>45435</v>
      </c>
      <c r="D273" s="13" t="s">
        <v>453</v>
      </c>
      <c r="E273" s="13" t="s">
        <v>51</v>
      </c>
      <c r="F273" s="13" t="s">
        <v>52</v>
      </c>
      <c r="G273" s="14" t="s">
        <v>483</v>
      </c>
      <c r="H273" s="14">
        <v>4191568</v>
      </c>
      <c r="I273" s="14" t="s">
        <v>500</v>
      </c>
      <c r="K273" s="21"/>
      <c r="L273" s="21"/>
      <c r="Q273" s="14" t="s">
        <v>395</v>
      </c>
      <c r="R273" s="14" t="s">
        <v>265</v>
      </c>
      <c r="T273" s="15"/>
      <c r="U273" s="15"/>
      <c r="V273" s="16">
        <v>721.75</v>
      </c>
      <c r="AB273" s="19"/>
      <c r="AC273" s="20"/>
      <c r="AD273" s="19"/>
      <c r="AE273" s="98"/>
    </row>
    <row r="274" spans="1:31" x14ac:dyDescent="0.3">
      <c r="A274" s="105">
        <v>274</v>
      </c>
      <c r="B274" s="46">
        <v>45437</v>
      </c>
      <c r="D274" s="13" t="s">
        <v>453</v>
      </c>
      <c r="E274" s="13" t="s">
        <v>186</v>
      </c>
      <c r="F274" s="13" t="s">
        <v>66</v>
      </c>
      <c r="G274" s="14" t="s">
        <v>13</v>
      </c>
      <c r="I274" s="14" t="s">
        <v>501</v>
      </c>
      <c r="K274" s="21"/>
      <c r="L274" s="21"/>
      <c r="Q274" s="14" t="s">
        <v>188</v>
      </c>
      <c r="T274" s="15">
        <v>44.73</v>
      </c>
      <c r="U274" s="15"/>
      <c r="V274" s="16">
        <f>+Tabla1[[#This Row],[PAGO MENSUAL]]*12/(1.005)</f>
        <v>534.08955223880605</v>
      </c>
      <c r="AB274" s="19"/>
      <c r="AC274" s="20"/>
      <c r="AD274" s="19"/>
      <c r="AE274" s="98"/>
    </row>
    <row r="275" spans="1:31" x14ac:dyDescent="0.3">
      <c r="A275" s="107">
        <v>275</v>
      </c>
      <c r="B275" s="46">
        <v>45441</v>
      </c>
      <c r="D275" s="13" t="s">
        <v>453</v>
      </c>
      <c r="E275" s="13" t="s">
        <v>51</v>
      </c>
      <c r="F275" s="13" t="s">
        <v>52</v>
      </c>
      <c r="G275" s="14" t="s">
        <v>129</v>
      </c>
      <c r="H275" s="14">
        <v>4192033</v>
      </c>
      <c r="I275" s="14" t="s">
        <v>506</v>
      </c>
      <c r="K275" s="21"/>
      <c r="L275" s="21"/>
      <c r="Q275" s="14" t="s">
        <v>395</v>
      </c>
      <c r="R275" s="14" t="s">
        <v>507</v>
      </c>
      <c r="T275" s="15"/>
      <c r="U275" s="15"/>
      <c r="V275" s="16">
        <v>1437.79</v>
      </c>
      <c r="AB275" s="19"/>
      <c r="AC275" s="20"/>
      <c r="AD275" s="19"/>
      <c r="AE275" s="98"/>
    </row>
    <row r="276" spans="1:31" x14ac:dyDescent="0.3">
      <c r="A276" s="108">
        <v>276</v>
      </c>
      <c r="B276" s="46">
        <v>45441</v>
      </c>
      <c r="D276" s="13" t="s">
        <v>453</v>
      </c>
      <c r="E276" s="13" t="s">
        <v>51</v>
      </c>
      <c r="F276" s="13" t="s">
        <v>52</v>
      </c>
      <c r="G276" s="14" t="s">
        <v>129</v>
      </c>
      <c r="H276" s="14">
        <v>4192032</v>
      </c>
      <c r="I276" s="14" t="s">
        <v>508</v>
      </c>
      <c r="K276" s="21"/>
      <c r="L276" s="21"/>
      <c r="Q276" s="14" t="s">
        <v>395</v>
      </c>
      <c r="R276" s="14" t="s">
        <v>507</v>
      </c>
      <c r="T276" s="15"/>
      <c r="U276" s="15"/>
      <c r="V276" s="16">
        <v>1437.79</v>
      </c>
      <c r="AB276" s="19"/>
      <c r="AC276" s="20"/>
      <c r="AD276" s="19"/>
      <c r="AE276" s="98"/>
    </row>
    <row r="277" spans="1:31" x14ac:dyDescent="0.3">
      <c r="A277" s="105">
        <v>277</v>
      </c>
      <c r="B277" s="46">
        <v>45441</v>
      </c>
      <c r="D277" s="13" t="s">
        <v>453</v>
      </c>
      <c r="E277" s="13" t="s">
        <v>51</v>
      </c>
      <c r="F277" s="13" t="s">
        <v>52</v>
      </c>
      <c r="G277" s="14" t="s">
        <v>491</v>
      </c>
      <c r="H277" s="14">
        <v>4191945</v>
      </c>
      <c r="I277" s="14" t="s">
        <v>505</v>
      </c>
      <c r="K277" s="21"/>
      <c r="L277" s="21"/>
      <c r="Q277" s="14" t="s">
        <v>395</v>
      </c>
      <c r="R277" s="14" t="s">
        <v>115</v>
      </c>
      <c r="T277" s="15"/>
      <c r="U277" s="15"/>
      <c r="V277" s="16">
        <v>501.7</v>
      </c>
      <c r="AB277" s="19"/>
      <c r="AC277" s="20"/>
      <c r="AD277" s="19"/>
      <c r="AE277" s="98"/>
    </row>
    <row r="278" spans="1:31" x14ac:dyDescent="0.3">
      <c r="A278" s="107">
        <v>278</v>
      </c>
      <c r="B278" s="46">
        <v>45441</v>
      </c>
      <c r="D278" s="13" t="s">
        <v>453</v>
      </c>
      <c r="E278" s="13" t="s">
        <v>51</v>
      </c>
      <c r="F278" s="13" t="s">
        <v>52</v>
      </c>
      <c r="G278" s="14" t="s">
        <v>491</v>
      </c>
      <c r="H278" s="14">
        <v>4191959</v>
      </c>
      <c r="I278" s="14" t="s">
        <v>505</v>
      </c>
      <c r="K278" s="21"/>
      <c r="L278" s="21"/>
      <c r="Q278" s="14" t="s">
        <v>395</v>
      </c>
      <c r="R278" s="14" t="s">
        <v>115</v>
      </c>
      <c r="T278" s="15"/>
      <c r="U278" s="15"/>
      <c r="V278" s="16">
        <v>501.7</v>
      </c>
      <c r="AB278" s="19"/>
      <c r="AC278" s="20"/>
      <c r="AD278" s="19"/>
      <c r="AE278" s="98"/>
    </row>
    <row r="279" spans="1:31" x14ac:dyDescent="0.3">
      <c r="A279" s="108">
        <v>279</v>
      </c>
      <c r="B279" s="46">
        <v>45441</v>
      </c>
      <c r="D279" s="13" t="s">
        <v>453</v>
      </c>
      <c r="E279" s="13" t="s">
        <v>51</v>
      </c>
      <c r="F279" s="13" t="s">
        <v>52</v>
      </c>
      <c r="G279" s="14" t="s">
        <v>491</v>
      </c>
      <c r="H279" s="14">
        <v>4191946</v>
      </c>
      <c r="I279" s="14" t="s">
        <v>505</v>
      </c>
      <c r="K279" s="21"/>
      <c r="L279" s="21"/>
      <c r="Q279" s="14" t="s">
        <v>395</v>
      </c>
      <c r="R279" s="14" t="s">
        <v>115</v>
      </c>
      <c r="T279" s="15"/>
      <c r="U279" s="15"/>
      <c r="V279" s="16">
        <v>501.7</v>
      </c>
      <c r="AB279" s="19"/>
      <c r="AC279" s="20"/>
      <c r="AD279" s="19"/>
      <c r="AE279" s="98"/>
    </row>
    <row r="280" spans="1:31" x14ac:dyDescent="0.3">
      <c r="A280" s="105">
        <v>280</v>
      </c>
      <c r="B280" s="46">
        <v>45441</v>
      </c>
      <c r="D280" s="13" t="s">
        <v>453</v>
      </c>
      <c r="E280" s="13" t="s">
        <v>51</v>
      </c>
      <c r="F280" s="13" t="s">
        <v>52</v>
      </c>
      <c r="G280" s="14" t="s">
        <v>396</v>
      </c>
      <c r="H280" s="14">
        <v>4191622</v>
      </c>
      <c r="I280" s="14" t="s">
        <v>504</v>
      </c>
      <c r="K280" s="21"/>
      <c r="L280" s="21"/>
      <c r="Q280" s="14" t="s">
        <v>395</v>
      </c>
      <c r="R280" s="14" t="s">
        <v>322</v>
      </c>
      <c r="T280" s="15"/>
      <c r="U280" s="15"/>
      <c r="V280" s="16">
        <v>477.58</v>
      </c>
      <c r="AB280" s="19"/>
      <c r="AC280" s="20"/>
      <c r="AD280" s="19"/>
      <c r="AE280" s="98"/>
    </row>
    <row r="281" spans="1:31" x14ac:dyDescent="0.3">
      <c r="A281" s="107">
        <v>281</v>
      </c>
      <c r="B281" s="46">
        <v>45441</v>
      </c>
      <c r="D281" s="13" t="s">
        <v>453</v>
      </c>
      <c r="E281" s="13" t="s">
        <v>51</v>
      </c>
      <c r="F281" s="13" t="s">
        <v>66</v>
      </c>
      <c r="G281" s="14" t="s">
        <v>240</v>
      </c>
      <c r="I281" s="14" t="s">
        <v>502</v>
      </c>
      <c r="J281" s="14" t="s">
        <v>503</v>
      </c>
      <c r="K281" s="21">
        <v>910790609</v>
      </c>
      <c r="L281" s="21"/>
      <c r="Q281" s="14" t="s">
        <v>2</v>
      </c>
      <c r="R281" s="14" t="s">
        <v>220</v>
      </c>
      <c r="T281" s="15">
        <v>69.78</v>
      </c>
      <c r="U281" s="15"/>
      <c r="V281" s="16">
        <f>+T281*12/(1.005)/1.07</f>
        <v>778.6860092063049</v>
      </c>
      <c r="X281" s="14" t="s">
        <v>136</v>
      </c>
      <c r="Z281" s="14" t="s">
        <v>71</v>
      </c>
      <c r="AA281" s="18">
        <f>+DATE(YEAR(C281)+1,MONTH(C281),DAY(C281))</f>
        <v>366</v>
      </c>
      <c r="AB281" s="19">
        <f ca="1">+TODAY()-AA281</f>
        <v>45465</v>
      </c>
      <c r="AC281" s="20"/>
      <c r="AD281" s="19"/>
      <c r="AE281" s="98"/>
    </row>
    <row r="282" spans="1:31" x14ac:dyDescent="0.3">
      <c r="A282" s="108">
        <v>282</v>
      </c>
      <c r="B282" s="46">
        <v>45442</v>
      </c>
      <c r="D282" s="13" t="s">
        <v>453</v>
      </c>
      <c r="E282" s="13" t="s">
        <v>51</v>
      </c>
      <c r="F282" s="13" t="s">
        <v>52</v>
      </c>
      <c r="G282" s="14" t="s">
        <v>491</v>
      </c>
      <c r="H282" s="14">
        <v>4192242</v>
      </c>
      <c r="I282" s="14" t="s">
        <v>509</v>
      </c>
      <c r="K282" s="21"/>
      <c r="L282" s="21"/>
      <c r="Q282" s="14" t="s">
        <v>395</v>
      </c>
      <c r="R282" s="14" t="s">
        <v>265</v>
      </c>
      <c r="T282" s="15"/>
      <c r="U282" s="15"/>
      <c r="V282" s="16">
        <v>3577.68</v>
      </c>
      <c r="AB282" s="19"/>
      <c r="AC282" s="20"/>
      <c r="AD282" s="19"/>
      <c r="AE282" s="98"/>
    </row>
    <row r="283" spans="1:31" x14ac:dyDescent="0.3">
      <c r="A283" s="105">
        <v>283</v>
      </c>
      <c r="B283" s="46">
        <v>45443</v>
      </c>
      <c r="D283" s="13" t="s">
        <v>453</v>
      </c>
      <c r="E283" s="13" t="s">
        <v>51</v>
      </c>
      <c r="F283" s="13" t="s">
        <v>52</v>
      </c>
      <c r="G283" s="14" t="s">
        <v>396</v>
      </c>
      <c r="I283" s="14" t="s">
        <v>529</v>
      </c>
      <c r="K283" s="21"/>
      <c r="L283" s="21"/>
      <c r="Q283" s="14" t="s">
        <v>307</v>
      </c>
      <c r="R283" s="14" t="s">
        <v>308</v>
      </c>
      <c r="T283" s="15"/>
      <c r="U283" s="15"/>
      <c r="V283" s="16">
        <v>2697.72</v>
      </c>
      <c r="AB283" s="19"/>
      <c r="AC283" s="20"/>
      <c r="AD283" s="19"/>
      <c r="AE283" s="98"/>
    </row>
    <row r="284" spans="1:31" x14ac:dyDescent="0.3">
      <c r="A284" s="107">
        <v>284</v>
      </c>
      <c r="B284" s="46">
        <v>45443</v>
      </c>
      <c r="D284" s="13" t="s">
        <v>453</v>
      </c>
      <c r="E284" s="13" t="s">
        <v>51</v>
      </c>
      <c r="F284" s="13" t="s">
        <v>52</v>
      </c>
      <c r="G284" s="14" t="s">
        <v>396</v>
      </c>
      <c r="I284" s="14" t="s">
        <v>530</v>
      </c>
      <c r="K284" s="21"/>
      <c r="L284" s="21"/>
      <c r="Q284" s="14" t="s">
        <v>307</v>
      </c>
      <c r="R284" s="14" t="s">
        <v>387</v>
      </c>
      <c r="T284" s="15"/>
      <c r="U284" s="15"/>
      <c r="V284" s="16">
        <v>851.44</v>
      </c>
      <c r="AB284" s="19"/>
      <c r="AC284" s="20"/>
      <c r="AD284" s="19"/>
      <c r="AE284" s="98"/>
    </row>
    <row r="285" spans="1:31" x14ac:dyDescent="0.3">
      <c r="A285" s="108">
        <v>285</v>
      </c>
      <c r="B285" s="46">
        <v>45443</v>
      </c>
      <c r="D285" s="13" t="s">
        <v>453</v>
      </c>
      <c r="E285" s="13" t="s">
        <v>51</v>
      </c>
      <c r="F285" s="13" t="s">
        <v>66</v>
      </c>
      <c r="G285" s="14" t="s">
        <v>11</v>
      </c>
      <c r="I285" s="14" t="s">
        <v>527</v>
      </c>
      <c r="K285" s="21"/>
      <c r="L285" s="21"/>
      <c r="Q285" s="14" t="s">
        <v>2</v>
      </c>
      <c r="R285" s="14" t="s">
        <v>516</v>
      </c>
      <c r="T285" s="15">
        <v>166.68</v>
      </c>
      <c r="U285" s="15"/>
      <c r="V285" s="16">
        <f>+T285*12/(1.005)/1.07</f>
        <v>1860.0083693681129</v>
      </c>
      <c r="X285" s="14" t="s">
        <v>136</v>
      </c>
      <c r="Z285" s="14" t="s">
        <v>71</v>
      </c>
      <c r="AA285" s="18">
        <f>+DATE(YEAR(C285)+1,MONTH(C285),DAY(C285))</f>
        <v>366</v>
      </c>
      <c r="AB285" s="19"/>
      <c r="AC285" s="20"/>
      <c r="AD285" s="19"/>
      <c r="AE285" s="98"/>
    </row>
    <row r="286" spans="1:31" x14ac:dyDescent="0.3">
      <c r="A286" s="105">
        <v>286</v>
      </c>
      <c r="B286" s="46">
        <v>45443</v>
      </c>
      <c r="D286" s="13" t="s">
        <v>453</v>
      </c>
      <c r="E286" s="13" t="s">
        <v>51</v>
      </c>
      <c r="F286" s="13" t="s">
        <v>66</v>
      </c>
      <c r="G286" s="14" t="s">
        <v>11</v>
      </c>
      <c r="I286" s="14" t="s">
        <v>531</v>
      </c>
      <c r="K286" s="21"/>
      <c r="L286" s="21"/>
      <c r="M286" s="14" t="s">
        <v>69</v>
      </c>
      <c r="N286" s="14" t="s">
        <v>70</v>
      </c>
      <c r="O286" s="14" t="s">
        <v>359</v>
      </c>
      <c r="P286" s="14" t="s">
        <v>71</v>
      </c>
      <c r="Q286" s="14" t="s">
        <v>2</v>
      </c>
      <c r="R286" s="14" t="s">
        <v>421</v>
      </c>
      <c r="T286" s="15">
        <v>62.61</v>
      </c>
      <c r="U286" s="15"/>
      <c r="V286" s="16">
        <f>+Tabla1[[#This Row],[PAGO MENSUAL]]*12/1.09</f>
        <v>689.28440366972461</v>
      </c>
      <c r="AB286" s="19"/>
      <c r="AC286" s="20"/>
      <c r="AD286" s="19"/>
      <c r="AE286" s="98"/>
    </row>
    <row r="287" spans="1:31" x14ac:dyDescent="0.3">
      <c r="A287" s="107">
        <v>287</v>
      </c>
      <c r="B287" s="46">
        <v>45443</v>
      </c>
      <c r="D287" s="13" t="s">
        <v>453</v>
      </c>
      <c r="E287" s="13" t="s">
        <v>51</v>
      </c>
      <c r="F287" s="13" t="s">
        <v>66</v>
      </c>
      <c r="G287" s="14" t="s">
        <v>218</v>
      </c>
      <c r="I287" s="14" t="s">
        <v>219</v>
      </c>
      <c r="J287" s="14" t="s">
        <v>515</v>
      </c>
      <c r="K287" s="21"/>
      <c r="L287" s="21"/>
      <c r="Q287" s="14" t="s">
        <v>2</v>
      </c>
      <c r="R287" s="14" t="s">
        <v>516</v>
      </c>
      <c r="T287" s="15">
        <v>166.68</v>
      </c>
      <c r="U287" s="15"/>
      <c r="V287" s="16">
        <f>+T287*12/(1.005)/1.07</f>
        <v>1860.0083693681129</v>
      </c>
      <c r="X287" s="14" t="s">
        <v>136</v>
      </c>
      <c r="Z287" s="14" t="s">
        <v>71</v>
      </c>
      <c r="AA287" s="18">
        <f t="shared" ref="AA287:AA302" si="14">+DATE(YEAR(C287)+1,MONTH(C287),DAY(C287))</f>
        <v>366</v>
      </c>
      <c r="AB287" s="19"/>
      <c r="AC287" s="20"/>
      <c r="AD287" s="19"/>
      <c r="AE287" s="98"/>
    </row>
    <row r="288" spans="1:31" x14ac:dyDescent="0.3">
      <c r="A288" s="108">
        <v>288</v>
      </c>
      <c r="B288" s="46">
        <v>45443</v>
      </c>
      <c r="D288" s="13" t="s">
        <v>453</v>
      </c>
      <c r="E288" s="13" t="s">
        <v>51</v>
      </c>
      <c r="F288" s="13" t="s">
        <v>66</v>
      </c>
      <c r="G288" s="14" t="s">
        <v>218</v>
      </c>
      <c r="I288" s="14" t="s">
        <v>517</v>
      </c>
      <c r="K288" s="21"/>
      <c r="L288" s="21"/>
      <c r="Q288" s="14" t="s">
        <v>2</v>
      </c>
      <c r="R288" s="14" t="s">
        <v>358</v>
      </c>
      <c r="T288" s="15">
        <v>122.79</v>
      </c>
      <c r="U288" s="15"/>
      <c r="V288" s="16">
        <f>+T288*12/(1.005)/1.07</f>
        <v>1370.2329474124704</v>
      </c>
      <c r="X288" s="14" t="s">
        <v>136</v>
      </c>
      <c r="Z288" s="14" t="s">
        <v>71</v>
      </c>
      <c r="AA288" s="18">
        <f t="shared" si="14"/>
        <v>366</v>
      </c>
      <c r="AB288" s="19"/>
      <c r="AC288" s="20"/>
      <c r="AD288" s="19"/>
      <c r="AE288" s="98"/>
    </row>
    <row r="289" spans="1:31" x14ac:dyDescent="0.3">
      <c r="A289" s="105">
        <v>289</v>
      </c>
      <c r="B289" s="46">
        <v>45443</v>
      </c>
      <c r="D289" s="13" t="s">
        <v>453</v>
      </c>
      <c r="E289" s="13" t="s">
        <v>51</v>
      </c>
      <c r="F289" s="13" t="s">
        <v>66</v>
      </c>
      <c r="G289" s="14" t="s">
        <v>218</v>
      </c>
      <c r="I289" s="14" t="s">
        <v>219</v>
      </c>
      <c r="J289" s="14" t="s">
        <v>518</v>
      </c>
      <c r="K289" s="21"/>
      <c r="L289" s="21"/>
      <c r="Q289" s="14" t="s">
        <v>2</v>
      </c>
      <c r="R289" s="14" t="s">
        <v>143</v>
      </c>
      <c r="T289" s="15">
        <v>100.66</v>
      </c>
      <c r="U289" s="15"/>
      <c r="V289" s="16">
        <f>+T289*12/(1.005)/1.07</f>
        <v>1123.2807923001815</v>
      </c>
      <c r="X289" s="14" t="s">
        <v>136</v>
      </c>
      <c r="Z289" s="14" t="s">
        <v>71</v>
      </c>
      <c r="AA289" s="18">
        <f t="shared" si="14"/>
        <v>366</v>
      </c>
      <c r="AB289" s="19"/>
      <c r="AC289" s="20"/>
      <c r="AD289" s="19"/>
      <c r="AE289" s="98"/>
    </row>
    <row r="290" spans="1:31" x14ac:dyDescent="0.3">
      <c r="A290" s="107">
        <v>290</v>
      </c>
      <c r="B290" s="46">
        <v>45443</v>
      </c>
      <c r="D290" s="13" t="s">
        <v>453</v>
      </c>
      <c r="E290" s="13" t="s">
        <v>51</v>
      </c>
      <c r="F290" s="13" t="s">
        <v>66</v>
      </c>
      <c r="G290" s="14" t="s">
        <v>218</v>
      </c>
      <c r="I290" s="14" t="s">
        <v>517</v>
      </c>
      <c r="J290" s="14" t="s">
        <v>519</v>
      </c>
      <c r="K290" s="21"/>
      <c r="L290" s="21"/>
      <c r="Q290" s="14" t="s">
        <v>2</v>
      </c>
      <c r="R290" s="14" t="s">
        <v>358</v>
      </c>
      <c r="T290" s="15">
        <v>20.36</v>
      </c>
      <c r="U290" s="15"/>
      <c r="V290" s="16">
        <f>+T290*12/(1.005)/1.07</f>
        <v>227.20044636629936</v>
      </c>
      <c r="X290" s="14" t="s">
        <v>136</v>
      </c>
      <c r="Z290" s="14" t="s">
        <v>71</v>
      </c>
      <c r="AA290" s="18">
        <f t="shared" si="14"/>
        <v>366</v>
      </c>
      <c r="AB290" s="19"/>
      <c r="AC290" s="20"/>
      <c r="AD290" s="19"/>
      <c r="AE290" s="98"/>
    </row>
    <row r="291" spans="1:31" x14ac:dyDescent="0.3">
      <c r="A291" s="108">
        <v>291</v>
      </c>
      <c r="B291" s="46">
        <v>45443</v>
      </c>
      <c r="D291" s="13" t="s">
        <v>453</v>
      </c>
      <c r="E291" s="13" t="s">
        <v>51</v>
      </c>
      <c r="F291" s="13" t="s">
        <v>66</v>
      </c>
      <c r="G291" s="14" t="s">
        <v>218</v>
      </c>
      <c r="I291" s="14" t="s">
        <v>517</v>
      </c>
      <c r="J291" s="14" t="s">
        <v>520</v>
      </c>
      <c r="K291" s="21"/>
      <c r="L291" s="21"/>
      <c r="Q291" s="14" t="s">
        <v>2</v>
      </c>
      <c r="R291" s="14" t="s">
        <v>220</v>
      </c>
      <c r="T291" s="15">
        <v>146.99</v>
      </c>
      <c r="U291" s="15"/>
      <c r="V291" s="16">
        <f>+T291*12/(1.005)/1.07</f>
        <v>1640.2845585158323</v>
      </c>
      <c r="X291" s="14" t="s">
        <v>136</v>
      </c>
      <c r="Z291" s="14" t="s">
        <v>71</v>
      </c>
      <c r="AA291" s="18">
        <f t="shared" si="14"/>
        <v>366</v>
      </c>
      <c r="AB291" s="19"/>
      <c r="AC291" s="20"/>
      <c r="AD291" s="19"/>
      <c r="AE291" s="98"/>
    </row>
    <row r="292" spans="1:31" x14ac:dyDescent="0.3">
      <c r="A292" s="105">
        <v>292</v>
      </c>
      <c r="B292" s="46">
        <v>45443</v>
      </c>
      <c r="D292" s="13" t="s">
        <v>453</v>
      </c>
      <c r="E292" s="13" t="s">
        <v>51</v>
      </c>
      <c r="F292" s="13" t="s">
        <v>66</v>
      </c>
      <c r="G292" s="14" t="s">
        <v>218</v>
      </c>
      <c r="I292" s="14" t="s">
        <v>526</v>
      </c>
      <c r="K292" s="21"/>
      <c r="L292" s="21"/>
      <c r="Q292" s="14" t="s">
        <v>5</v>
      </c>
      <c r="R292" s="14" t="s">
        <v>295</v>
      </c>
      <c r="T292" s="15">
        <v>354.21</v>
      </c>
      <c r="U292" s="15"/>
      <c r="V292" s="16">
        <f>+T292*12/(1.005)</f>
        <v>4229.373134328358</v>
      </c>
      <c r="X292" s="14" t="s">
        <v>136</v>
      </c>
      <c r="Z292" s="14" t="s">
        <v>71</v>
      </c>
      <c r="AA292" s="18">
        <f t="shared" si="14"/>
        <v>366</v>
      </c>
      <c r="AB292" s="19"/>
      <c r="AC292" s="20"/>
      <c r="AD292" s="19"/>
      <c r="AE292" s="98"/>
    </row>
    <row r="293" spans="1:31" x14ac:dyDescent="0.3">
      <c r="A293" s="107">
        <v>293</v>
      </c>
      <c r="B293" s="46">
        <v>45443</v>
      </c>
      <c r="D293" s="13" t="s">
        <v>453</v>
      </c>
      <c r="E293" s="13" t="s">
        <v>51</v>
      </c>
      <c r="F293" s="13" t="s">
        <v>66</v>
      </c>
      <c r="G293" s="14" t="s">
        <v>13</v>
      </c>
      <c r="I293" s="14" t="s">
        <v>510</v>
      </c>
      <c r="K293" s="21"/>
      <c r="L293" s="21"/>
      <c r="Q293" s="14" t="s">
        <v>5</v>
      </c>
      <c r="R293" s="14" t="s">
        <v>177</v>
      </c>
      <c r="T293" s="15">
        <v>153.44</v>
      </c>
      <c r="U293" s="15"/>
      <c r="V293" s="16">
        <f>+T293*12/(1.005)</f>
        <v>1832.1194029850749</v>
      </c>
      <c r="X293" s="14" t="s">
        <v>136</v>
      </c>
      <c r="Z293" s="14" t="s">
        <v>71</v>
      </c>
      <c r="AA293" s="18">
        <f t="shared" si="14"/>
        <v>366</v>
      </c>
      <c r="AB293" s="19">
        <f ca="1">+TODAY()-AA293</f>
        <v>45465</v>
      </c>
      <c r="AC293" s="20"/>
      <c r="AD293" s="19"/>
      <c r="AE293" s="98"/>
    </row>
    <row r="294" spans="1:31" x14ac:dyDescent="0.3">
      <c r="A294" s="108">
        <v>294</v>
      </c>
      <c r="B294" s="46">
        <v>45443</v>
      </c>
      <c r="D294" s="13" t="s">
        <v>453</v>
      </c>
      <c r="E294" s="13" t="s">
        <v>51</v>
      </c>
      <c r="F294" s="13" t="s">
        <v>66</v>
      </c>
      <c r="G294" s="14" t="s">
        <v>145</v>
      </c>
      <c r="I294" s="14" t="s">
        <v>521</v>
      </c>
      <c r="K294" s="21"/>
      <c r="L294" s="21"/>
      <c r="Q294" s="14" t="s">
        <v>2</v>
      </c>
      <c r="R294" s="14" t="s">
        <v>200</v>
      </c>
      <c r="T294" s="15">
        <v>64.510000000000005</v>
      </c>
      <c r="U294" s="15"/>
      <c r="V294" s="16">
        <f>+T294*12/(1.005)/1.07</f>
        <v>719.87724926768044</v>
      </c>
      <c r="X294" s="14" t="s">
        <v>136</v>
      </c>
      <c r="Z294" s="14" t="s">
        <v>71</v>
      </c>
      <c r="AA294" s="18">
        <f t="shared" si="14"/>
        <v>366</v>
      </c>
      <c r="AB294" s="19"/>
      <c r="AC294" s="20"/>
      <c r="AD294" s="19"/>
      <c r="AE294" s="98"/>
    </row>
    <row r="295" spans="1:31" x14ac:dyDescent="0.3">
      <c r="A295" s="105">
        <v>295</v>
      </c>
      <c r="B295" s="46">
        <v>45443</v>
      </c>
      <c r="D295" s="13" t="s">
        <v>453</v>
      </c>
      <c r="E295" s="13" t="s">
        <v>51</v>
      </c>
      <c r="F295" s="13" t="s">
        <v>66</v>
      </c>
      <c r="G295" s="14" t="s">
        <v>145</v>
      </c>
      <c r="H295" s="14">
        <v>34180</v>
      </c>
      <c r="I295" s="14" t="s">
        <v>522</v>
      </c>
      <c r="K295" s="21"/>
      <c r="L295" s="21"/>
      <c r="Q295" s="14" t="s">
        <v>2</v>
      </c>
      <c r="R295" s="14" t="s">
        <v>143</v>
      </c>
      <c r="T295" s="15">
        <v>118.76</v>
      </c>
      <c r="U295" s="15"/>
      <c r="V295" s="16">
        <f>+T295*12/(1.005)/1.07</f>
        <v>1325.2615427535222</v>
      </c>
      <c r="X295" s="14" t="s">
        <v>136</v>
      </c>
      <c r="Z295" s="14" t="s">
        <v>71</v>
      </c>
      <c r="AA295" s="18">
        <f t="shared" si="14"/>
        <v>366</v>
      </c>
      <c r="AB295" s="19"/>
      <c r="AC295" s="20"/>
      <c r="AD295" s="19"/>
      <c r="AE295" s="98"/>
    </row>
    <row r="296" spans="1:31" x14ac:dyDescent="0.3">
      <c r="A296" s="107">
        <v>296</v>
      </c>
      <c r="B296" s="46">
        <v>45443</v>
      </c>
      <c r="D296" s="13" t="s">
        <v>453</v>
      </c>
      <c r="E296" s="13" t="s">
        <v>51</v>
      </c>
      <c r="F296" s="13" t="s">
        <v>66</v>
      </c>
      <c r="G296" s="14" t="s">
        <v>14</v>
      </c>
      <c r="I296" s="14" t="s">
        <v>511</v>
      </c>
      <c r="K296" s="21"/>
      <c r="L296" s="21"/>
      <c r="Q296" s="14" t="s">
        <v>148</v>
      </c>
      <c r="R296" s="14" t="s">
        <v>512</v>
      </c>
      <c r="T296" s="15">
        <v>116.5</v>
      </c>
      <c r="U296" s="15"/>
      <c r="V296" s="16">
        <f>+Tabla1[[#This Row],[PAGO MENSUAL]]*12/(1.005)</f>
        <v>1391.0447761194032</v>
      </c>
      <c r="X296" s="14" t="s">
        <v>136</v>
      </c>
      <c r="Z296" s="14" t="s">
        <v>71</v>
      </c>
      <c r="AA296" s="18">
        <f t="shared" si="14"/>
        <v>366</v>
      </c>
      <c r="AB296" s="19">
        <f ca="1">+TODAY()-AA296</f>
        <v>45465</v>
      </c>
      <c r="AC296" s="20"/>
      <c r="AD296" s="19"/>
      <c r="AE296" s="98"/>
    </row>
    <row r="297" spans="1:31" x14ac:dyDescent="0.3">
      <c r="A297" s="108">
        <v>297</v>
      </c>
      <c r="B297" s="46">
        <v>45443</v>
      </c>
      <c r="D297" s="13" t="s">
        <v>453</v>
      </c>
      <c r="E297" s="13" t="s">
        <v>51</v>
      </c>
      <c r="F297" s="13" t="s">
        <v>66</v>
      </c>
      <c r="G297" s="14" t="s">
        <v>14</v>
      </c>
      <c r="I297" s="14" t="s">
        <v>513</v>
      </c>
      <c r="K297" s="21"/>
      <c r="L297" s="21"/>
      <c r="Q297" s="14" t="s">
        <v>148</v>
      </c>
      <c r="R297" s="14" t="s">
        <v>512</v>
      </c>
      <c r="T297" s="15">
        <v>117.03</v>
      </c>
      <c r="U297" s="15"/>
      <c r="V297" s="16">
        <f>+Tabla1[[#This Row],[PAGO MENSUAL]]*12/(1.005)</f>
        <v>1397.3731343283584</v>
      </c>
      <c r="X297" s="14" t="s">
        <v>136</v>
      </c>
      <c r="Z297" s="14" t="s">
        <v>71</v>
      </c>
      <c r="AA297" s="18">
        <f t="shared" si="14"/>
        <v>366</v>
      </c>
      <c r="AB297" s="19"/>
      <c r="AC297" s="20"/>
      <c r="AD297" s="19"/>
      <c r="AE297" s="98"/>
    </row>
    <row r="298" spans="1:31" x14ac:dyDescent="0.3">
      <c r="A298" s="105">
        <v>298</v>
      </c>
      <c r="B298" s="46">
        <v>45443</v>
      </c>
      <c r="D298" s="13" t="s">
        <v>453</v>
      </c>
      <c r="E298" s="13" t="s">
        <v>51</v>
      </c>
      <c r="F298" s="13" t="s">
        <v>66</v>
      </c>
      <c r="G298" s="14" t="s">
        <v>14</v>
      </c>
      <c r="I298" s="14" t="s">
        <v>1667</v>
      </c>
      <c r="K298" s="21"/>
      <c r="L298" s="21"/>
      <c r="Q298" s="14" t="s">
        <v>5</v>
      </c>
      <c r="R298" s="14" t="s">
        <v>177</v>
      </c>
      <c r="T298" s="15">
        <v>69.099999999999994</v>
      </c>
      <c r="U298" s="15"/>
      <c r="V298" s="16">
        <f>+T298*12/(1.005)</f>
        <v>825.07462686567169</v>
      </c>
      <c r="X298" s="14" t="s">
        <v>136</v>
      </c>
      <c r="Z298" s="14" t="s">
        <v>71</v>
      </c>
      <c r="AA298" s="18">
        <f t="shared" si="14"/>
        <v>366</v>
      </c>
      <c r="AB298" s="19"/>
      <c r="AC298" s="20"/>
      <c r="AD298" s="19"/>
      <c r="AE298" s="98"/>
    </row>
    <row r="299" spans="1:31" x14ac:dyDescent="0.3">
      <c r="A299" s="107">
        <v>299</v>
      </c>
      <c r="B299" s="46">
        <v>45443</v>
      </c>
      <c r="D299" s="13" t="s">
        <v>453</v>
      </c>
      <c r="E299" s="13" t="s">
        <v>51</v>
      </c>
      <c r="F299" s="13" t="s">
        <v>66</v>
      </c>
      <c r="G299" s="14" t="s">
        <v>14</v>
      </c>
      <c r="I299" s="14" t="s">
        <v>514</v>
      </c>
      <c r="K299" s="21"/>
      <c r="L299" s="21"/>
      <c r="Q299" s="14" t="s">
        <v>5</v>
      </c>
      <c r="R299" s="14" t="s">
        <v>177</v>
      </c>
      <c r="T299" s="15">
        <v>66.239999999999995</v>
      </c>
      <c r="U299" s="15"/>
      <c r="V299" s="16">
        <f>+T299*12/(1.005)</f>
        <v>790.92537313432831</v>
      </c>
      <c r="X299" s="14" t="s">
        <v>136</v>
      </c>
      <c r="Z299" s="14" t="s">
        <v>71</v>
      </c>
      <c r="AA299" s="18">
        <f t="shared" si="14"/>
        <v>366</v>
      </c>
      <c r="AB299" s="19"/>
      <c r="AC299" s="20"/>
      <c r="AD299" s="19"/>
      <c r="AE299" s="98"/>
    </row>
    <row r="300" spans="1:31" x14ac:dyDescent="0.3">
      <c r="A300" s="108">
        <v>300</v>
      </c>
      <c r="B300" s="46">
        <v>45443</v>
      </c>
      <c r="D300" s="13" t="s">
        <v>453</v>
      </c>
      <c r="E300" s="13" t="s">
        <v>51</v>
      </c>
      <c r="F300" s="13" t="s">
        <v>66</v>
      </c>
      <c r="G300" s="14" t="s">
        <v>14</v>
      </c>
      <c r="I300" s="14" t="s">
        <v>523</v>
      </c>
      <c r="K300" s="21"/>
      <c r="L300" s="21"/>
      <c r="Q300" s="14" t="s">
        <v>2</v>
      </c>
      <c r="R300" s="14" t="s">
        <v>143</v>
      </c>
      <c r="T300" s="15">
        <v>0</v>
      </c>
      <c r="U300" s="15"/>
      <c r="V300" s="16">
        <f>+T300*12/(1.005)/1.07</f>
        <v>0</v>
      </c>
      <c r="X300" s="14" t="s">
        <v>136</v>
      </c>
      <c r="Z300" s="14" t="s">
        <v>71</v>
      </c>
      <c r="AA300" s="18">
        <f t="shared" si="14"/>
        <v>366</v>
      </c>
      <c r="AB300" s="19"/>
      <c r="AC300" s="20"/>
      <c r="AD300" s="19"/>
      <c r="AE300" s="98"/>
    </row>
    <row r="301" spans="1:31" x14ac:dyDescent="0.3">
      <c r="A301" s="105">
        <v>301</v>
      </c>
      <c r="B301" s="46">
        <v>45443</v>
      </c>
      <c r="D301" s="13" t="s">
        <v>453</v>
      </c>
      <c r="E301" s="13" t="s">
        <v>51</v>
      </c>
      <c r="F301" s="13" t="s">
        <v>66</v>
      </c>
      <c r="G301" s="14" t="s">
        <v>14</v>
      </c>
      <c r="I301" s="14" t="s">
        <v>524</v>
      </c>
      <c r="K301" s="21"/>
      <c r="L301" s="21"/>
      <c r="Q301" s="14" t="s">
        <v>2</v>
      </c>
      <c r="R301" s="14" t="s">
        <v>200</v>
      </c>
      <c r="T301" s="15">
        <v>0</v>
      </c>
      <c r="U301" s="15"/>
      <c r="V301" s="16">
        <f>+T301*12/(1.005)/1.07</f>
        <v>0</v>
      </c>
      <c r="X301" s="14" t="s">
        <v>136</v>
      </c>
      <c r="Z301" s="14" t="s">
        <v>71</v>
      </c>
      <c r="AA301" s="18">
        <f t="shared" si="14"/>
        <v>366</v>
      </c>
      <c r="AB301" s="19"/>
      <c r="AC301" s="20"/>
      <c r="AD301" s="19"/>
      <c r="AE301" s="98"/>
    </row>
    <row r="302" spans="1:31" x14ac:dyDescent="0.3">
      <c r="A302" s="107">
        <v>302</v>
      </c>
      <c r="B302" s="46">
        <v>45443</v>
      </c>
      <c r="D302" s="13" t="s">
        <v>453</v>
      </c>
      <c r="E302" s="13" t="s">
        <v>51</v>
      </c>
      <c r="F302" s="13" t="s">
        <v>66</v>
      </c>
      <c r="G302" s="14" t="s">
        <v>14</v>
      </c>
      <c r="I302" s="14" t="s">
        <v>525</v>
      </c>
      <c r="K302" s="21"/>
      <c r="L302" s="21"/>
      <c r="Q302" s="14" t="s">
        <v>5</v>
      </c>
      <c r="R302" s="14" t="s">
        <v>177</v>
      </c>
      <c r="T302" s="15">
        <v>71.66</v>
      </c>
      <c r="U302" s="15"/>
      <c r="V302" s="16">
        <f>+T302*12/(1.005)</f>
        <v>855.64179104477614</v>
      </c>
      <c r="X302" s="14" t="s">
        <v>136</v>
      </c>
      <c r="Z302" s="14" t="s">
        <v>71</v>
      </c>
      <c r="AA302" s="18">
        <f t="shared" si="14"/>
        <v>366</v>
      </c>
      <c r="AB302" s="19"/>
      <c r="AC302" s="20"/>
      <c r="AD302" s="19"/>
      <c r="AE302" s="98"/>
    </row>
    <row r="303" spans="1:31" x14ac:dyDescent="0.3">
      <c r="A303" s="108">
        <v>303</v>
      </c>
      <c r="B303" s="46">
        <v>45443</v>
      </c>
      <c r="D303" s="13" t="s">
        <v>453</v>
      </c>
      <c r="E303" s="13" t="s">
        <v>51</v>
      </c>
      <c r="F303" s="13" t="s">
        <v>66</v>
      </c>
      <c r="G303" s="14" t="s">
        <v>16</v>
      </c>
      <c r="I303" s="14" t="s">
        <v>528</v>
      </c>
      <c r="K303" s="21"/>
      <c r="L303" s="21"/>
      <c r="Q303" s="14" t="s">
        <v>2</v>
      </c>
      <c r="R303" s="14" t="s">
        <v>358</v>
      </c>
      <c r="T303" s="15">
        <v>40.479999999999997</v>
      </c>
      <c r="U303" s="15"/>
      <c r="V303" s="16">
        <f>+T303*12/(1.005)/1.07</f>
        <v>451.72269493653232</v>
      </c>
      <c r="AB303" s="19"/>
      <c r="AC303" s="20"/>
      <c r="AD303" s="19"/>
      <c r="AE303" s="98"/>
    </row>
    <row r="304" spans="1:31" x14ac:dyDescent="0.3">
      <c r="A304" s="105">
        <v>304</v>
      </c>
      <c r="B304" s="46">
        <v>45445</v>
      </c>
      <c r="D304" s="13" t="s">
        <v>1</v>
      </c>
      <c r="E304" s="13" t="s">
        <v>51</v>
      </c>
      <c r="F304" s="13" t="s">
        <v>66</v>
      </c>
      <c r="G304" s="14" t="s">
        <v>158</v>
      </c>
      <c r="I304" s="14" t="s">
        <v>532</v>
      </c>
      <c r="K304" s="21"/>
      <c r="L304" s="21"/>
      <c r="Q304" s="14" t="s">
        <v>148</v>
      </c>
      <c r="R304" s="14" t="s">
        <v>512</v>
      </c>
      <c r="T304" s="15">
        <v>187.05</v>
      </c>
      <c r="U304" s="15"/>
      <c r="V304" s="16">
        <f>+Tabla1[[#This Row],[PAGO MENSUAL]]*12/(1.005)</f>
        <v>2233.4328358208963</v>
      </c>
      <c r="AB304" s="19"/>
      <c r="AC304" s="20"/>
      <c r="AD304" s="19"/>
      <c r="AE304" s="98"/>
    </row>
    <row r="305" spans="1:31" x14ac:dyDescent="0.3">
      <c r="A305" s="107">
        <v>305</v>
      </c>
      <c r="B305" s="46">
        <v>45446</v>
      </c>
      <c r="D305" s="13" t="s">
        <v>1</v>
      </c>
      <c r="E305" s="13" t="s">
        <v>51</v>
      </c>
      <c r="F305" s="13" t="s">
        <v>52</v>
      </c>
      <c r="G305" s="14" t="s">
        <v>155</v>
      </c>
      <c r="H305" s="14" t="s">
        <v>534</v>
      </c>
      <c r="I305" s="14" t="s">
        <v>535</v>
      </c>
      <c r="K305" s="21"/>
      <c r="L305" s="21"/>
      <c r="Q305" s="14" t="s">
        <v>3</v>
      </c>
      <c r="T305" s="15"/>
      <c r="U305" s="15"/>
      <c r="V305" s="16">
        <v>1874.05</v>
      </c>
      <c r="AB305" s="19"/>
      <c r="AC305" s="20"/>
      <c r="AD305" s="19"/>
      <c r="AE305" s="98"/>
    </row>
    <row r="306" spans="1:31" x14ac:dyDescent="0.3">
      <c r="A306" s="108">
        <v>306</v>
      </c>
      <c r="B306" s="46">
        <v>45446</v>
      </c>
      <c r="D306" s="13" t="s">
        <v>1</v>
      </c>
      <c r="E306" s="13" t="s">
        <v>51</v>
      </c>
      <c r="F306" s="13" t="s">
        <v>66</v>
      </c>
      <c r="G306" s="14" t="s">
        <v>18</v>
      </c>
      <c r="I306" s="14" t="s">
        <v>533</v>
      </c>
      <c r="K306" s="21"/>
      <c r="L306" s="21"/>
      <c r="Q306" s="14" t="s">
        <v>4</v>
      </c>
      <c r="R306" s="14" t="s">
        <v>480</v>
      </c>
      <c r="T306" s="15"/>
      <c r="U306" s="15"/>
      <c r="V306" s="16">
        <v>645</v>
      </c>
      <c r="AB306" s="19"/>
      <c r="AC306" s="20"/>
      <c r="AD306" s="19"/>
      <c r="AE306" s="98"/>
    </row>
    <row r="307" spans="1:31" x14ac:dyDescent="0.3">
      <c r="A307" s="105">
        <v>307</v>
      </c>
      <c r="B307" s="46">
        <v>45447</v>
      </c>
      <c r="D307" s="13" t="s">
        <v>1</v>
      </c>
      <c r="E307" s="13" t="s">
        <v>51</v>
      </c>
      <c r="F307" s="13" t="s">
        <v>52</v>
      </c>
      <c r="G307" s="14" t="s">
        <v>466</v>
      </c>
      <c r="H307" s="14">
        <v>4192512</v>
      </c>
      <c r="I307" s="14" t="s">
        <v>536</v>
      </c>
      <c r="K307" s="21"/>
      <c r="L307" s="21"/>
      <c r="Q307" s="14" t="s">
        <v>395</v>
      </c>
      <c r="T307" s="15"/>
      <c r="U307" s="15"/>
      <c r="V307" s="16">
        <v>2176.7600000000002</v>
      </c>
      <c r="AB307" s="19"/>
      <c r="AC307" s="20"/>
      <c r="AD307" s="19"/>
      <c r="AE307" s="98"/>
    </row>
    <row r="308" spans="1:31" x14ac:dyDescent="0.3">
      <c r="A308" s="107">
        <v>308</v>
      </c>
      <c r="B308" s="46">
        <v>45448</v>
      </c>
      <c r="D308" s="13" t="s">
        <v>453</v>
      </c>
      <c r="E308" s="13" t="s">
        <v>51</v>
      </c>
      <c r="F308" s="13" t="s">
        <v>52</v>
      </c>
      <c r="G308" s="14" t="s">
        <v>129</v>
      </c>
      <c r="H308" s="14">
        <v>4189499</v>
      </c>
      <c r="I308" s="14" t="s">
        <v>537</v>
      </c>
      <c r="K308" s="21"/>
      <c r="L308" s="21"/>
      <c r="Q308" s="14" t="s">
        <v>395</v>
      </c>
      <c r="R308" s="14" t="s">
        <v>171</v>
      </c>
      <c r="T308" s="15"/>
      <c r="U308" s="15"/>
      <c r="V308" s="16">
        <v>5475.78</v>
      </c>
      <c r="AB308" s="19"/>
      <c r="AC308" s="20"/>
      <c r="AD308" s="19"/>
      <c r="AE308" s="98"/>
    </row>
    <row r="309" spans="1:31" x14ac:dyDescent="0.3">
      <c r="A309" s="108">
        <v>309</v>
      </c>
      <c r="B309" s="46">
        <v>45448</v>
      </c>
      <c r="D309" s="13" t="s">
        <v>453</v>
      </c>
      <c r="E309" s="13" t="s">
        <v>51</v>
      </c>
      <c r="F309" s="13" t="s">
        <v>52</v>
      </c>
      <c r="G309" s="14" t="s">
        <v>129</v>
      </c>
      <c r="H309" s="14">
        <v>4189499</v>
      </c>
      <c r="I309" s="14" t="s">
        <v>537</v>
      </c>
      <c r="K309" s="21"/>
      <c r="L309" s="21"/>
      <c r="Q309" s="14" t="s">
        <v>395</v>
      </c>
      <c r="R309" s="14" t="s">
        <v>171</v>
      </c>
      <c r="T309" s="15"/>
      <c r="U309" s="15"/>
      <c r="V309" s="16">
        <v>5475.78</v>
      </c>
      <c r="AB309" s="19"/>
      <c r="AC309" s="20"/>
      <c r="AD309" s="19"/>
      <c r="AE309" s="98"/>
    </row>
    <row r="310" spans="1:31" x14ac:dyDescent="0.3">
      <c r="A310" s="105">
        <v>310</v>
      </c>
      <c r="B310" s="46">
        <v>45449</v>
      </c>
      <c r="D310" s="13" t="s">
        <v>1</v>
      </c>
      <c r="E310" s="13" t="s">
        <v>51</v>
      </c>
      <c r="F310" s="13" t="s">
        <v>52</v>
      </c>
      <c r="G310" s="14" t="s">
        <v>155</v>
      </c>
      <c r="H310" s="14">
        <v>4192582</v>
      </c>
      <c r="I310" s="14" t="s">
        <v>538</v>
      </c>
      <c r="K310" s="21"/>
      <c r="L310" s="21"/>
      <c r="Q310" s="14" t="s">
        <v>395</v>
      </c>
      <c r="T310" s="15"/>
      <c r="U310" s="15"/>
      <c r="V310" s="16">
        <v>501.7</v>
      </c>
      <c r="AB310" s="19"/>
      <c r="AC310" s="20"/>
      <c r="AD310" s="19"/>
      <c r="AE310" s="98"/>
    </row>
    <row r="311" spans="1:31" x14ac:dyDescent="0.3">
      <c r="A311" s="107">
        <v>311</v>
      </c>
      <c r="B311" s="46">
        <v>45450</v>
      </c>
      <c r="D311" s="13" t="s">
        <v>1</v>
      </c>
      <c r="E311" s="13" t="s">
        <v>51</v>
      </c>
      <c r="F311" s="13" t="s">
        <v>52</v>
      </c>
      <c r="G311" s="14" t="s">
        <v>466</v>
      </c>
      <c r="H311" s="14">
        <v>4192646</v>
      </c>
      <c r="I311" s="14" t="s">
        <v>383</v>
      </c>
      <c r="K311" s="21"/>
      <c r="L311" s="21"/>
      <c r="Q311" s="14" t="s">
        <v>395</v>
      </c>
      <c r="T311" s="15"/>
      <c r="U311" s="15"/>
      <c r="V311" s="16">
        <v>676.62</v>
      </c>
      <c r="AB311" s="19"/>
      <c r="AC311" s="20"/>
      <c r="AD311" s="19"/>
      <c r="AE311" s="98"/>
    </row>
    <row r="312" spans="1:31" x14ac:dyDescent="0.3">
      <c r="A312" s="108">
        <v>312</v>
      </c>
      <c r="B312" s="46">
        <v>45455</v>
      </c>
      <c r="D312" s="13" t="s">
        <v>1</v>
      </c>
      <c r="E312" s="13" t="s">
        <v>51</v>
      </c>
      <c r="F312" s="13" t="s">
        <v>52</v>
      </c>
      <c r="G312" s="14" t="s">
        <v>396</v>
      </c>
      <c r="H312" s="14">
        <v>16135</v>
      </c>
      <c r="I312" s="14" t="s">
        <v>539</v>
      </c>
      <c r="K312" s="21"/>
      <c r="L312" s="21"/>
      <c r="Q312" s="14" t="s">
        <v>307</v>
      </c>
      <c r="T312" s="15"/>
      <c r="U312" s="15"/>
      <c r="V312" s="16">
        <v>732.04</v>
      </c>
      <c r="AB312" s="19"/>
      <c r="AC312" s="20"/>
      <c r="AD312" s="19"/>
      <c r="AE312" s="98"/>
    </row>
    <row r="313" spans="1:31" x14ac:dyDescent="0.3">
      <c r="A313" s="105">
        <v>313</v>
      </c>
      <c r="B313" s="46">
        <v>45456</v>
      </c>
      <c r="D313" s="13" t="s">
        <v>1</v>
      </c>
      <c r="E313" s="13" t="s">
        <v>51</v>
      </c>
      <c r="F313" s="13" t="s">
        <v>66</v>
      </c>
      <c r="G313" s="14" t="s">
        <v>12</v>
      </c>
      <c r="I313" s="14" t="s">
        <v>541</v>
      </c>
      <c r="K313" s="21"/>
      <c r="L313" s="21"/>
      <c r="Q313" s="14" t="s">
        <v>4</v>
      </c>
      <c r="R313" s="14" t="s">
        <v>480</v>
      </c>
      <c r="T313" s="15"/>
      <c r="U313" s="15"/>
      <c r="V313" s="16">
        <v>660</v>
      </c>
      <c r="AB313" s="19"/>
      <c r="AC313" s="20"/>
      <c r="AD313" s="19"/>
      <c r="AE313" s="98"/>
    </row>
    <row r="314" spans="1:31" x14ac:dyDescent="0.3">
      <c r="A314" s="107">
        <v>314</v>
      </c>
      <c r="B314" s="46">
        <v>45456</v>
      </c>
      <c r="D314" s="13" t="s">
        <v>1</v>
      </c>
      <c r="E314" s="13" t="s">
        <v>51</v>
      </c>
      <c r="F314" s="13" t="s">
        <v>66</v>
      </c>
      <c r="G314" s="14" t="s">
        <v>175</v>
      </c>
      <c r="I314" s="14" t="s">
        <v>540</v>
      </c>
      <c r="K314" s="21"/>
      <c r="L314" s="21"/>
      <c r="Q314" s="14" t="s">
        <v>307</v>
      </c>
      <c r="R314" s="14" t="s">
        <v>232</v>
      </c>
      <c r="T314" s="15">
        <v>105.7</v>
      </c>
      <c r="U314" s="15"/>
      <c r="V314" s="16">
        <f>+T314*12/(1.005)</f>
        <v>1262.0895522388062</v>
      </c>
      <c r="AB314" s="19"/>
      <c r="AC314" s="20"/>
      <c r="AD314" s="19"/>
      <c r="AE314" s="98"/>
    </row>
    <row r="315" spans="1:31" x14ac:dyDescent="0.3">
      <c r="A315" s="108">
        <v>315</v>
      </c>
      <c r="B315" s="46">
        <v>45456</v>
      </c>
      <c r="D315" s="13" t="s">
        <v>1</v>
      </c>
      <c r="E315" s="13" t="s">
        <v>51</v>
      </c>
      <c r="F315" s="13" t="s">
        <v>66</v>
      </c>
      <c r="G315" s="14" t="s">
        <v>84</v>
      </c>
      <c r="I315" s="14" t="s">
        <v>542</v>
      </c>
      <c r="K315" s="21"/>
      <c r="L315" s="21"/>
      <c r="Q315" s="14" t="s">
        <v>4</v>
      </c>
      <c r="R315" s="14" t="s">
        <v>543</v>
      </c>
      <c r="T315" s="15"/>
      <c r="U315" s="15"/>
      <c r="V315" s="16">
        <v>1000.5</v>
      </c>
      <c r="AB315" s="19"/>
      <c r="AC315" s="20"/>
      <c r="AD315" s="19"/>
      <c r="AE315" s="98"/>
    </row>
    <row r="316" spans="1:31" x14ac:dyDescent="0.3">
      <c r="A316" s="105">
        <v>316</v>
      </c>
      <c r="B316" s="46">
        <v>45460</v>
      </c>
      <c r="D316" s="13" t="s">
        <v>1</v>
      </c>
      <c r="E316" s="13" t="s">
        <v>51</v>
      </c>
      <c r="F316" s="13" t="s">
        <v>52</v>
      </c>
      <c r="G316" s="14" t="s">
        <v>155</v>
      </c>
      <c r="H316" s="14">
        <v>4192510</v>
      </c>
      <c r="I316" s="14" t="s">
        <v>548</v>
      </c>
      <c r="K316" s="21"/>
      <c r="L316" s="21"/>
      <c r="Q316" s="14" t="s">
        <v>395</v>
      </c>
      <c r="T316" s="15"/>
      <c r="U316" s="15"/>
      <c r="V316" s="16">
        <v>1275.4100000000001</v>
      </c>
      <c r="AB316" s="19"/>
      <c r="AC316" s="20"/>
      <c r="AD316" s="19"/>
      <c r="AE316" s="98"/>
    </row>
    <row r="317" spans="1:31" x14ac:dyDescent="0.3">
      <c r="A317" s="107">
        <v>317</v>
      </c>
      <c r="B317" s="46">
        <v>45460</v>
      </c>
      <c r="D317" s="13" t="s">
        <v>1</v>
      </c>
      <c r="E317" s="13" t="s">
        <v>51</v>
      </c>
      <c r="F317" s="13" t="s">
        <v>52</v>
      </c>
      <c r="G317" s="14" t="s">
        <v>155</v>
      </c>
      <c r="H317" s="14">
        <v>4192511</v>
      </c>
      <c r="I317" s="14" t="s">
        <v>548</v>
      </c>
      <c r="K317" s="21"/>
      <c r="L317" s="21"/>
      <c r="Q317" s="14" t="s">
        <v>395</v>
      </c>
      <c r="T317" s="15"/>
      <c r="U317" s="15"/>
      <c r="V317" s="16">
        <v>904.07</v>
      </c>
      <c r="AB317" s="19"/>
      <c r="AC317" s="20"/>
      <c r="AD317" s="19"/>
      <c r="AE317" s="98"/>
    </row>
    <row r="318" spans="1:31" x14ac:dyDescent="0.3">
      <c r="A318" s="108">
        <v>318</v>
      </c>
      <c r="B318" s="46">
        <v>45460</v>
      </c>
      <c r="D318" s="13" t="s">
        <v>1</v>
      </c>
      <c r="E318" s="13" t="s">
        <v>51</v>
      </c>
      <c r="F318" s="13" t="s">
        <v>52</v>
      </c>
      <c r="G318" s="14" t="s">
        <v>155</v>
      </c>
      <c r="H318" s="14">
        <v>4192659</v>
      </c>
      <c r="I318" s="14" t="s">
        <v>549</v>
      </c>
      <c r="K318" s="21"/>
      <c r="L318" s="21"/>
      <c r="Q318" s="14" t="s">
        <v>395</v>
      </c>
      <c r="T318" s="15"/>
      <c r="U318" s="15"/>
      <c r="V318" s="16">
        <v>1656.65</v>
      </c>
      <c r="AB318" s="19"/>
      <c r="AC318" s="20"/>
      <c r="AD318" s="19"/>
      <c r="AE318" s="98"/>
    </row>
    <row r="319" spans="1:31" x14ac:dyDescent="0.3">
      <c r="A319" s="105">
        <v>319</v>
      </c>
      <c r="B319" s="46">
        <v>45460</v>
      </c>
      <c r="D319" s="13" t="s">
        <v>1</v>
      </c>
      <c r="E319" s="13" t="s">
        <v>51</v>
      </c>
      <c r="F319" s="13" t="s">
        <v>52</v>
      </c>
      <c r="G319" s="14" t="s">
        <v>155</v>
      </c>
      <c r="H319" s="14">
        <v>4193045</v>
      </c>
      <c r="I319" s="14" t="s">
        <v>550</v>
      </c>
      <c r="K319" s="21"/>
      <c r="L319" s="21"/>
      <c r="Q319" s="14" t="s">
        <v>395</v>
      </c>
      <c r="T319" s="15"/>
      <c r="U319" s="15"/>
      <c r="V319" s="16">
        <v>1415.82</v>
      </c>
      <c r="AB319" s="19"/>
      <c r="AC319" s="20"/>
      <c r="AD319" s="19"/>
      <c r="AE319" s="98"/>
    </row>
    <row r="320" spans="1:31" x14ac:dyDescent="0.3">
      <c r="A320" s="107">
        <v>320</v>
      </c>
      <c r="B320" s="46">
        <v>45460</v>
      </c>
      <c r="D320" s="13" t="s">
        <v>1</v>
      </c>
      <c r="E320" s="13" t="s">
        <v>482</v>
      </c>
      <c r="F320" s="13" t="s">
        <v>52</v>
      </c>
      <c r="G320" s="14" t="s">
        <v>155</v>
      </c>
      <c r="H320" s="14">
        <v>739786</v>
      </c>
      <c r="I320" s="14" t="s">
        <v>554</v>
      </c>
      <c r="K320" s="21"/>
      <c r="L320" s="21"/>
      <c r="Q320" s="14" t="s">
        <v>395</v>
      </c>
      <c r="T320" s="15"/>
      <c r="U320" s="15"/>
      <c r="AB320" s="19"/>
      <c r="AC320" s="20"/>
      <c r="AD320" s="19"/>
      <c r="AE320" s="98"/>
    </row>
    <row r="321" spans="1:31" x14ac:dyDescent="0.3">
      <c r="A321" s="108">
        <v>321</v>
      </c>
      <c r="B321" s="46">
        <v>45460</v>
      </c>
      <c r="D321" s="13" t="s">
        <v>1</v>
      </c>
      <c r="E321" s="13" t="s">
        <v>482</v>
      </c>
      <c r="F321" s="13" t="s">
        <v>52</v>
      </c>
      <c r="G321" s="14" t="s">
        <v>155</v>
      </c>
      <c r="H321" s="14">
        <v>4170656</v>
      </c>
      <c r="I321" s="14" t="s">
        <v>554</v>
      </c>
      <c r="K321" s="21"/>
      <c r="L321" s="21"/>
      <c r="Q321" s="14" t="s">
        <v>395</v>
      </c>
      <c r="T321" s="15"/>
      <c r="U321" s="15"/>
      <c r="AB321" s="19"/>
      <c r="AC321" s="20"/>
      <c r="AD321" s="19"/>
      <c r="AE321" s="98"/>
    </row>
    <row r="322" spans="1:31" x14ac:dyDescent="0.3">
      <c r="A322" s="105">
        <v>322</v>
      </c>
      <c r="B322" s="46">
        <v>45460</v>
      </c>
      <c r="D322" s="13" t="s">
        <v>1</v>
      </c>
      <c r="E322" s="13" t="s">
        <v>65</v>
      </c>
      <c r="F322" s="13" t="s">
        <v>52</v>
      </c>
      <c r="G322" s="14" t="s">
        <v>155</v>
      </c>
      <c r="I322" s="14" t="s">
        <v>555</v>
      </c>
      <c r="K322" s="21"/>
      <c r="L322" s="21"/>
      <c r="Q322" s="14" t="s">
        <v>395</v>
      </c>
      <c r="T322" s="15"/>
      <c r="U322" s="15"/>
      <c r="AB322" s="19"/>
      <c r="AC322" s="20"/>
      <c r="AD322" s="19"/>
      <c r="AE322" s="98"/>
    </row>
    <row r="323" spans="1:31" x14ac:dyDescent="0.3">
      <c r="A323" s="107">
        <v>323</v>
      </c>
      <c r="B323" s="46">
        <v>45460</v>
      </c>
      <c r="D323" s="13" t="s">
        <v>1</v>
      </c>
      <c r="E323" s="13" t="s">
        <v>51</v>
      </c>
      <c r="F323" s="13" t="s">
        <v>52</v>
      </c>
      <c r="G323" s="14" t="s">
        <v>551</v>
      </c>
      <c r="H323" s="14">
        <v>4192697</v>
      </c>
      <c r="I323" s="14" t="s">
        <v>552</v>
      </c>
      <c r="K323" s="21"/>
      <c r="L323" s="21"/>
      <c r="Q323" s="14" t="s">
        <v>395</v>
      </c>
      <c r="T323" s="15"/>
      <c r="U323" s="15"/>
      <c r="V323" s="16">
        <v>713.51</v>
      </c>
      <c r="AB323" s="19"/>
      <c r="AC323" s="20"/>
      <c r="AD323" s="19"/>
      <c r="AE323" s="98"/>
    </row>
    <row r="324" spans="1:31" x14ac:dyDescent="0.3">
      <c r="A324" s="108">
        <v>324</v>
      </c>
      <c r="B324" s="46">
        <v>45460</v>
      </c>
      <c r="D324" s="13" t="s">
        <v>1</v>
      </c>
      <c r="E324" s="13" t="s">
        <v>51</v>
      </c>
      <c r="F324" s="13" t="s">
        <v>52</v>
      </c>
      <c r="G324" s="14" t="s">
        <v>459</v>
      </c>
      <c r="H324" s="14">
        <v>4193147</v>
      </c>
      <c r="I324" s="14" t="s">
        <v>553</v>
      </c>
      <c r="K324" s="21"/>
      <c r="L324" s="21"/>
      <c r="Q324" s="14" t="s">
        <v>395</v>
      </c>
      <c r="T324" s="15"/>
      <c r="U324" s="15"/>
      <c r="V324" s="16">
        <v>845.45</v>
      </c>
      <c r="AB324" s="19"/>
      <c r="AC324" s="20"/>
      <c r="AD324" s="19"/>
      <c r="AE324" s="98"/>
    </row>
    <row r="325" spans="1:31" x14ac:dyDescent="0.3">
      <c r="A325" s="105">
        <v>325</v>
      </c>
      <c r="B325" s="46">
        <v>45460</v>
      </c>
      <c r="D325" s="13" t="s">
        <v>1</v>
      </c>
      <c r="E325" s="13" t="s">
        <v>51</v>
      </c>
      <c r="F325" s="13" t="s">
        <v>52</v>
      </c>
      <c r="G325" s="14" t="s">
        <v>487</v>
      </c>
      <c r="H325" s="14">
        <v>4192494</v>
      </c>
      <c r="I325" s="14" t="s">
        <v>546</v>
      </c>
      <c r="K325" s="21"/>
      <c r="L325" s="21"/>
      <c r="Q325" s="14" t="s">
        <v>395</v>
      </c>
      <c r="T325" s="15"/>
      <c r="U325" s="15"/>
      <c r="V325" s="16">
        <v>1551.94</v>
      </c>
      <c r="AB325" s="19"/>
      <c r="AC325" s="20"/>
      <c r="AD325" s="19"/>
      <c r="AE325" s="98"/>
    </row>
    <row r="326" spans="1:31" x14ac:dyDescent="0.3">
      <c r="A326" s="107">
        <v>326</v>
      </c>
      <c r="B326" s="46">
        <v>45460</v>
      </c>
      <c r="D326" s="13" t="s">
        <v>1</v>
      </c>
      <c r="E326" s="13" t="s">
        <v>51</v>
      </c>
      <c r="F326" s="13" t="s">
        <v>52</v>
      </c>
      <c r="G326" s="14" t="s">
        <v>487</v>
      </c>
      <c r="H326" s="14">
        <v>4192507</v>
      </c>
      <c r="I326" s="14" t="s">
        <v>547</v>
      </c>
      <c r="K326" s="21"/>
      <c r="L326" s="21"/>
      <c r="Q326" s="14" t="s">
        <v>395</v>
      </c>
      <c r="T326" s="15"/>
      <c r="U326" s="15"/>
      <c r="V326" s="16">
        <v>1234.3399999999999</v>
      </c>
      <c r="AB326" s="19"/>
      <c r="AC326" s="20"/>
      <c r="AD326" s="19"/>
      <c r="AE326" s="98"/>
    </row>
    <row r="327" spans="1:31" x14ac:dyDescent="0.3">
      <c r="A327" s="108">
        <v>327</v>
      </c>
      <c r="B327" s="46">
        <v>45460</v>
      </c>
      <c r="D327" s="13" t="s">
        <v>1</v>
      </c>
      <c r="E327" s="13" t="s">
        <v>51</v>
      </c>
      <c r="F327" s="13" t="s">
        <v>66</v>
      </c>
      <c r="G327" s="14" t="s">
        <v>12</v>
      </c>
      <c r="H327" s="14">
        <v>16189</v>
      </c>
      <c r="I327" s="14" t="s">
        <v>544</v>
      </c>
      <c r="J327" s="14" t="s">
        <v>545</v>
      </c>
      <c r="K327" s="21"/>
      <c r="L327" s="21"/>
      <c r="M327" s="14" t="s">
        <v>69</v>
      </c>
      <c r="N327" s="14" t="s">
        <v>70</v>
      </c>
      <c r="O327" s="14" t="s">
        <v>544</v>
      </c>
      <c r="P327" s="14" t="s">
        <v>71</v>
      </c>
      <c r="Q327" s="14" t="s">
        <v>5</v>
      </c>
      <c r="R327" s="14" t="s">
        <v>232</v>
      </c>
      <c r="T327" s="15">
        <v>61.31</v>
      </c>
      <c r="U327" s="15"/>
      <c r="V327" s="16">
        <f>+T327*12/(1.005)</f>
        <v>732.05970149253744</v>
      </c>
      <c r="AB327" s="19"/>
      <c r="AC327" s="20"/>
      <c r="AD327" s="19"/>
      <c r="AE327" s="98"/>
    </row>
    <row r="328" spans="1:31" x14ac:dyDescent="0.3">
      <c r="A328" s="105">
        <v>328</v>
      </c>
      <c r="B328" s="46">
        <v>45460</v>
      </c>
      <c r="D328" s="13" t="s">
        <v>1</v>
      </c>
      <c r="E328" s="13" t="s">
        <v>51</v>
      </c>
      <c r="F328" s="13" t="s">
        <v>66</v>
      </c>
      <c r="G328" s="14" t="s">
        <v>12</v>
      </c>
      <c r="H328" s="14">
        <v>33780</v>
      </c>
      <c r="I328" s="14" t="s">
        <v>544</v>
      </c>
      <c r="K328" s="21"/>
      <c r="L328" s="21"/>
      <c r="M328" s="14" t="s">
        <v>69</v>
      </c>
      <c r="N328" s="14" t="s">
        <v>70</v>
      </c>
      <c r="O328" s="14" t="s">
        <v>544</v>
      </c>
      <c r="P328" s="14" t="s">
        <v>71</v>
      </c>
      <c r="Q328" s="14" t="s">
        <v>2</v>
      </c>
      <c r="R328" s="14" t="s">
        <v>421</v>
      </c>
      <c r="T328" s="15">
        <v>69.260000000000005</v>
      </c>
      <c r="U328" s="15"/>
      <c r="V328" s="16">
        <f>+Tabla1[[#This Row],[PAGO MENSUAL]]*12/1.09</f>
        <v>762.49541284403676</v>
      </c>
      <c r="AB328" s="19"/>
      <c r="AC328" s="20"/>
      <c r="AD328" s="19"/>
      <c r="AE328" s="98"/>
    </row>
    <row r="329" spans="1:31" x14ac:dyDescent="0.3">
      <c r="A329" s="107">
        <v>329</v>
      </c>
      <c r="B329" s="46">
        <v>45461</v>
      </c>
      <c r="D329" s="13" t="s">
        <v>1</v>
      </c>
      <c r="E329" s="13" t="s">
        <v>51</v>
      </c>
      <c r="F329" s="13" t="s">
        <v>66</v>
      </c>
      <c r="G329" s="14" t="s">
        <v>166</v>
      </c>
      <c r="I329" s="14" t="s">
        <v>559</v>
      </c>
      <c r="K329" s="21"/>
      <c r="L329" s="21"/>
      <c r="Q329" s="14" t="s">
        <v>3</v>
      </c>
      <c r="T329" s="15">
        <f>1014.24/12</f>
        <v>84.52</v>
      </c>
      <c r="U329" s="15"/>
      <c r="V329" s="16">
        <f>+(T329*12)/1.005-65</f>
        <v>944.19402985074635</v>
      </c>
      <c r="AB329" s="19"/>
      <c r="AC329" s="20"/>
      <c r="AD329" s="19"/>
      <c r="AE329" s="98"/>
    </row>
    <row r="330" spans="1:31" x14ac:dyDescent="0.3">
      <c r="A330" s="108">
        <v>330</v>
      </c>
      <c r="B330" s="46">
        <v>45461</v>
      </c>
      <c r="D330" s="13" t="s">
        <v>1</v>
      </c>
      <c r="E330" s="13" t="s">
        <v>51</v>
      </c>
      <c r="F330" s="13" t="s">
        <v>66</v>
      </c>
      <c r="G330" s="14" t="s">
        <v>20</v>
      </c>
      <c r="I330" s="14" t="s">
        <v>556</v>
      </c>
      <c r="K330" s="21">
        <v>930605712</v>
      </c>
      <c r="L330" s="21">
        <v>990182087</v>
      </c>
      <c r="M330" s="14" t="s">
        <v>69</v>
      </c>
      <c r="N330" s="14" t="s">
        <v>70</v>
      </c>
      <c r="O330" s="14" t="s">
        <v>557</v>
      </c>
      <c r="Q330" s="14" t="s">
        <v>307</v>
      </c>
      <c r="R330" s="14" t="s">
        <v>177</v>
      </c>
      <c r="T330" s="15">
        <v>101.46</v>
      </c>
      <c r="U330" s="15"/>
      <c r="V330" s="16">
        <f>+T330*12/(1.005)</f>
        <v>1211.4626865671644</v>
      </c>
      <c r="AB330" s="19"/>
      <c r="AC330" s="20"/>
      <c r="AD330" s="19"/>
      <c r="AE330" s="98"/>
    </row>
    <row r="331" spans="1:31" x14ac:dyDescent="0.3">
      <c r="A331" s="105">
        <v>331</v>
      </c>
      <c r="B331" s="46">
        <v>45461</v>
      </c>
      <c r="D331" s="13" t="s">
        <v>1</v>
      </c>
      <c r="E331" s="13" t="s">
        <v>51</v>
      </c>
      <c r="F331" s="13" t="s">
        <v>66</v>
      </c>
      <c r="G331" s="14" t="s">
        <v>20</v>
      </c>
      <c r="I331" s="14" t="s">
        <v>558</v>
      </c>
      <c r="K331" s="21">
        <v>1306723287</v>
      </c>
      <c r="L331" s="21">
        <v>990182087</v>
      </c>
      <c r="M331" s="14" t="s">
        <v>69</v>
      </c>
      <c r="N331" s="14" t="s">
        <v>70</v>
      </c>
      <c r="O331" s="14" t="s">
        <v>557</v>
      </c>
      <c r="Q331" s="14" t="s">
        <v>307</v>
      </c>
      <c r="R331" s="14" t="s">
        <v>318</v>
      </c>
      <c r="T331" s="15">
        <v>118.19</v>
      </c>
      <c r="U331" s="15"/>
      <c r="V331" s="16">
        <f>+T331*12/(1.005)</f>
        <v>1411.2238805970151</v>
      </c>
      <c r="AB331" s="19"/>
      <c r="AC331" s="20"/>
      <c r="AD331" s="19"/>
      <c r="AE331" s="98"/>
    </row>
    <row r="332" spans="1:31" x14ac:dyDescent="0.3">
      <c r="A332" s="107">
        <v>332</v>
      </c>
      <c r="B332" s="46">
        <v>45462</v>
      </c>
      <c r="D332" s="13" t="s">
        <v>1</v>
      </c>
      <c r="E332" s="13" t="s">
        <v>51</v>
      </c>
      <c r="F332" s="13" t="s">
        <v>52</v>
      </c>
      <c r="G332" s="14" t="s">
        <v>487</v>
      </c>
      <c r="I332" s="14" t="s">
        <v>560</v>
      </c>
      <c r="K332" s="21"/>
      <c r="L332" s="21"/>
      <c r="Q332" s="14" t="s">
        <v>4</v>
      </c>
      <c r="R332" s="14" t="s">
        <v>268</v>
      </c>
      <c r="T332" s="15"/>
      <c r="U332" s="15"/>
      <c r="V332" s="16">
        <v>5175</v>
      </c>
      <c r="AB332" s="19"/>
      <c r="AC332" s="20"/>
      <c r="AD332" s="19"/>
      <c r="AE332" s="98"/>
    </row>
    <row r="333" spans="1:31" x14ac:dyDescent="0.3">
      <c r="A333" s="108">
        <v>333</v>
      </c>
      <c r="B333" s="46">
        <v>45462</v>
      </c>
      <c r="D333" s="13" t="s">
        <v>1</v>
      </c>
      <c r="E333" s="13" t="s">
        <v>51</v>
      </c>
      <c r="F333" s="13" t="s">
        <v>66</v>
      </c>
      <c r="G333" s="14" t="s">
        <v>20</v>
      </c>
      <c r="I333" s="14" t="s">
        <v>557</v>
      </c>
      <c r="K333" s="21"/>
      <c r="L333" s="21"/>
      <c r="Q333" s="14" t="s">
        <v>148</v>
      </c>
      <c r="R333" s="14" t="s">
        <v>512</v>
      </c>
      <c r="T333" s="15">
        <v>196.18</v>
      </c>
      <c r="U333" s="15"/>
      <c r="V333" s="16">
        <f>+Tabla1[[#This Row],[PAGO MENSUAL]]*12/(1.005)</f>
        <v>2342.4477611940301</v>
      </c>
      <c r="AB333" s="19"/>
      <c r="AC333" s="20"/>
      <c r="AD333" s="19"/>
      <c r="AE333" s="98"/>
    </row>
    <row r="334" spans="1:31" x14ac:dyDescent="0.3">
      <c r="A334" s="105">
        <v>334</v>
      </c>
      <c r="B334" s="46">
        <v>45464</v>
      </c>
      <c r="D334" s="13" t="s">
        <v>1</v>
      </c>
      <c r="E334" s="13" t="s">
        <v>51</v>
      </c>
      <c r="F334" s="13" t="s">
        <v>52</v>
      </c>
      <c r="G334" s="14" t="s">
        <v>466</v>
      </c>
      <c r="H334" s="14">
        <v>16158</v>
      </c>
      <c r="I334" s="14" t="s">
        <v>564</v>
      </c>
      <c r="K334" s="21"/>
      <c r="L334" s="21"/>
      <c r="Q334" s="14" t="s">
        <v>307</v>
      </c>
      <c r="T334" s="15"/>
      <c r="U334" s="15"/>
      <c r="V334" s="16">
        <v>2093.6799999999998</v>
      </c>
      <c r="AB334" s="19"/>
      <c r="AC334" s="20"/>
      <c r="AD334" s="19"/>
      <c r="AE334" s="98"/>
    </row>
    <row r="335" spans="1:31" x14ac:dyDescent="0.3">
      <c r="A335" s="107">
        <v>335</v>
      </c>
      <c r="B335" s="46">
        <v>45464</v>
      </c>
      <c r="D335" s="13" t="s">
        <v>1</v>
      </c>
      <c r="E335" s="13" t="s">
        <v>51</v>
      </c>
      <c r="F335" s="13" t="s">
        <v>52</v>
      </c>
      <c r="G335" s="14" t="s">
        <v>129</v>
      </c>
      <c r="H335" s="14">
        <v>33778</v>
      </c>
      <c r="I335" s="14" t="s">
        <v>561</v>
      </c>
      <c r="K335" s="21"/>
      <c r="L335" s="21"/>
      <c r="Q335" s="14" t="s">
        <v>477</v>
      </c>
      <c r="T335" s="15"/>
      <c r="U335" s="15"/>
      <c r="V335" s="16">
        <v>2617.04</v>
      </c>
      <c r="AB335" s="19"/>
      <c r="AC335" s="20"/>
      <c r="AD335" s="19"/>
      <c r="AE335" s="98"/>
    </row>
    <row r="336" spans="1:31" x14ac:dyDescent="0.3">
      <c r="A336" s="108">
        <v>336</v>
      </c>
      <c r="B336" s="46">
        <v>45464</v>
      </c>
      <c r="D336" s="13" t="s">
        <v>1</v>
      </c>
      <c r="E336" s="13" t="s">
        <v>482</v>
      </c>
      <c r="F336" s="13" t="s">
        <v>52</v>
      </c>
      <c r="G336" s="14" t="s">
        <v>396</v>
      </c>
      <c r="H336" s="14">
        <v>4106908</v>
      </c>
      <c r="I336" s="14" t="s">
        <v>379</v>
      </c>
      <c r="K336" s="21"/>
      <c r="L336" s="21"/>
      <c r="Q336" s="14" t="s">
        <v>395</v>
      </c>
      <c r="T336" s="15"/>
      <c r="U336" s="15"/>
      <c r="AB336" s="19"/>
      <c r="AC336" s="20"/>
      <c r="AD336" s="19"/>
      <c r="AE336" s="98"/>
    </row>
    <row r="337" spans="1:31" x14ac:dyDescent="0.3">
      <c r="A337" s="105">
        <v>337</v>
      </c>
      <c r="B337" s="46">
        <v>45464</v>
      </c>
      <c r="D337" s="13" t="s">
        <v>1</v>
      </c>
      <c r="E337" s="13" t="s">
        <v>51</v>
      </c>
      <c r="F337" s="13" t="s">
        <v>52</v>
      </c>
      <c r="G337" s="14" t="s">
        <v>396</v>
      </c>
      <c r="H337" s="14">
        <v>4193461</v>
      </c>
      <c r="I337" s="14" t="s">
        <v>562</v>
      </c>
      <c r="K337" s="21"/>
      <c r="L337" s="21"/>
      <c r="Q337" s="14" t="s">
        <v>395</v>
      </c>
      <c r="T337" s="15"/>
      <c r="U337" s="15"/>
      <c r="V337" s="16">
        <v>1419.64</v>
      </c>
      <c r="AB337" s="19"/>
      <c r="AC337" s="20"/>
      <c r="AD337" s="19"/>
      <c r="AE337" s="98"/>
    </row>
    <row r="338" spans="1:31" x14ac:dyDescent="0.3">
      <c r="A338" s="107">
        <v>338</v>
      </c>
      <c r="B338" s="46">
        <v>45464</v>
      </c>
      <c r="D338" s="13" t="s">
        <v>1</v>
      </c>
      <c r="E338" s="13" t="s">
        <v>51</v>
      </c>
      <c r="F338" s="13" t="s">
        <v>52</v>
      </c>
      <c r="G338" s="14" t="s">
        <v>396</v>
      </c>
      <c r="H338" s="14">
        <v>16163</v>
      </c>
      <c r="I338" s="14" t="s">
        <v>563</v>
      </c>
      <c r="K338" s="21"/>
      <c r="L338" s="21"/>
      <c r="Q338" s="14" t="s">
        <v>307</v>
      </c>
      <c r="T338" s="15"/>
      <c r="U338" s="15"/>
      <c r="V338" s="16">
        <v>855.62</v>
      </c>
      <c r="AB338" s="19"/>
      <c r="AC338" s="20"/>
      <c r="AD338" s="19"/>
      <c r="AE338" s="98"/>
    </row>
    <row r="339" spans="1:31" x14ac:dyDescent="0.3">
      <c r="A339" s="108">
        <v>339</v>
      </c>
      <c r="B339" s="46">
        <v>45467</v>
      </c>
      <c r="D339" s="13" t="s">
        <v>1</v>
      </c>
      <c r="E339" s="13" t="s">
        <v>51</v>
      </c>
      <c r="F339" s="13" t="s">
        <v>52</v>
      </c>
      <c r="G339" s="14" t="s">
        <v>129</v>
      </c>
      <c r="H339" s="14">
        <v>4193520</v>
      </c>
      <c r="I339" s="14" t="s">
        <v>568</v>
      </c>
      <c r="K339" s="21"/>
      <c r="L339" s="21"/>
      <c r="Q339" s="14" t="s">
        <v>395</v>
      </c>
      <c r="T339" s="15"/>
      <c r="U339" s="15"/>
      <c r="V339" s="16">
        <v>1437.79</v>
      </c>
      <c r="AB339" s="19"/>
      <c r="AC339" s="20"/>
      <c r="AD339" s="19"/>
      <c r="AE339" s="98"/>
    </row>
    <row r="340" spans="1:31" x14ac:dyDescent="0.3">
      <c r="A340" s="105">
        <v>340</v>
      </c>
      <c r="B340" s="46">
        <v>45467</v>
      </c>
      <c r="D340" s="13" t="s">
        <v>1</v>
      </c>
      <c r="E340" s="13" t="s">
        <v>51</v>
      </c>
      <c r="F340" s="13" t="s">
        <v>52</v>
      </c>
      <c r="G340" s="14" t="s">
        <v>566</v>
      </c>
      <c r="H340" s="14">
        <v>16164</v>
      </c>
      <c r="I340" s="14" t="s">
        <v>567</v>
      </c>
      <c r="K340" s="21"/>
      <c r="L340" s="21"/>
      <c r="Q340" s="14" t="s">
        <v>307</v>
      </c>
      <c r="T340" s="15"/>
      <c r="U340" s="15"/>
      <c r="V340" s="16">
        <v>790.91</v>
      </c>
      <c r="AB340" s="19"/>
      <c r="AC340" s="20"/>
      <c r="AD340" s="19"/>
      <c r="AE340" s="98"/>
    </row>
    <row r="341" spans="1:31" x14ac:dyDescent="0.3">
      <c r="A341" s="107">
        <v>341</v>
      </c>
      <c r="B341" s="46">
        <v>45467</v>
      </c>
      <c r="D341" s="13" t="s">
        <v>1</v>
      </c>
      <c r="E341" s="13" t="s">
        <v>51</v>
      </c>
      <c r="F341" s="13" t="s">
        <v>52</v>
      </c>
      <c r="G341" s="14" t="s">
        <v>396</v>
      </c>
      <c r="I341" s="14" t="s">
        <v>565</v>
      </c>
      <c r="K341" s="21"/>
      <c r="L341" s="21"/>
      <c r="Q341" s="14" t="s">
        <v>4</v>
      </c>
      <c r="R341" s="14" t="s">
        <v>543</v>
      </c>
      <c r="T341" s="15"/>
      <c r="U341" s="15"/>
      <c r="V341" s="16">
        <v>1414.5</v>
      </c>
      <c r="AB341" s="19"/>
      <c r="AC341" s="20"/>
      <c r="AD341" s="19"/>
      <c r="AE341" s="98"/>
    </row>
    <row r="342" spans="1:31" x14ac:dyDescent="0.3">
      <c r="A342" s="108">
        <v>342</v>
      </c>
      <c r="B342" s="46">
        <v>45468</v>
      </c>
      <c r="D342" s="13" t="s">
        <v>1</v>
      </c>
      <c r="E342" s="13" t="s">
        <v>51</v>
      </c>
      <c r="F342" s="13" t="s">
        <v>52</v>
      </c>
      <c r="G342" s="14" t="s">
        <v>569</v>
      </c>
      <c r="H342" s="14">
        <v>45152</v>
      </c>
      <c r="I342" s="14" t="s">
        <v>570</v>
      </c>
      <c r="K342" s="21"/>
      <c r="L342" s="21"/>
      <c r="Q342" s="14" t="s">
        <v>148</v>
      </c>
      <c r="T342" s="15"/>
      <c r="U342" s="15"/>
      <c r="V342" s="16">
        <v>765.47</v>
      </c>
      <c r="AB342" s="19"/>
      <c r="AC342" s="20"/>
      <c r="AD342" s="19"/>
      <c r="AE342" s="98"/>
    </row>
    <row r="343" spans="1:31" x14ac:dyDescent="0.3">
      <c r="A343" s="105">
        <v>343</v>
      </c>
      <c r="B343" s="46">
        <v>45469</v>
      </c>
      <c r="D343" s="13" t="s">
        <v>1</v>
      </c>
      <c r="E343" s="13" t="s">
        <v>51</v>
      </c>
      <c r="F343" s="13" t="s">
        <v>52</v>
      </c>
      <c r="G343" s="14" t="s">
        <v>573</v>
      </c>
      <c r="H343" s="14">
        <v>4130143</v>
      </c>
      <c r="I343" s="14" t="s">
        <v>574</v>
      </c>
      <c r="K343" s="21"/>
      <c r="L343" s="21"/>
      <c r="Q343" s="14" t="s">
        <v>395</v>
      </c>
      <c r="T343" s="15"/>
      <c r="U343" s="15"/>
      <c r="V343" s="16">
        <v>1225.52</v>
      </c>
      <c r="AB343" s="19"/>
      <c r="AC343" s="20"/>
      <c r="AD343" s="19"/>
      <c r="AE343" s="98"/>
    </row>
    <row r="344" spans="1:31" x14ac:dyDescent="0.3">
      <c r="A344" s="107">
        <v>344</v>
      </c>
      <c r="B344" s="46">
        <v>45469</v>
      </c>
      <c r="D344" s="13" t="s">
        <v>1</v>
      </c>
      <c r="E344" s="13" t="s">
        <v>51</v>
      </c>
      <c r="F344" s="13" t="s">
        <v>52</v>
      </c>
      <c r="G344" s="14" t="s">
        <v>483</v>
      </c>
      <c r="H344" s="14">
        <v>4193779</v>
      </c>
      <c r="I344" s="14" t="s">
        <v>572</v>
      </c>
      <c r="K344" s="21"/>
      <c r="L344" s="21"/>
      <c r="Q344" s="14" t="s">
        <v>395</v>
      </c>
      <c r="T344" s="15"/>
      <c r="U344" s="15"/>
      <c r="V344" s="16">
        <v>978.22</v>
      </c>
      <c r="AB344" s="19"/>
      <c r="AC344" s="20"/>
      <c r="AD344" s="19"/>
      <c r="AE344" s="98"/>
    </row>
    <row r="345" spans="1:31" x14ac:dyDescent="0.3">
      <c r="A345" s="108">
        <v>345</v>
      </c>
      <c r="B345" s="46">
        <v>45469</v>
      </c>
      <c r="D345" s="13" t="s">
        <v>1</v>
      </c>
      <c r="E345" s="13" t="s">
        <v>51</v>
      </c>
      <c r="F345" s="13" t="s">
        <v>52</v>
      </c>
      <c r="G345" s="14" t="s">
        <v>459</v>
      </c>
      <c r="I345" s="14" t="s">
        <v>304</v>
      </c>
      <c r="K345" s="21"/>
      <c r="L345" s="21"/>
      <c r="Q345" s="14" t="s">
        <v>477</v>
      </c>
      <c r="T345" s="15"/>
      <c r="U345" s="15"/>
      <c r="V345" s="16">
        <v>996.28</v>
      </c>
      <c r="AB345" s="19"/>
      <c r="AC345" s="20"/>
      <c r="AD345" s="19"/>
      <c r="AE345" s="98"/>
    </row>
    <row r="346" spans="1:31" x14ac:dyDescent="0.3">
      <c r="A346" s="105">
        <v>346</v>
      </c>
      <c r="B346" s="46">
        <v>45469</v>
      </c>
      <c r="D346" s="13" t="s">
        <v>1</v>
      </c>
      <c r="E346" s="13" t="s">
        <v>51</v>
      </c>
      <c r="F346" s="13" t="s">
        <v>66</v>
      </c>
      <c r="G346" s="14" t="s">
        <v>20</v>
      </c>
      <c r="I346" s="14" t="s">
        <v>571</v>
      </c>
      <c r="K346" s="21"/>
      <c r="L346" s="21"/>
      <c r="Q346" s="14" t="s">
        <v>477</v>
      </c>
      <c r="T346" s="15">
        <v>70.39</v>
      </c>
      <c r="U346" s="15"/>
      <c r="V346" s="16">
        <f>+Tabla1[[#This Row],[PAGO MENSUAL]]*12/1.09</f>
        <v>774.93577981651379</v>
      </c>
      <c r="AB346" s="19"/>
      <c r="AC346" s="20"/>
      <c r="AD346" s="19"/>
      <c r="AE346" s="98"/>
    </row>
    <row r="347" spans="1:31" x14ac:dyDescent="0.3">
      <c r="A347" s="107">
        <v>347</v>
      </c>
      <c r="B347" s="46">
        <v>45470</v>
      </c>
      <c r="D347" s="13" t="s">
        <v>1</v>
      </c>
      <c r="E347" s="13" t="s">
        <v>51</v>
      </c>
      <c r="F347" s="13" t="s">
        <v>66</v>
      </c>
      <c r="G347" s="14" t="s">
        <v>14</v>
      </c>
      <c r="H347" s="14">
        <v>4194064</v>
      </c>
      <c r="I347" s="14" t="s">
        <v>575</v>
      </c>
      <c r="K347" s="21">
        <v>933086589</v>
      </c>
      <c r="L347" s="21">
        <v>981534688</v>
      </c>
      <c r="M347" s="14" t="s">
        <v>69</v>
      </c>
      <c r="N347" s="14" t="s">
        <v>70</v>
      </c>
      <c r="O347" s="14" t="s">
        <v>575</v>
      </c>
      <c r="Q347" s="14" t="s">
        <v>395</v>
      </c>
      <c r="R347" s="14" t="s">
        <v>352</v>
      </c>
      <c r="T347" s="15">
        <v>83.71</v>
      </c>
      <c r="U347" s="15"/>
      <c r="V347" s="16">
        <f>+Tabla1[[#This Row],[PAGO MENSUAL]]*12</f>
        <v>1004.52</v>
      </c>
      <c r="AB347" s="19"/>
      <c r="AC347" s="20"/>
      <c r="AD347" s="19"/>
      <c r="AE347" s="98"/>
    </row>
    <row r="348" spans="1:31" x14ac:dyDescent="0.3">
      <c r="A348" s="108">
        <v>348</v>
      </c>
      <c r="B348" s="46">
        <v>45471</v>
      </c>
      <c r="D348" s="13" t="s">
        <v>1</v>
      </c>
      <c r="E348" s="13" t="s">
        <v>51</v>
      </c>
      <c r="F348" s="13" t="s">
        <v>66</v>
      </c>
      <c r="G348" s="14" t="s">
        <v>14</v>
      </c>
      <c r="I348" s="14" t="s">
        <v>576</v>
      </c>
      <c r="K348" s="21"/>
      <c r="L348" s="21"/>
      <c r="Q348" s="14" t="s">
        <v>477</v>
      </c>
      <c r="T348" s="15">
        <v>314.11</v>
      </c>
      <c r="U348" s="15"/>
      <c r="V348" s="16">
        <f>+Tabla1[[#This Row],[PAGO MENSUAL]]*12/1.09</f>
        <v>3458.0917431192661</v>
      </c>
      <c r="AB348" s="19"/>
      <c r="AC348" s="20"/>
      <c r="AD348" s="19"/>
      <c r="AE348" s="98"/>
    </row>
    <row r="349" spans="1:31" x14ac:dyDescent="0.3">
      <c r="A349" s="105">
        <v>349</v>
      </c>
      <c r="B349" s="46">
        <v>45471</v>
      </c>
      <c r="D349" s="13" t="s">
        <v>1</v>
      </c>
      <c r="E349" s="13" t="s">
        <v>51</v>
      </c>
      <c r="F349" s="13" t="s">
        <v>66</v>
      </c>
      <c r="G349" s="14" t="s">
        <v>14</v>
      </c>
      <c r="I349" s="14" t="s">
        <v>577</v>
      </c>
      <c r="K349" s="21"/>
      <c r="L349" s="21"/>
      <c r="Q349" s="14" t="s">
        <v>477</v>
      </c>
      <c r="T349" s="15">
        <v>65.3</v>
      </c>
      <c r="U349" s="15"/>
      <c r="V349" s="16">
        <f>+Tabla1[[#This Row],[PAGO MENSUAL]]*12/1.09</f>
        <v>718.89908256880722</v>
      </c>
      <c r="AB349" s="19"/>
      <c r="AC349" s="20"/>
      <c r="AD349" s="19"/>
      <c r="AE349" s="98"/>
    </row>
    <row r="350" spans="1:31" x14ac:dyDescent="0.3">
      <c r="A350" s="107">
        <v>350</v>
      </c>
      <c r="B350" s="46">
        <v>45471</v>
      </c>
      <c r="D350" s="13" t="s">
        <v>1</v>
      </c>
      <c r="E350" s="13" t="s">
        <v>51</v>
      </c>
      <c r="F350" s="13" t="s">
        <v>66</v>
      </c>
      <c r="G350" s="14" t="s">
        <v>14</v>
      </c>
      <c r="I350" s="14" t="s">
        <v>578</v>
      </c>
      <c r="K350" s="21"/>
      <c r="L350" s="21"/>
      <c r="Q350" s="14" t="s">
        <v>477</v>
      </c>
      <c r="T350" s="15">
        <v>20.8</v>
      </c>
      <c r="U350" s="15"/>
      <c r="V350" s="16">
        <f>+Tabla1[[#This Row],[PAGO MENSUAL]]*12/1.09</f>
        <v>228.99082568807339</v>
      </c>
      <c r="AB350" s="19"/>
      <c r="AC350" s="20"/>
      <c r="AD350" s="19"/>
      <c r="AE350" s="98"/>
    </row>
    <row r="351" spans="1:31" x14ac:dyDescent="0.3">
      <c r="A351" s="108">
        <v>351</v>
      </c>
      <c r="B351" s="46">
        <v>45474</v>
      </c>
      <c r="D351" s="13" t="s">
        <v>579</v>
      </c>
      <c r="E351" s="13" t="s">
        <v>582</v>
      </c>
      <c r="F351" s="13" t="s">
        <v>52</v>
      </c>
      <c r="G351" s="14" t="s">
        <v>583</v>
      </c>
      <c r="H351" s="14">
        <v>4172054</v>
      </c>
      <c r="I351" s="14" t="s">
        <v>584</v>
      </c>
      <c r="K351" s="21"/>
      <c r="L351" s="21"/>
      <c r="Q351" s="14" t="s">
        <v>395</v>
      </c>
      <c r="T351" s="15"/>
      <c r="U351" s="15"/>
      <c r="AB351" s="19"/>
      <c r="AC351" s="20"/>
      <c r="AD351" s="19"/>
      <c r="AE351" s="98"/>
    </row>
    <row r="352" spans="1:31" x14ac:dyDescent="0.3">
      <c r="A352" s="105">
        <v>352</v>
      </c>
      <c r="B352" s="46">
        <v>45474</v>
      </c>
      <c r="D352" s="13" t="s">
        <v>579</v>
      </c>
      <c r="E352" s="13" t="s">
        <v>51</v>
      </c>
      <c r="F352" s="13" t="s">
        <v>52</v>
      </c>
      <c r="G352" s="14" t="s">
        <v>155</v>
      </c>
      <c r="H352" s="14">
        <v>4194266</v>
      </c>
      <c r="I352" s="14" t="s">
        <v>580</v>
      </c>
      <c r="K352" s="21"/>
      <c r="L352" s="21"/>
      <c r="Q352" s="14" t="s">
        <v>395</v>
      </c>
      <c r="T352" s="15"/>
      <c r="U352" s="15"/>
      <c r="V352" s="16">
        <v>2407.3200000000002</v>
      </c>
      <c r="AB352" s="19"/>
      <c r="AC352" s="20"/>
      <c r="AD352" s="19"/>
      <c r="AE352" s="98"/>
    </row>
    <row r="353" spans="1:31" x14ac:dyDescent="0.3">
      <c r="A353" s="107">
        <v>353</v>
      </c>
      <c r="B353" s="46">
        <v>45474</v>
      </c>
      <c r="D353" s="13" t="s">
        <v>579</v>
      </c>
      <c r="E353" s="13" t="s">
        <v>51</v>
      </c>
      <c r="F353" s="13" t="s">
        <v>52</v>
      </c>
      <c r="G353" s="14" t="s">
        <v>129</v>
      </c>
      <c r="H353" s="14" t="s">
        <v>581</v>
      </c>
      <c r="I353" s="14" t="s">
        <v>561</v>
      </c>
      <c r="K353" s="21"/>
      <c r="L353" s="21"/>
      <c r="Q353" s="14" t="s">
        <v>3</v>
      </c>
      <c r="T353" s="15"/>
      <c r="U353" s="15"/>
      <c r="V353" s="16">
        <v>731.93</v>
      </c>
      <c r="AB353" s="19"/>
      <c r="AC353" s="20"/>
      <c r="AD353" s="19"/>
      <c r="AE353" s="98"/>
    </row>
    <row r="354" spans="1:31" x14ac:dyDescent="0.3">
      <c r="A354" s="108">
        <v>354</v>
      </c>
      <c r="B354" s="46">
        <v>45474</v>
      </c>
      <c r="D354" s="13" t="s">
        <v>579</v>
      </c>
      <c r="E354" s="13" t="s">
        <v>582</v>
      </c>
      <c r="F354" s="13" t="s">
        <v>52</v>
      </c>
      <c r="G354" s="14" t="s">
        <v>487</v>
      </c>
      <c r="H354" s="14">
        <v>4189023</v>
      </c>
      <c r="I354" s="14" t="s">
        <v>401</v>
      </c>
      <c r="K354" s="21"/>
      <c r="L354" s="21"/>
      <c r="Q354" s="14" t="s">
        <v>395</v>
      </c>
      <c r="T354" s="15"/>
      <c r="U354" s="15"/>
      <c r="AB354" s="19"/>
      <c r="AC354" s="20"/>
      <c r="AD354" s="19"/>
      <c r="AE354" s="98"/>
    </row>
    <row r="355" spans="1:31" x14ac:dyDescent="0.3">
      <c r="A355" s="105">
        <v>355</v>
      </c>
      <c r="B355" s="46">
        <v>45475</v>
      </c>
      <c r="D355" s="13" t="s">
        <v>579</v>
      </c>
      <c r="E355" s="13" t="s">
        <v>51</v>
      </c>
      <c r="F355" s="13" t="s">
        <v>52</v>
      </c>
      <c r="G355" s="14" t="s">
        <v>155</v>
      </c>
      <c r="H355" s="14">
        <v>4194425</v>
      </c>
      <c r="I355" s="14" t="s">
        <v>587</v>
      </c>
      <c r="K355" s="21"/>
      <c r="L355" s="21"/>
      <c r="Q355" s="14" t="s">
        <v>395</v>
      </c>
      <c r="T355" s="15"/>
      <c r="U355" s="15"/>
      <c r="V355" s="16">
        <v>1500.6</v>
      </c>
      <c r="AB355" s="19"/>
      <c r="AC355" s="20"/>
      <c r="AD355" s="19"/>
      <c r="AE355" s="98"/>
    </row>
    <row r="356" spans="1:31" x14ac:dyDescent="0.3">
      <c r="A356" s="107">
        <v>356</v>
      </c>
      <c r="B356" s="46">
        <v>45475</v>
      </c>
      <c r="D356" s="13" t="s">
        <v>579</v>
      </c>
      <c r="E356" s="13" t="s">
        <v>186</v>
      </c>
      <c r="F356" s="13" t="s">
        <v>66</v>
      </c>
      <c r="G356" s="14" t="s">
        <v>11</v>
      </c>
      <c r="I356" s="14" t="s">
        <v>585</v>
      </c>
      <c r="K356" s="21"/>
      <c r="L356" s="21"/>
      <c r="P356" s="14" t="s">
        <v>71</v>
      </c>
      <c r="Q356" s="14" t="s">
        <v>586</v>
      </c>
      <c r="R356" s="14" t="s">
        <v>369</v>
      </c>
      <c r="T356" s="15">
        <f>+Tabla1[[#This Row],[PRIMA NETA ANUAL]]/12</f>
        <v>431.50083333333333</v>
      </c>
      <c r="U356" s="15"/>
      <c r="V356" s="16">
        <v>5178.01</v>
      </c>
      <c r="AB356" s="19"/>
      <c r="AC356" s="20"/>
      <c r="AD356" s="19"/>
      <c r="AE356" s="98"/>
    </row>
    <row r="357" spans="1:31" x14ac:dyDescent="0.3">
      <c r="A357" s="108">
        <v>357</v>
      </c>
      <c r="B357" s="46">
        <v>45478</v>
      </c>
      <c r="D357" s="13" t="s">
        <v>579</v>
      </c>
      <c r="E357" s="13" t="s">
        <v>186</v>
      </c>
      <c r="F357" s="13" t="s">
        <v>52</v>
      </c>
      <c r="G357" s="14" t="s">
        <v>155</v>
      </c>
      <c r="H357" s="14">
        <v>4173188</v>
      </c>
      <c r="I357" s="14" t="s">
        <v>591</v>
      </c>
      <c r="K357" s="21"/>
      <c r="L357" s="21"/>
      <c r="Q357" s="14" t="s">
        <v>395</v>
      </c>
      <c r="T357" s="15"/>
      <c r="U357" s="15"/>
      <c r="AB357" s="19"/>
      <c r="AC357" s="20"/>
      <c r="AD357" s="19"/>
      <c r="AE357" s="98"/>
    </row>
    <row r="358" spans="1:31" x14ac:dyDescent="0.3">
      <c r="A358" s="105">
        <v>358</v>
      </c>
      <c r="B358" s="46">
        <v>45478</v>
      </c>
      <c r="D358" s="13" t="s">
        <v>579</v>
      </c>
      <c r="E358" s="13" t="s">
        <v>51</v>
      </c>
      <c r="F358" s="13" t="s">
        <v>52</v>
      </c>
      <c r="G358" s="14" t="s">
        <v>129</v>
      </c>
      <c r="H358" s="14">
        <v>4194593</v>
      </c>
      <c r="I358" s="14" t="s">
        <v>590</v>
      </c>
      <c r="K358" s="21"/>
      <c r="L358" s="21"/>
      <c r="Q358" s="14" t="s">
        <v>395</v>
      </c>
      <c r="T358" s="15"/>
      <c r="U358" s="15"/>
      <c r="V358" s="16">
        <v>818.35</v>
      </c>
      <c r="AB358" s="19"/>
      <c r="AC358" s="20"/>
      <c r="AD358" s="19"/>
      <c r="AE358" s="98"/>
    </row>
    <row r="359" spans="1:31" x14ac:dyDescent="0.3">
      <c r="A359" s="107">
        <v>359</v>
      </c>
      <c r="B359" s="46">
        <v>45478</v>
      </c>
      <c r="D359" s="13" t="s">
        <v>579</v>
      </c>
      <c r="E359" s="13" t="s">
        <v>51</v>
      </c>
      <c r="F359" s="13" t="s">
        <v>52</v>
      </c>
      <c r="G359" s="14" t="s">
        <v>396</v>
      </c>
      <c r="I359" s="14" t="s">
        <v>589</v>
      </c>
      <c r="K359" s="21"/>
      <c r="L359" s="21"/>
      <c r="Q359" s="14" t="s">
        <v>4</v>
      </c>
      <c r="T359" s="15"/>
      <c r="U359" s="15"/>
      <c r="V359" s="16">
        <v>1414.5</v>
      </c>
      <c r="AB359" s="19"/>
      <c r="AC359" s="20"/>
      <c r="AD359" s="19"/>
      <c r="AE359" s="98"/>
    </row>
    <row r="360" spans="1:31" x14ac:dyDescent="0.3">
      <c r="A360" s="108">
        <v>360</v>
      </c>
      <c r="B360" s="46">
        <v>45478</v>
      </c>
      <c r="D360" s="13" t="s">
        <v>579</v>
      </c>
      <c r="E360" s="13" t="s">
        <v>51</v>
      </c>
      <c r="F360" s="13" t="s">
        <v>66</v>
      </c>
      <c r="G360" s="14" t="s">
        <v>218</v>
      </c>
      <c r="I360" s="14" t="s">
        <v>588</v>
      </c>
      <c r="K360" s="21"/>
      <c r="L360" s="21"/>
      <c r="M360" s="14" t="s">
        <v>88</v>
      </c>
      <c r="N360" s="14" t="s">
        <v>108</v>
      </c>
      <c r="O360" s="14" t="s">
        <v>588</v>
      </c>
      <c r="P360" s="14" t="s">
        <v>71</v>
      </c>
      <c r="Q360" s="14" t="s">
        <v>5</v>
      </c>
      <c r="R360" s="14" t="s">
        <v>169</v>
      </c>
      <c r="T360" s="15">
        <v>215.17</v>
      </c>
      <c r="U360" s="15"/>
      <c r="V360" s="16">
        <f>+T360*12/(1.005)</f>
        <v>2569.1940298507466</v>
      </c>
      <c r="AB360" s="19"/>
      <c r="AC360" s="20"/>
      <c r="AD360" s="19"/>
      <c r="AE360" s="98"/>
    </row>
    <row r="361" spans="1:31" x14ac:dyDescent="0.3">
      <c r="A361" s="105">
        <v>361</v>
      </c>
      <c r="B361" s="46">
        <v>45479</v>
      </c>
      <c r="D361" s="13" t="s">
        <v>1</v>
      </c>
      <c r="E361" s="13" t="s">
        <v>51</v>
      </c>
      <c r="F361" s="13" t="s">
        <v>52</v>
      </c>
      <c r="G361" s="14" t="s">
        <v>155</v>
      </c>
      <c r="H361" s="14">
        <v>4192739</v>
      </c>
      <c r="I361" s="14" t="s">
        <v>592</v>
      </c>
      <c r="K361" s="21"/>
      <c r="L361" s="21"/>
      <c r="Q361" s="14" t="s">
        <v>395</v>
      </c>
      <c r="T361" s="15"/>
      <c r="U361" s="15"/>
      <c r="V361" s="16">
        <v>2814.59</v>
      </c>
      <c r="AB361" s="19"/>
      <c r="AC361" s="20"/>
      <c r="AD361" s="19"/>
      <c r="AE361" s="98"/>
    </row>
    <row r="362" spans="1:31" x14ac:dyDescent="0.3">
      <c r="A362" s="107">
        <v>362</v>
      </c>
      <c r="B362" s="46">
        <v>45482</v>
      </c>
      <c r="D362" s="13" t="s">
        <v>579</v>
      </c>
      <c r="E362" s="13" t="s">
        <v>51</v>
      </c>
      <c r="F362" s="13" t="s">
        <v>66</v>
      </c>
      <c r="G362" s="14" t="s">
        <v>218</v>
      </c>
      <c r="I362" s="14" t="s">
        <v>593</v>
      </c>
      <c r="K362" s="21"/>
      <c r="L362" s="21"/>
      <c r="M362" s="14" t="s">
        <v>69</v>
      </c>
      <c r="N362" s="14" t="s">
        <v>70</v>
      </c>
      <c r="O362" s="14" t="s">
        <v>593</v>
      </c>
      <c r="P362" s="14" t="s">
        <v>71</v>
      </c>
      <c r="Q362" s="14" t="s">
        <v>5</v>
      </c>
      <c r="R362" s="14" t="s">
        <v>169</v>
      </c>
      <c r="T362" s="15">
        <v>215.17</v>
      </c>
      <c r="U362" s="15"/>
      <c r="V362" s="16">
        <f>+T362*12/(1.005)</f>
        <v>2569.1940298507466</v>
      </c>
      <c r="AB362" s="19"/>
      <c r="AC362" s="20"/>
      <c r="AD362" s="19"/>
      <c r="AE362" s="98"/>
    </row>
    <row r="363" spans="1:31" x14ac:dyDescent="0.3">
      <c r="A363" s="108">
        <v>363</v>
      </c>
      <c r="B363" s="46">
        <v>45483</v>
      </c>
      <c r="D363" s="13" t="s">
        <v>579</v>
      </c>
      <c r="E363" s="13" t="s">
        <v>51</v>
      </c>
      <c r="F363" s="13" t="s">
        <v>52</v>
      </c>
      <c r="G363" s="14" t="s">
        <v>118</v>
      </c>
      <c r="I363" s="14" t="s">
        <v>594</v>
      </c>
      <c r="K363" s="21"/>
      <c r="L363" s="21"/>
      <c r="Q363" s="14" t="s">
        <v>4</v>
      </c>
      <c r="R363" s="14" t="s">
        <v>595</v>
      </c>
      <c r="T363" s="15"/>
      <c r="U363" s="15"/>
      <c r="V363" s="16">
        <v>939</v>
      </c>
      <c r="AB363" s="19"/>
      <c r="AC363" s="20"/>
      <c r="AD363" s="19"/>
      <c r="AE363" s="98"/>
    </row>
    <row r="364" spans="1:31" x14ac:dyDescent="0.3">
      <c r="A364" s="105">
        <v>364</v>
      </c>
      <c r="B364" s="46">
        <v>45483</v>
      </c>
      <c r="D364" s="13" t="s">
        <v>579</v>
      </c>
      <c r="E364" s="13" t="s">
        <v>51</v>
      </c>
      <c r="F364" s="13" t="s">
        <v>66</v>
      </c>
      <c r="G364" s="14" t="s">
        <v>11</v>
      </c>
      <c r="I364" s="14" t="s">
        <v>596</v>
      </c>
      <c r="K364" s="21">
        <v>952135986</v>
      </c>
      <c r="L364" s="21">
        <v>995524274</v>
      </c>
      <c r="M364" s="14" t="s">
        <v>69</v>
      </c>
      <c r="N364" s="14" t="s">
        <v>70</v>
      </c>
      <c r="O364" s="14" t="s">
        <v>596</v>
      </c>
      <c r="P364" s="14" t="s">
        <v>71</v>
      </c>
      <c r="Q364" s="14" t="s">
        <v>477</v>
      </c>
      <c r="R364" s="14" t="s">
        <v>421</v>
      </c>
      <c r="T364" s="15">
        <v>51.84</v>
      </c>
      <c r="U364" s="15"/>
      <c r="V364" s="16">
        <f>+Tabla1[[#This Row],[PAGO MENSUAL]]*12/1.09</f>
        <v>570.71559633027528</v>
      </c>
      <c r="AB364" s="19"/>
      <c r="AC364" s="20"/>
      <c r="AD364" s="19"/>
      <c r="AE364" s="98"/>
    </row>
    <row r="365" spans="1:31" x14ac:dyDescent="0.3">
      <c r="A365" s="107">
        <v>365</v>
      </c>
      <c r="B365" s="46">
        <v>45483</v>
      </c>
      <c r="D365" s="13" t="s">
        <v>579</v>
      </c>
      <c r="E365" s="13" t="s">
        <v>51</v>
      </c>
      <c r="F365" s="13" t="s">
        <v>66</v>
      </c>
      <c r="G365" s="14" t="s">
        <v>11</v>
      </c>
      <c r="I365" s="14" t="s">
        <v>596</v>
      </c>
      <c r="K365" s="21">
        <v>952135986</v>
      </c>
      <c r="L365" s="21">
        <v>995524274</v>
      </c>
      <c r="M365" s="14" t="s">
        <v>69</v>
      </c>
      <c r="N365" s="14" t="s">
        <v>70</v>
      </c>
      <c r="O365" s="14" t="s">
        <v>596</v>
      </c>
      <c r="P365" s="14" t="s">
        <v>71</v>
      </c>
      <c r="Q365" s="14" t="s">
        <v>3</v>
      </c>
      <c r="R365" s="14" t="s">
        <v>64</v>
      </c>
      <c r="T365" s="15">
        <v>31.56</v>
      </c>
      <c r="U365" s="15"/>
      <c r="V365" s="16">
        <f>+(T365*12)/1.005-65</f>
        <v>311.83582089552237</v>
      </c>
      <c r="AB365" s="19"/>
      <c r="AC365" s="20"/>
      <c r="AD365" s="19"/>
      <c r="AE365" s="98"/>
    </row>
    <row r="366" spans="1:31" x14ac:dyDescent="0.3">
      <c r="A366" s="108">
        <v>366</v>
      </c>
      <c r="B366" s="46">
        <v>45484</v>
      </c>
      <c r="D366" s="13" t="s">
        <v>579</v>
      </c>
      <c r="E366" s="13" t="s">
        <v>51</v>
      </c>
      <c r="F366" s="13" t="s">
        <v>52</v>
      </c>
      <c r="G366" s="14" t="s">
        <v>113</v>
      </c>
      <c r="H366" s="14">
        <v>4194908</v>
      </c>
      <c r="I366" s="14" t="s">
        <v>598</v>
      </c>
      <c r="K366" s="21"/>
      <c r="L366" s="21"/>
      <c r="Q366" s="14" t="s">
        <v>395</v>
      </c>
      <c r="T366" s="15"/>
      <c r="U366" s="15"/>
      <c r="V366" s="16">
        <v>992.79</v>
      </c>
      <c r="AB366" s="19"/>
      <c r="AC366" s="20"/>
      <c r="AD366" s="19"/>
      <c r="AE366" s="98"/>
    </row>
    <row r="367" spans="1:31" x14ac:dyDescent="0.3">
      <c r="A367" s="105">
        <v>367</v>
      </c>
      <c r="B367" s="46">
        <v>45484</v>
      </c>
      <c r="D367" s="13" t="s">
        <v>579</v>
      </c>
      <c r="E367" s="13" t="s">
        <v>51</v>
      </c>
      <c r="F367" s="13" t="s">
        <v>52</v>
      </c>
      <c r="G367" s="14" t="s">
        <v>566</v>
      </c>
      <c r="I367" s="14" t="s">
        <v>597</v>
      </c>
      <c r="K367" s="21"/>
      <c r="L367" s="21"/>
      <c r="Q367" s="14" t="s">
        <v>4</v>
      </c>
      <c r="T367" s="15"/>
      <c r="U367" s="15"/>
      <c r="V367" s="16">
        <v>939</v>
      </c>
      <c r="AB367" s="19"/>
      <c r="AC367" s="20"/>
      <c r="AD367" s="19"/>
      <c r="AE367" s="98"/>
    </row>
    <row r="368" spans="1:31" x14ac:dyDescent="0.3">
      <c r="A368" s="107">
        <v>368</v>
      </c>
      <c r="B368" s="46">
        <v>45484</v>
      </c>
      <c r="D368" s="13" t="s">
        <v>579</v>
      </c>
      <c r="E368" s="13" t="s">
        <v>51</v>
      </c>
      <c r="F368" s="13" t="s">
        <v>52</v>
      </c>
      <c r="G368" s="14" t="s">
        <v>566</v>
      </c>
      <c r="H368" s="14">
        <v>16239</v>
      </c>
      <c r="I368" s="14" t="s">
        <v>599</v>
      </c>
      <c r="K368" s="21"/>
      <c r="L368" s="21"/>
      <c r="Q368" s="14" t="s">
        <v>307</v>
      </c>
      <c r="T368" s="15"/>
      <c r="U368" s="15"/>
      <c r="V368" s="16">
        <v>3417.47</v>
      </c>
      <c r="AB368" s="19"/>
      <c r="AC368" s="20"/>
      <c r="AD368" s="19"/>
      <c r="AE368" s="98"/>
    </row>
    <row r="369" spans="1:31" x14ac:dyDescent="0.3">
      <c r="A369" s="108">
        <v>369</v>
      </c>
      <c r="B369" s="46">
        <v>45485</v>
      </c>
      <c r="D369" s="13" t="s">
        <v>579</v>
      </c>
      <c r="E369" s="13" t="s">
        <v>51</v>
      </c>
      <c r="F369" s="13" t="s">
        <v>52</v>
      </c>
      <c r="G369" s="14" t="s">
        <v>466</v>
      </c>
      <c r="I369" s="14" t="s">
        <v>383</v>
      </c>
      <c r="K369" s="21"/>
      <c r="L369" s="21"/>
      <c r="Q369" s="14" t="s">
        <v>477</v>
      </c>
      <c r="T369" s="15"/>
      <c r="U369" s="15"/>
      <c r="V369" s="16">
        <v>1020.58</v>
      </c>
      <c r="AB369" s="19"/>
      <c r="AC369" s="20"/>
      <c r="AD369" s="19"/>
      <c r="AE369" s="98"/>
    </row>
    <row r="370" spans="1:31" x14ac:dyDescent="0.3">
      <c r="A370" s="105">
        <v>370</v>
      </c>
      <c r="B370" s="46">
        <v>45485</v>
      </c>
      <c r="D370" s="13" t="s">
        <v>579</v>
      </c>
      <c r="E370" s="13" t="s">
        <v>51</v>
      </c>
      <c r="F370" s="13" t="s">
        <v>52</v>
      </c>
      <c r="G370" s="14" t="s">
        <v>483</v>
      </c>
      <c r="H370" s="14">
        <v>4194941</v>
      </c>
      <c r="I370" s="14" t="s">
        <v>600</v>
      </c>
      <c r="K370" s="21"/>
      <c r="L370" s="21"/>
      <c r="Q370" s="14" t="s">
        <v>395</v>
      </c>
      <c r="T370" s="15"/>
      <c r="U370" s="15"/>
      <c r="V370" s="16">
        <v>965.45</v>
      </c>
      <c r="AB370" s="19"/>
      <c r="AC370" s="20"/>
      <c r="AD370" s="19"/>
      <c r="AE370" s="98"/>
    </row>
    <row r="371" spans="1:31" x14ac:dyDescent="0.3">
      <c r="A371" s="107">
        <v>371</v>
      </c>
      <c r="B371" s="46">
        <v>45485</v>
      </c>
      <c r="D371" s="13" t="s">
        <v>579</v>
      </c>
      <c r="E371" s="13" t="s">
        <v>51</v>
      </c>
      <c r="F371" s="13" t="s">
        <v>52</v>
      </c>
      <c r="G371" s="14" t="s">
        <v>566</v>
      </c>
      <c r="H371" s="14">
        <v>4195002</v>
      </c>
      <c r="I371" s="14" t="s">
        <v>603</v>
      </c>
      <c r="K371" s="21"/>
      <c r="L371" s="21"/>
      <c r="Q371" s="14" t="s">
        <v>395</v>
      </c>
      <c r="T371" s="15"/>
      <c r="U371" s="15"/>
      <c r="V371" s="16">
        <v>1707.76</v>
      </c>
      <c r="AB371" s="19"/>
      <c r="AC371" s="20"/>
      <c r="AD371" s="19"/>
      <c r="AE371" s="98"/>
    </row>
    <row r="372" spans="1:31" x14ac:dyDescent="0.3">
      <c r="A372" s="108">
        <v>372</v>
      </c>
      <c r="B372" s="46">
        <v>45485</v>
      </c>
      <c r="D372" s="13" t="s">
        <v>579</v>
      </c>
      <c r="E372" s="13" t="s">
        <v>51</v>
      </c>
      <c r="F372" s="13" t="s">
        <v>52</v>
      </c>
      <c r="G372" s="14" t="s">
        <v>396</v>
      </c>
      <c r="I372" s="14" t="s">
        <v>602</v>
      </c>
      <c r="K372" s="21"/>
      <c r="L372" s="21"/>
      <c r="Q372" s="14" t="s">
        <v>307</v>
      </c>
      <c r="T372" s="15"/>
      <c r="U372" s="15"/>
      <c r="V372" s="16">
        <v>1525.22</v>
      </c>
      <c r="AB372" s="19"/>
      <c r="AC372" s="20"/>
      <c r="AD372" s="19"/>
      <c r="AE372" s="98"/>
    </row>
    <row r="373" spans="1:31" x14ac:dyDescent="0.3">
      <c r="A373" s="105">
        <v>373</v>
      </c>
      <c r="B373" s="46">
        <v>45485</v>
      </c>
      <c r="D373" s="13" t="s">
        <v>579</v>
      </c>
      <c r="E373" s="13" t="s">
        <v>51</v>
      </c>
      <c r="F373" s="13" t="s">
        <v>52</v>
      </c>
      <c r="G373" s="14" t="s">
        <v>487</v>
      </c>
      <c r="I373" s="14" t="s">
        <v>601</v>
      </c>
      <c r="K373" s="21"/>
      <c r="L373" s="21"/>
      <c r="Q373" s="14" t="s">
        <v>4</v>
      </c>
      <c r="T373" s="15"/>
      <c r="U373" s="15"/>
      <c r="V373" s="16">
        <v>5175</v>
      </c>
      <c r="AB373" s="19"/>
      <c r="AC373" s="20"/>
      <c r="AD373" s="19"/>
      <c r="AE373" s="98"/>
    </row>
    <row r="374" spans="1:31" x14ac:dyDescent="0.3">
      <c r="A374" s="107">
        <v>374</v>
      </c>
      <c r="B374" s="46">
        <v>45489</v>
      </c>
      <c r="D374" s="13" t="s">
        <v>579</v>
      </c>
      <c r="E374" s="13" t="s">
        <v>482</v>
      </c>
      <c r="F374" s="13" t="s">
        <v>52</v>
      </c>
      <c r="G374" s="14" t="s">
        <v>155</v>
      </c>
      <c r="H374" s="14">
        <v>795326</v>
      </c>
      <c r="I374" s="14" t="s">
        <v>608</v>
      </c>
      <c r="K374" s="21"/>
      <c r="L374" s="21"/>
      <c r="Q374" s="14" t="s">
        <v>395</v>
      </c>
      <c r="T374" s="15"/>
      <c r="U374" s="15"/>
      <c r="AB374" s="19"/>
      <c r="AC374" s="20"/>
      <c r="AD374" s="19"/>
      <c r="AE374" s="98"/>
    </row>
    <row r="375" spans="1:31" x14ac:dyDescent="0.3">
      <c r="A375" s="108">
        <v>375</v>
      </c>
      <c r="B375" s="46">
        <v>45489</v>
      </c>
      <c r="D375" s="13" t="s">
        <v>579</v>
      </c>
      <c r="E375" s="13" t="s">
        <v>51</v>
      </c>
      <c r="F375" s="13" t="s">
        <v>52</v>
      </c>
      <c r="G375" s="14" t="s">
        <v>155</v>
      </c>
      <c r="H375" s="14">
        <v>4194956</v>
      </c>
      <c r="I375" s="14" t="s">
        <v>611</v>
      </c>
      <c r="K375" s="21"/>
      <c r="L375" s="21"/>
      <c r="Q375" s="14" t="s">
        <v>395</v>
      </c>
      <c r="T375" s="15"/>
      <c r="U375" s="15"/>
      <c r="V375" s="16">
        <v>3342.46</v>
      </c>
      <c r="AB375" s="19"/>
      <c r="AC375" s="20"/>
      <c r="AD375" s="19"/>
      <c r="AE375" s="98"/>
    </row>
    <row r="376" spans="1:31" x14ac:dyDescent="0.3">
      <c r="A376" s="105">
        <v>376</v>
      </c>
      <c r="B376" s="46">
        <v>45489</v>
      </c>
      <c r="D376" s="13" t="s">
        <v>579</v>
      </c>
      <c r="E376" s="13" t="s">
        <v>51</v>
      </c>
      <c r="F376" s="13" t="s">
        <v>52</v>
      </c>
      <c r="G376" s="14" t="s">
        <v>609</v>
      </c>
      <c r="H376" s="14">
        <v>4194851</v>
      </c>
      <c r="I376" s="14" t="s">
        <v>610</v>
      </c>
      <c r="K376" s="21"/>
      <c r="L376" s="21"/>
      <c r="Q376" s="14" t="s">
        <v>395</v>
      </c>
      <c r="T376" s="15"/>
      <c r="U376" s="15"/>
      <c r="V376" s="16">
        <v>1500.6</v>
      </c>
      <c r="AB376" s="19"/>
      <c r="AC376" s="20"/>
      <c r="AD376" s="19"/>
      <c r="AE376" s="98"/>
    </row>
    <row r="377" spans="1:31" x14ac:dyDescent="0.3">
      <c r="A377" s="107">
        <v>377</v>
      </c>
      <c r="B377" s="46">
        <v>45489</v>
      </c>
      <c r="D377" s="13" t="s">
        <v>579</v>
      </c>
      <c r="E377" s="13" t="s">
        <v>51</v>
      </c>
      <c r="F377" s="13" t="s">
        <v>52</v>
      </c>
      <c r="G377" s="14" t="s">
        <v>609</v>
      </c>
      <c r="H377" s="14">
        <v>4194853</v>
      </c>
      <c r="I377" s="14" t="s">
        <v>610</v>
      </c>
      <c r="K377" s="21"/>
      <c r="L377" s="21"/>
      <c r="Q377" s="14" t="s">
        <v>395</v>
      </c>
      <c r="T377" s="15"/>
      <c r="U377" s="15"/>
      <c r="V377" s="16">
        <v>2264.88</v>
      </c>
      <c r="AB377" s="19"/>
      <c r="AC377" s="20"/>
      <c r="AD377" s="19"/>
      <c r="AE377" s="98"/>
    </row>
    <row r="378" spans="1:31" x14ac:dyDescent="0.3">
      <c r="A378" s="108">
        <v>378</v>
      </c>
      <c r="B378" s="46">
        <v>45489</v>
      </c>
      <c r="D378" s="13" t="s">
        <v>579</v>
      </c>
      <c r="E378" s="13" t="s">
        <v>51</v>
      </c>
      <c r="F378" s="13" t="s">
        <v>66</v>
      </c>
      <c r="G378" s="14" t="s">
        <v>11</v>
      </c>
      <c r="H378" s="14" t="s">
        <v>606</v>
      </c>
      <c r="I378" s="14" t="s">
        <v>607</v>
      </c>
      <c r="K378" s="21"/>
      <c r="L378" s="21"/>
      <c r="O378" s="14" t="s">
        <v>607</v>
      </c>
      <c r="P378" s="14" t="s">
        <v>71</v>
      </c>
      <c r="Q378" s="14" t="s">
        <v>3</v>
      </c>
      <c r="R378" s="14" t="s">
        <v>64</v>
      </c>
      <c r="T378" s="15">
        <v>27.91</v>
      </c>
      <c r="U378" s="15"/>
      <c r="V378" s="16">
        <f>+(T378*12)/1.005-65</f>
        <v>268.25373134328362</v>
      </c>
      <c r="AB378" s="19"/>
      <c r="AC378" s="20"/>
      <c r="AD378" s="19"/>
      <c r="AE378" s="98"/>
    </row>
    <row r="379" spans="1:31" x14ac:dyDescent="0.3">
      <c r="A379" s="105">
        <v>379</v>
      </c>
      <c r="B379" s="46">
        <v>45489</v>
      </c>
      <c r="D379" s="13" t="s">
        <v>579</v>
      </c>
      <c r="E379" s="13" t="s">
        <v>51</v>
      </c>
      <c r="F379" s="13" t="s">
        <v>66</v>
      </c>
      <c r="G379" s="14" t="s">
        <v>13</v>
      </c>
      <c r="H379" s="14" t="s">
        <v>604</v>
      </c>
      <c r="I379" s="14" t="s">
        <v>605</v>
      </c>
      <c r="K379" s="21"/>
      <c r="L379" s="21"/>
      <c r="O379" s="14" t="s">
        <v>605</v>
      </c>
      <c r="P379" s="14" t="s">
        <v>71</v>
      </c>
      <c r="Q379" s="14" t="s">
        <v>3</v>
      </c>
      <c r="R379" s="14" t="s">
        <v>64</v>
      </c>
      <c r="T379" s="15">
        <v>104.72</v>
      </c>
      <c r="U379" s="15"/>
      <c r="V379" s="16">
        <f>+(T379*12)/1.005-65</f>
        <v>1185.3880597014925</v>
      </c>
      <c r="AB379" s="19"/>
      <c r="AC379" s="20"/>
      <c r="AD379" s="19"/>
      <c r="AE379" s="98"/>
    </row>
    <row r="380" spans="1:31" x14ac:dyDescent="0.3">
      <c r="A380" s="107">
        <v>380</v>
      </c>
      <c r="B380" s="46">
        <v>45490</v>
      </c>
      <c r="D380" s="13" t="s">
        <v>579</v>
      </c>
      <c r="E380" s="13" t="s">
        <v>51</v>
      </c>
      <c r="F380" s="13" t="s">
        <v>66</v>
      </c>
      <c r="G380" s="14" t="s">
        <v>11</v>
      </c>
      <c r="H380" s="14">
        <v>4196424</v>
      </c>
      <c r="I380" s="14" t="s">
        <v>612</v>
      </c>
      <c r="K380" s="21"/>
      <c r="L380" s="21"/>
      <c r="M380" s="14" t="s">
        <v>69</v>
      </c>
      <c r="N380" s="14" t="s">
        <v>70</v>
      </c>
      <c r="O380" s="14" t="s">
        <v>612</v>
      </c>
      <c r="P380" s="14" t="s">
        <v>71</v>
      </c>
      <c r="Q380" s="14" t="s">
        <v>395</v>
      </c>
      <c r="R380" s="14" t="s">
        <v>59</v>
      </c>
      <c r="T380" s="15">
        <v>252.67</v>
      </c>
      <c r="U380" s="15"/>
      <c r="V380" s="16">
        <f>+Tabla1[[#This Row],[PAGO MENSUAL]]*12</f>
        <v>3032.04</v>
      </c>
      <c r="AB380" s="19"/>
      <c r="AC380" s="20"/>
      <c r="AD380" s="19"/>
      <c r="AE380" s="98"/>
    </row>
    <row r="381" spans="1:31" x14ac:dyDescent="0.3">
      <c r="A381" s="108">
        <v>381</v>
      </c>
      <c r="B381" s="46">
        <v>45490</v>
      </c>
      <c r="C381" s="46">
        <v>45540</v>
      </c>
      <c r="D381" s="13" t="s">
        <v>579</v>
      </c>
      <c r="E381" s="13" t="s">
        <v>51</v>
      </c>
      <c r="F381" s="13" t="s">
        <v>66</v>
      </c>
      <c r="G381" s="14" t="s">
        <v>145</v>
      </c>
      <c r="I381" s="14" t="s">
        <v>613</v>
      </c>
      <c r="K381" s="21"/>
      <c r="L381" s="21"/>
      <c r="M381" s="14" t="s">
        <v>69</v>
      </c>
      <c r="N381" s="14" t="s">
        <v>70</v>
      </c>
      <c r="O381" s="14" t="s">
        <v>613</v>
      </c>
      <c r="P381" s="14" t="s">
        <v>71</v>
      </c>
      <c r="Q381" s="14" t="s">
        <v>148</v>
      </c>
      <c r="R381" s="14" t="s">
        <v>512</v>
      </c>
      <c r="T381" s="15">
        <f>102.96+95.8+99.02</f>
        <v>297.77999999999997</v>
      </c>
      <c r="U381" s="15"/>
      <c r="V381" s="16">
        <f>+Tabla1[[#This Row],[PAGO MENSUAL]]*12/(1.005)</f>
        <v>3555.5820895522388</v>
      </c>
      <c r="AB381" s="19"/>
      <c r="AC381" s="20"/>
      <c r="AD381" s="19"/>
      <c r="AE381" s="98"/>
    </row>
    <row r="382" spans="1:31" x14ac:dyDescent="0.3">
      <c r="A382" s="105">
        <v>382</v>
      </c>
      <c r="B382" s="46">
        <v>45491</v>
      </c>
      <c r="D382" s="13" t="s">
        <v>579</v>
      </c>
      <c r="E382" s="13" t="s">
        <v>51</v>
      </c>
      <c r="F382" s="13" t="s">
        <v>52</v>
      </c>
      <c r="G382" s="14" t="s">
        <v>459</v>
      </c>
      <c r="H382" s="14">
        <v>4195164</v>
      </c>
      <c r="I382" s="14" t="s">
        <v>618</v>
      </c>
      <c r="K382" s="21"/>
      <c r="L382" s="21"/>
      <c r="Q382" s="14" t="s">
        <v>395</v>
      </c>
      <c r="T382" s="15"/>
      <c r="U382" s="15"/>
      <c r="V382" s="16">
        <v>2057.36</v>
      </c>
      <c r="AB382" s="19"/>
      <c r="AC382" s="20"/>
      <c r="AD382" s="19"/>
      <c r="AE382" s="98"/>
    </row>
    <row r="383" spans="1:31" x14ac:dyDescent="0.3">
      <c r="A383" s="107">
        <v>383</v>
      </c>
      <c r="B383" s="46">
        <v>45491</v>
      </c>
      <c r="D383" s="13" t="s">
        <v>579</v>
      </c>
      <c r="E383" s="13" t="s">
        <v>51</v>
      </c>
      <c r="F383" s="13" t="s">
        <v>52</v>
      </c>
      <c r="G383" s="14" t="s">
        <v>487</v>
      </c>
      <c r="H383" s="14">
        <v>4195211</v>
      </c>
      <c r="I383" s="14" t="s">
        <v>617</v>
      </c>
      <c r="K383" s="21"/>
      <c r="L383" s="21"/>
      <c r="Q383" s="14" t="s">
        <v>395</v>
      </c>
      <c r="T383" s="15"/>
      <c r="U383" s="15"/>
      <c r="V383" s="16">
        <v>1259.77</v>
      </c>
      <c r="AB383" s="19"/>
      <c r="AC383" s="20"/>
      <c r="AD383" s="19"/>
      <c r="AE383" s="98"/>
    </row>
    <row r="384" spans="1:31" x14ac:dyDescent="0.3">
      <c r="A384" s="108">
        <v>384</v>
      </c>
      <c r="B384" s="46">
        <v>45491</v>
      </c>
      <c r="D384" s="13" t="s">
        <v>579</v>
      </c>
      <c r="E384" s="13" t="s">
        <v>51</v>
      </c>
      <c r="F384" s="13" t="s">
        <v>66</v>
      </c>
      <c r="G384" s="14" t="s">
        <v>218</v>
      </c>
      <c r="I384" s="14" t="s">
        <v>614</v>
      </c>
      <c r="K384" s="21"/>
      <c r="L384" s="21"/>
      <c r="M384" s="14" t="s">
        <v>88</v>
      </c>
      <c r="N384" s="14" t="s">
        <v>615</v>
      </c>
      <c r="O384" s="14" t="s">
        <v>614</v>
      </c>
      <c r="P384" s="14" t="s">
        <v>71</v>
      </c>
      <c r="Q384" s="14" t="s">
        <v>5</v>
      </c>
      <c r="R384" s="14" t="s">
        <v>232</v>
      </c>
      <c r="T384" s="15">
        <v>84.41</v>
      </c>
      <c r="U384" s="15"/>
      <c r="V384" s="16">
        <f>+T384*12/(1.005)</f>
        <v>1007.8805970149255</v>
      </c>
      <c r="AB384" s="19"/>
      <c r="AC384" s="20"/>
      <c r="AD384" s="19"/>
      <c r="AE384" s="98"/>
    </row>
    <row r="385" spans="1:31" x14ac:dyDescent="0.3">
      <c r="A385" s="105">
        <v>385</v>
      </c>
      <c r="B385" s="46">
        <v>45491</v>
      </c>
      <c r="D385" s="13" t="s">
        <v>579</v>
      </c>
      <c r="E385" s="13" t="s">
        <v>51</v>
      </c>
      <c r="F385" s="13" t="s">
        <v>66</v>
      </c>
      <c r="G385" s="14" t="s">
        <v>16</v>
      </c>
      <c r="I385" s="14" t="s">
        <v>616</v>
      </c>
      <c r="K385" s="21"/>
      <c r="L385" s="21"/>
      <c r="P385" s="14" t="s">
        <v>71</v>
      </c>
      <c r="Q385" s="14" t="s">
        <v>5</v>
      </c>
      <c r="R385" s="14" t="s">
        <v>318</v>
      </c>
      <c r="T385" s="15">
        <v>109.66</v>
      </c>
      <c r="U385" s="15"/>
      <c r="V385" s="16">
        <f>+T385*12/(1.005)</f>
        <v>1309.3731343283584</v>
      </c>
      <c r="AB385" s="19"/>
      <c r="AC385" s="20"/>
      <c r="AD385" s="19"/>
      <c r="AE385" s="98"/>
    </row>
    <row r="386" spans="1:31" x14ac:dyDescent="0.3">
      <c r="A386" s="107">
        <v>386</v>
      </c>
      <c r="B386" s="46">
        <v>45492</v>
      </c>
      <c r="D386" s="13" t="s">
        <v>579</v>
      </c>
      <c r="E386" s="13" t="s">
        <v>51</v>
      </c>
      <c r="F386" s="13" t="s">
        <v>52</v>
      </c>
      <c r="G386" s="14" t="s">
        <v>155</v>
      </c>
      <c r="H386" s="14">
        <v>4195344</v>
      </c>
      <c r="I386" s="14" t="s">
        <v>619</v>
      </c>
      <c r="K386" s="21"/>
      <c r="L386" s="21"/>
      <c r="Q386" s="14" t="s">
        <v>395</v>
      </c>
      <c r="T386" s="15"/>
      <c r="U386" s="15"/>
      <c r="V386" s="16">
        <v>941.81</v>
      </c>
      <c r="AB386" s="19"/>
      <c r="AC386" s="20"/>
      <c r="AD386" s="19"/>
      <c r="AE386" s="98"/>
    </row>
    <row r="387" spans="1:31" x14ac:dyDescent="0.3">
      <c r="A387" s="108">
        <v>387</v>
      </c>
      <c r="B387" s="46">
        <v>45492</v>
      </c>
      <c r="D387" s="13" t="s">
        <v>579</v>
      </c>
      <c r="E387" s="13" t="s">
        <v>51</v>
      </c>
      <c r="F387" s="13" t="s">
        <v>52</v>
      </c>
      <c r="G387" s="14" t="s">
        <v>113</v>
      </c>
      <c r="H387" s="14">
        <v>4195415</v>
      </c>
      <c r="I387" s="14" t="s">
        <v>102</v>
      </c>
      <c r="K387" s="21"/>
      <c r="L387" s="21"/>
      <c r="Q387" s="14" t="s">
        <v>395</v>
      </c>
      <c r="T387" s="15"/>
      <c r="U387" s="15"/>
      <c r="V387" s="16">
        <v>1088.19</v>
      </c>
      <c r="AB387" s="19"/>
      <c r="AC387" s="20"/>
      <c r="AD387" s="19"/>
      <c r="AE387" s="98"/>
    </row>
    <row r="388" spans="1:31" x14ac:dyDescent="0.3">
      <c r="A388" s="105">
        <v>388</v>
      </c>
      <c r="B388" s="46">
        <v>45492</v>
      </c>
      <c r="D388" s="13" t="s">
        <v>579</v>
      </c>
      <c r="E388" s="13" t="s">
        <v>51</v>
      </c>
      <c r="F388" s="13" t="s">
        <v>52</v>
      </c>
      <c r="G388" s="14" t="s">
        <v>396</v>
      </c>
      <c r="H388" s="14">
        <v>4195216</v>
      </c>
      <c r="I388" s="14" t="s">
        <v>620</v>
      </c>
      <c r="K388" s="21"/>
      <c r="L388" s="21"/>
      <c r="Q388" s="14" t="s">
        <v>395</v>
      </c>
      <c r="T388" s="15"/>
      <c r="U388" s="15"/>
      <c r="V388" s="16">
        <v>2129.9499999999998</v>
      </c>
      <c r="AB388" s="19"/>
      <c r="AC388" s="20"/>
      <c r="AD388" s="19"/>
      <c r="AE388" s="98"/>
    </row>
    <row r="389" spans="1:31" x14ac:dyDescent="0.3">
      <c r="A389" s="107">
        <v>389</v>
      </c>
      <c r="B389" s="46">
        <v>45495</v>
      </c>
      <c r="D389" s="13" t="s">
        <v>579</v>
      </c>
      <c r="E389" s="13" t="s">
        <v>51</v>
      </c>
      <c r="F389" s="13" t="s">
        <v>52</v>
      </c>
      <c r="G389" s="14" t="s">
        <v>396</v>
      </c>
      <c r="H389" s="14">
        <v>16269</v>
      </c>
      <c r="I389" s="14" t="s">
        <v>623</v>
      </c>
      <c r="K389" s="21"/>
      <c r="L389" s="21"/>
      <c r="Q389" s="14" t="s">
        <v>307</v>
      </c>
      <c r="T389" s="15"/>
      <c r="U389" s="15"/>
      <c r="V389" s="16">
        <v>2204.7199999999998</v>
      </c>
      <c r="AB389" s="19"/>
      <c r="AC389" s="20"/>
      <c r="AD389" s="19"/>
      <c r="AE389" s="98"/>
    </row>
    <row r="390" spans="1:31" x14ac:dyDescent="0.3">
      <c r="A390" s="108">
        <v>390</v>
      </c>
      <c r="B390" s="46">
        <v>45495</v>
      </c>
      <c r="D390" s="13" t="s">
        <v>579</v>
      </c>
      <c r="E390" s="13" t="s">
        <v>51</v>
      </c>
      <c r="F390" s="13" t="s">
        <v>66</v>
      </c>
      <c r="G390" s="14" t="s">
        <v>21</v>
      </c>
      <c r="I390" s="14" t="s">
        <v>621</v>
      </c>
      <c r="K390" s="21"/>
      <c r="L390" s="21"/>
      <c r="M390" s="14" t="s">
        <v>69</v>
      </c>
      <c r="N390" s="14" t="s">
        <v>70</v>
      </c>
      <c r="O390" s="14" t="s">
        <v>621</v>
      </c>
      <c r="P390" s="14" t="s">
        <v>71</v>
      </c>
      <c r="Q390" s="14" t="s">
        <v>5</v>
      </c>
      <c r="R390" s="14" t="s">
        <v>295</v>
      </c>
      <c r="T390" s="15">
        <v>153.66999999999999</v>
      </c>
      <c r="U390" s="15"/>
      <c r="V390" s="16">
        <f>+T390*12/(1.005)</f>
        <v>1834.8656716417911</v>
      </c>
      <c r="AB390" s="19"/>
      <c r="AC390" s="20"/>
      <c r="AD390" s="19"/>
      <c r="AE390" s="98"/>
    </row>
    <row r="391" spans="1:31" x14ac:dyDescent="0.3">
      <c r="A391" s="105">
        <v>391</v>
      </c>
      <c r="B391" s="46">
        <v>45495</v>
      </c>
      <c r="D391" s="13" t="s">
        <v>579</v>
      </c>
      <c r="E391" s="13" t="s">
        <v>51</v>
      </c>
      <c r="F391" s="13" t="s">
        <v>66</v>
      </c>
      <c r="G391" s="14" t="s">
        <v>14</v>
      </c>
      <c r="H391" s="14">
        <v>34295</v>
      </c>
      <c r="I391" s="14" t="s">
        <v>622</v>
      </c>
      <c r="K391" s="21"/>
      <c r="L391" s="21"/>
      <c r="M391" s="14" t="s">
        <v>69</v>
      </c>
      <c r="N391" s="14" t="s">
        <v>70</v>
      </c>
      <c r="O391" s="14" t="s">
        <v>622</v>
      </c>
      <c r="P391" s="14" t="s">
        <v>71</v>
      </c>
      <c r="Q391" s="14" t="s">
        <v>477</v>
      </c>
      <c r="R391" s="14" t="s">
        <v>421</v>
      </c>
      <c r="T391" s="15">
        <v>271.76</v>
      </c>
      <c r="U391" s="15"/>
      <c r="V391" s="16">
        <f>+Tabla1[[#This Row],[PAGO MENSUAL]]*12/1.09</f>
        <v>2991.8532110091742</v>
      </c>
      <c r="AB391" s="19"/>
      <c r="AC391" s="20"/>
      <c r="AD391" s="19"/>
      <c r="AE391" s="98"/>
    </row>
    <row r="392" spans="1:31" x14ac:dyDescent="0.3">
      <c r="A392" s="107">
        <v>392</v>
      </c>
      <c r="B392" s="46">
        <v>45496</v>
      </c>
      <c r="D392" s="13" t="s">
        <v>579</v>
      </c>
      <c r="E392" s="13" t="s">
        <v>51</v>
      </c>
      <c r="F392" s="13" t="s">
        <v>66</v>
      </c>
      <c r="G392" s="14" t="s">
        <v>21</v>
      </c>
      <c r="I392" s="14" t="s">
        <v>624</v>
      </c>
      <c r="K392" s="21"/>
      <c r="L392" s="21"/>
      <c r="M392" s="14" t="s">
        <v>69</v>
      </c>
      <c r="N392" s="14" t="s">
        <v>70</v>
      </c>
      <c r="O392" s="14" t="s">
        <v>624</v>
      </c>
      <c r="P392" s="14" t="s">
        <v>71</v>
      </c>
      <c r="Q392" s="14" t="s">
        <v>407</v>
      </c>
      <c r="R392" s="14" t="s">
        <v>625</v>
      </c>
      <c r="T392" s="15">
        <v>32.99</v>
      </c>
      <c r="U392" s="15"/>
      <c r="V392" s="16">
        <f>+Tabla1[[#This Row],[PAGO MENSUAL]]*12/(1.005)</f>
        <v>393.91044776119406</v>
      </c>
      <c r="AB392" s="19"/>
      <c r="AC392" s="20"/>
      <c r="AD392" s="19"/>
      <c r="AE392" s="98"/>
    </row>
    <row r="393" spans="1:31" x14ac:dyDescent="0.3">
      <c r="A393" s="108">
        <v>393</v>
      </c>
      <c r="B393" s="46">
        <v>45497</v>
      </c>
      <c r="C393" s="46">
        <v>45497</v>
      </c>
      <c r="D393" s="13" t="s">
        <v>579</v>
      </c>
      <c r="E393" s="13" t="s">
        <v>51</v>
      </c>
      <c r="F393" s="13" t="s">
        <v>677</v>
      </c>
      <c r="G393" s="14" t="s">
        <v>678</v>
      </c>
      <c r="H393" s="14">
        <v>45665</v>
      </c>
      <c r="I393" s="14" t="s">
        <v>696</v>
      </c>
      <c r="K393" s="21">
        <v>1200530275</v>
      </c>
      <c r="L393" s="21"/>
      <c r="Q393" s="14" t="s">
        <v>148</v>
      </c>
      <c r="R393" s="14" t="s">
        <v>512</v>
      </c>
      <c r="T393" s="15">
        <v>185.9</v>
      </c>
      <c r="U393" s="15"/>
      <c r="V393" s="16">
        <f>+T393*12/(1.005)</f>
        <v>2219.7014925373137</v>
      </c>
      <c r="AB393" s="19"/>
      <c r="AC393" s="20"/>
      <c r="AD393" s="19"/>
      <c r="AE393" s="98"/>
    </row>
    <row r="394" spans="1:31" x14ac:dyDescent="0.3">
      <c r="A394" s="105">
        <v>394</v>
      </c>
      <c r="B394" s="46">
        <v>45497</v>
      </c>
      <c r="D394" s="13" t="s">
        <v>579</v>
      </c>
      <c r="E394" s="13" t="s">
        <v>51</v>
      </c>
      <c r="F394" s="13" t="s">
        <v>52</v>
      </c>
      <c r="G394" s="14" t="s">
        <v>459</v>
      </c>
      <c r="H394" s="14">
        <v>4195625</v>
      </c>
      <c r="I394" s="14" t="s">
        <v>629</v>
      </c>
      <c r="K394" s="21"/>
      <c r="L394" s="21"/>
      <c r="Q394" s="14" t="s">
        <v>395</v>
      </c>
      <c r="T394" s="15"/>
      <c r="U394" s="15"/>
      <c r="V394" s="16">
        <v>1470.51</v>
      </c>
      <c r="AB394" s="19"/>
      <c r="AC394" s="20"/>
      <c r="AD394" s="19"/>
      <c r="AE394" s="98"/>
    </row>
    <row r="395" spans="1:31" x14ac:dyDescent="0.3">
      <c r="A395" s="107">
        <v>395</v>
      </c>
      <c r="B395" s="46">
        <v>45497</v>
      </c>
      <c r="D395" s="13" t="s">
        <v>579</v>
      </c>
      <c r="E395" s="13" t="s">
        <v>51</v>
      </c>
      <c r="F395" s="13" t="s">
        <v>66</v>
      </c>
      <c r="G395" s="14" t="s">
        <v>19</v>
      </c>
      <c r="H395" s="14">
        <v>148724</v>
      </c>
      <c r="I395" s="14" t="s">
        <v>626</v>
      </c>
      <c r="K395" s="21"/>
      <c r="L395" s="21"/>
      <c r="M395" s="14" t="s">
        <v>69</v>
      </c>
      <c r="N395" s="14" t="s">
        <v>70</v>
      </c>
      <c r="O395" s="14" t="s">
        <v>626</v>
      </c>
      <c r="P395" s="14" t="s">
        <v>71</v>
      </c>
      <c r="Q395" s="14" t="s">
        <v>407</v>
      </c>
      <c r="R395" s="14" t="s">
        <v>627</v>
      </c>
      <c r="T395" s="15">
        <v>41.76</v>
      </c>
      <c r="U395" s="15"/>
      <c r="V395" s="16">
        <f>+Tabla1[[#This Row],[PAGO MENSUAL]]*12/(1.005)</f>
        <v>498.62686567164184</v>
      </c>
      <c r="AB395" s="19"/>
      <c r="AC395" s="20"/>
      <c r="AD395" s="19"/>
      <c r="AE395" s="98"/>
    </row>
    <row r="396" spans="1:31" x14ac:dyDescent="0.3">
      <c r="A396" s="108">
        <v>396</v>
      </c>
      <c r="B396" s="46">
        <v>45497</v>
      </c>
      <c r="D396" s="13" t="s">
        <v>579</v>
      </c>
      <c r="E396" s="13" t="s">
        <v>51</v>
      </c>
      <c r="F396" s="13" t="s">
        <v>66</v>
      </c>
      <c r="G396" s="14" t="s">
        <v>19</v>
      </c>
      <c r="H396" s="14">
        <v>148725</v>
      </c>
      <c r="I396" s="14" t="s">
        <v>628</v>
      </c>
      <c r="K396" s="21"/>
      <c r="L396" s="21"/>
      <c r="M396" s="14" t="s">
        <v>69</v>
      </c>
      <c r="N396" s="14" t="s">
        <v>70</v>
      </c>
      <c r="O396" s="14" t="s">
        <v>628</v>
      </c>
      <c r="P396" s="14" t="s">
        <v>71</v>
      </c>
      <c r="Q396" s="14" t="s">
        <v>407</v>
      </c>
      <c r="R396" s="14" t="s">
        <v>627</v>
      </c>
      <c r="T396" s="15">
        <v>41.76</v>
      </c>
      <c r="U396" s="15"/>
      <c r="V396" s="16">
        <f>+Tabla1[[#This Row],[PAGO MENSUAL]]*12/(1.005)</f>
        <v>498.62686567164184</v>
      </c>
      <c r="AB396" s="19"/>
      <c r="AC396" s="20"/>
      <c r="AD396" s="19"/>
      <c r="AE396" s="98"/>
    </row>
    <row r="397" spans="1:31" x14ac:dyDescent="0.3">
      <c r="A397" s="105">
        <v>397</v>
      </c>
      <c r="B397" s="46">
        <v>45498</v>
      </c>
      <c r="D397" s="13" t="s">
        <v>579</v>
      </c>
      <c r="E397" s="13" t="s">
        <v>51</v>
      </c>
      <c r="F397" s="13" t="s">
        <v>52</v>
      </c>
      <c r="G397" s="14" t="s">
        <v>129</v>
      </c>
      <c r="H397" s="14" t="s">
        <v>632</v>
      </c>
      <c r="I397" s="14" t="s">
        <v>633</v>
      </c>
      <c r="K397" s="21"/>
      <c r="L397" s="21"/>
      <c r="Q397" s="14" t="s">
        <v>3</v>
      </c>
      <c r="T397" s="15"/>
      <c r="U397" s="15"/>
      <c r="V397" s="16">
        <v>2354.37</v>
      </c>
      <c r="AB397" s="19"/>
      <c r="AC397" s="20"/>
      <c r="AD397" s="19"/>
      <c r="AE397" s="98"/>
    </row>
    <row r="398" spans="1:31" x14ac:dyDescent="0.3">
      <c r="A398" s="107">
        <v>398</v>
      </c>
      <c r="B398" s="46">
        <v>45498</v>
      </c>
      <c r="D398" s="13" t="s">
        <v>579</v>
      </c>
      <c r="E398" s="13" t="s">
        <v>51</v>
      </c>
      <c r="F398" s="13" t="s">
        <v>52</v>
      </c>
      <c r="G398" s="14" t="s">
        <v>396</v>
      </c>
      <c r="I398" s="14" t="s">
        <v>634</v>
      </c>
      <c r="K398" s="21"/>
      <c r="L398" s="21"/>
      <c r="Q398" s="14" t="s">
        <v>307</v>
      </c>
      <c r="T398" s="15"/>
      <c r="U398" s="15"/>
      <c r="V398" s="16">
        <v>1554.71</v>
      </c>
      <c r="AB398" s="19"/>
      <c r="AC398" s="20"/>
      <c r="AD398" s="19"/>
      <c r="AE398" s="98"/>
    </row>
    <row r="399" spans="1:31" x14ac:dyDescent="0.3">
      <c r="A399" s="108">
        <v>399</v>
      </c>
      <c r="B399" s="46">
        <v>45498</v>
      </c>
      <c r="D399" s="13" t="s">
        <v>579</v>
      </c>
      <c r="E399" s="13" t="s">
        <v>51</v>
      </c>
      <c r="F399" s="13" t="s">
        <v>66</v>
      </c>
      <c r="G399" s="14" t="s">
        <v>262</v>
      </c>
      <c r="H399" s="14">
        <v>4195743</v>
      </c>
      <c r="I399" s="14" t="s">
        <v>630</v>
      </c>
      <c r="K399" s="21"/>
      <c r="L399" s="21"/>
      <c r="M399" s="14" t="s">
        <v>69</v>
      </c>
      <c r="N399" s="14" t="s">
        <v>70</v>
      </c>
      <c r="O399" s="14" t="s">
        <v>630</v>
      </c>
      <c r="P399" s="14" t="s">
        <v>74</v>
      </c>
      <c r="Q399" s="14" t="s">
        <v>395</v>
      </c>
      <c r="R399" s="14" t="s">
        <v>631</v>
      </c>
      <c r="T399" s="15">
        <v>286.04000000000002</v>
      </c>
      <c r="U399" s="15"/>
      <c r="V399" s="16">
        <f>+Tabla1[[#This Row],[PAGO MENSUAL]]*12</f>
        <v>3432.4800000000005</v>
      </c>
      <c r="AB399" s="19"/>
      <c r="AC399" s="20"/>
      <c r="AD399" s="19"/>
      <c r="AE399" s="98"/>
    </row>
    <row r="400" spans="1:31" x14ac:dyDescent="0.3">
      <c r="A400" s="105">
        <v>400</v>
      </c>
      <c r="B400" s="46">
        <v>45502</v>
      </c>
      <c r="D400" s="13" t="s">
        <v>579</v>
      </c>
      <c r="E400" s="13" t="s">
        <v>51</v>
      </c>
      <c r="F400" s="13" t="s">
        <v>52</v>
      </c>
      <c r="G400" s="14" t="s">
        <v>129</v>
      </c>
      <c r="I400" s="14" t="s">
        <v>636</v>
      </c>
      <c r="K400" s="21"/>
      <c r="L400" s="21"/>
      <c r="Q400" s="14" t="s">
        <v>477</v>
      </c>
      <c r="T400" s="15"/>
      <c r="U400" s="15"/>
      <c r="V400" s="16">
        <v>3307.09</v>
      </c>
      <c r="AB400" s="19"/>
      <c r="AC400" s="20"/>
      <c r="AD400" s="19"/>
      <c r="AE400" s="98"/>
    </row>
    <row r="401" spans="1:31" x14ac:dyDescent="0.3">
      <c r="A401" s="107">
        <v>401</v>
      </c>
      <c r="B401" s="46">
        <v>45502</v>
      </c>
      <c r="D401" s="13" t="s">
        <v>579</v>
      </c>
      <c r="E401" s="13" t="s">
        <v>51</v>
      </c>
      <c r="F401" s="13" t="s">
        <v>52</v>
      </c>
      <c r="G401" s="14" t="s">
        <v>459</v>
      </c>
      <c r="H401" s="14">
        <v>4195919</v>
      </c>
      <c r="I401" s="14" t="s">
        <v>637</v>
      </c>
      <c r="K401" s="21"/>
      <c r="L401" s="21"/>
      <c r="Q401" s="14" t="s">
        <v>395</v>
      </c>
      <c r="T401" s="15"/>
      <c r="U401" s="15"/>
      <c r="V401" s="16">
        <v>1984.64</v>
      </c>
      <c r="AB401" s="19"/>
      <c r="AC401" s="20"/>
      <c r="AD401" s="19"/>
      <c r="AE401" s="98"/>
    </row>
    <row r="402" spans="1:31" x14ac:dyDescent="0.3">
      <c r="A402" s="108">
        <v>402</v>
      </c>
      <c r="B402" s="46">
        <v>45502</v>
      </c>
      <c r="D402" s="13" t="s">
        <v>579</v>
      </c>
      <c r="E402" s="13" t="s">
        <v>51</v>
      </c>
      <c r="F402" s="13" t="s">
        <v>66</v>
      </c>
      <c r="G402" s="14" t="s">
        <v>14</v>
      </c>
      <c r="H402" s="14">
        <v>4195387</v>
      </c>
      <c r="I402" s="14" t="s">
        <v>635</v>
      </c>
      <c r="K402" s="21"/>
      <c r="L402" s="21"/>
      <c r="M402" s="14" t="s">
        <v>69</v>
      </c>
      <c r="N402" s="14" t="s">
        <v>70</v>
      </c>
      <c r="O402" s="14" t="s">
        <v>635</v>
      </c>
      <c r="P402" s="14" t="s">
        <v>71</v>
      </c>
      <c r="Q402" s="14" t="s">
        <v>395</v>
      </c>
      <c r="R402" s="14" t="s">
        <v>631</v>
      </c>
      <c r="T402" s="15">
        <v>223.51</v>
      </c>
      <c r="U402" s="15"/>
      <c r="V402" s="16">
        <f>+Tabla1[[#This Row],[PAGO MENSUAL]]*12</f>
        <v>2682.12</v>
      </c>
      <c r="AB402" s="19"/>
      <c r="AC402" s="20"/>
      <c r="AD402" s="19"/>
      <c r="AE402" s="98"/>
    </row>
    <row r="403" spans="1:31" x14ac:dyDescent="0.3">
      <c r="A403" s="105">
        <v>403</v>
      </c>
      <c r="B403" s="46">
        <v>45505</v>
      </c>
      <c r="D403" s="13" t="s">
        <v>638</v>
      </c>
      <c r="E403" s="13" t="s">
        <v>51</v>
      </c>
      <c r="F403" s="13" t="s">
        <v>52</v>
      </c>
      <c r="G403" s="14" t="s">
        <v>396</v>
      </c>
      <c r="I403" s="14" t="s">
        <v>711</v>
      </c>
      <c r="K403" s="21"/>
      <c r="L403" s="21"/>
      <c r="Q403" s="14" t="s">
        <v>748</v>
      </c>
      <c r="R403" s="14" t="s">
        <v>750</v>
      </c>
      <c r="T403" s="15"/>
      <c r="U403" s="15"/>
      <c r="V403" s="16">
        <v>1101.23</v>
      </c>
      <c r="AB403" s="19"/>
      <c r="AC403" s="20"/>
      <c r="AD403" s="19"/>
      <c r="AE403" s="98"/>
    </row>
    <row r="404" spans="1:31" x14ac:dyDescent="0.3">
      <c r="A404" s="107">
        <v>404</v>
      </c>
      <c r="B404" s="46">
        <v>45505</v>
      </c>
      <c r="D404" s="13" t="s">
        <v>638</v>
      </c>
      <c r="E404" s="13" t="s">
        <v>51</v>
      </c>
      <c r="F404" s="13" t="s">
        <v>66</v>
      </c>
      <c r="G404" s="14" t="s">
        <v>20</v>
      </c>
      <c r="I404" s="14" t="s">
        <v>639</v>
      </c>
      <c r="K404" s="21">
        <v>923955975</v>
      </c>
      <c r="L404" s="21"/>
      <c r="M404" s="14" t="s">
        <v>69</v>
      </c>
      <c r="N404" s="14" t="s">
        <v>70</v>
      </c>
      <c r="O404" s="14" t="s">
        <v>639</v>
      </c>
      <c r="P404" s="14" t="s">
        <v>71</v>
      </c>
      <c r="Q404" s="14" t="s">
        <v>395</v>
      </c>
      <c r="R404" s="14" t="s">
        <v>96</v>
      </c>
      <c r="T404" s="15">
        <v>171.19</v>
      </c>
      <c r="U404" s="15"/>
      <c r="V404" s="16">
        <f>+Tabla1[[#This Row],[PAGO MENSUAL]]*12</f>
        <v>2054.2799999999997</v>
      </c>
      <c r="AB404" s="19"/>
      <c r="AC404" s="20"/>
      <c r="AD404" s="19"/>
      <c r="AE404" s="98"/>
    </row>
    <row r="405" spans="1:31" x14ac:dyDescent="0.3">
      <c r="A405" s="108">
        <v>405</v>
      </c>
      <c r="B405" s="46">
        <v>45506</v>
      </c>
      <c r="D405" s="13" t="s">
        <v>638</v>
      </c>
      <c r="E405" s="13" t="s">
        <v>51</v>
      </c>
      <c r="F405" s="13" t="s">
        <v>52</v>
      </c>
      <c r="G405" s="14" t="s">
        <v>566</v>
      </c>
      <c r="I405" s="14" t="s">
        <v>714</v>
      </c>
      <c r="K405" s="21"/>
      <c r="L405" s="21"/>
      <c r="Q405" s="14" t="s">
        <v>307</v>
      </c>
      <c r="R405" s="14" t="s">
        <v>327</v>
      </c>
      <c r="T405" s="15"/>
      <c r="U405" s="15"/>
      <c r="V405" s="16">
        <v>1108.27</v>
      </c>
      <c r="AB405" s="19"/>
      <c r="AC405" s="20"/>
      <c r="AD405" s="19"/>
      <c r="AE405" s="98"/>
    </row>
    <row r="406" spans="1:31" x14ac:dyDescent="0.3">
      <c r="A406" s="105">
        <v>406</v>
      </c>
      <c r="B406" s="46">
        <v>45506</v>
      </c>
      <c r="D406" s="13" t="s">
        <v>638</v>
      </c>
      <c r="E406" s="13" t="s">
        <v>51</v>
      </c>
      <c r="F406" s="13" t="s">
        <v>66</v>
      </c>
      <c r="G406" s="14" t="s">
        <v>18</v>
      </c>
      <c r="I406" s="14" t="s">
        <v>640</v>
      </c>
      <c r="K406" s="21"/>
      <c r="L406" s="21"/>
      <c r="M406" s="14" t="s">
        <v>69</v>
      </c>
      <c r="N406" s="14" t="s">
        <v>70</v>
      </c>
      <c r="O406" s="14" t="s">
        <v>640</v>
      </c>
      <c r="P406" s="14" t="s">
        <v>71</v>
      </c>
      <c r="Q406" s="14" t="s">
        <v>5</v>
      </c>
      <c r="R406" s="14" t="s">
        <v>318</v>
      </c>
      <c r="T406" s="15">
        <v>79.41</v>
      </c>
      <c r="U406" s="15"/>
      <c r="V406" s="16">
        <f>+T406*12/(1.005)</f>
        <v>948.17910447761199</v>
      </c>
      <c r="AB406" s="19"/>
      <c r="AC406" s="20"/>
      <c r="AD406" s="19"/>
      <c r="AE406" s="98"/>
    </row>
    <row r="407" spans="1:31" x14ac:dyDescent="0.3">
      <c r="A407" s="107">
        <v>407</v>
      </c>
      <c r="B407" s="46">
        <v>45509</v>
      </c>
      <c r="D407" s="13" t="s">
        <v>638</v>
      </c>
      <c r="E407" s="13" t="s">
        <v>51</v>
      </c>
      <c r="F407" s="13" t="s">
        <v>52</v>
      </c>
      <c r="G407" s="14" t="s">
        <v>129</v>
      </c>
      <c r="I407" s="14" t="s">
        <v>712</v>
      </c>
      <c r="K407" s="21"/>
      <c r="L407" s="21"/>
      <c r="Q407" s="14" t="s">
        <v>3</v>
      </c>
      <c r="R407" s="14" t="s">
        <v>64</v>
      </c>
      <c r="T407" s="15"/>
      <c r="U407" s="15"/>
      <c r="V407" s="16">
        <v>1152.07</v>
      </c>
      <c r="AB407" s="19"/>
      <c r="AC407" s="20"/>
      <c r="AD407" s="19"/>
      <c r="AE407" s="98"/>
    </row>
    <row r="408" spans="1:31" x14ac:dyDescent="0.3">
      <c r="A408" s="108">
        <v>408</v>
      </c>
      <c r="B408" s="46">
        <v>45509</v>
      </c>
      <c r="D408" s="13" t="s">
        <v>638</v>
      </c>
      <c r="E408" s="13" t="s">
        <v>51</v>
      </c>
      <c r="F408" s="13" t="s">
        <v>52</v>
      </c>
      <c r="G408" s="14" t="s">
        <v>129</v>
      </c>
      <c r="I408" s="14" t="s">
        <v>713</v>
      </c>
      <c r="K408" s="21"/>
      <c r="L408" s="21"/>
      <c r="Q408" s="14" t="s">
        <v>3</v>
      </c>
      <c r="R408" s="14" t="s">
        <v>64</v>
      </c>
      <c r="T408" s="15"/>
      <c r="U408" s="15"/>
      <c r="V408" s="16">
        <v>1053.02</v>
      </c>
      <c r="AB408" s="19"/>
      <c r="AC408" s="20"/>
      <c r="AD408" s="19"/>
      <c r="AE408" s="98"/>
    </row>
    <row r="409" spans="1:31" x14ac:dyDescent="0.3">
      <c r="A409" s="105">
        <v>409</v>
      </c>
      <c r="B409" s="46">
        <v>45510</v>
      </c>
      <c r="D409" s="13" t="s">
        <v>638</v>
      </c>
      <c r="E409" s="13" t="s">
        <v>51</v>
      </c>
      <c r="F409" s="13" t="s">
        <v>52</v>
      </c>
      <c r="G409" s="14" t="s">
        <v>491</v>
      </c>
      <c r="I409" s="14" t="s">
        <v>715</v>
      </c>
      <c r="K409" s="21"/>
      <c r="L409" s="21"/>
      <c r="Q409" s="14" t="s">
        <v>395</v>
      </c>
      <c r="R409" s="14" t="s">
        <v>751</v>
      </c>
      <c r="T409" s="15"/>
      <c r="U409" s="15"/>
      <c r="V409" s="16">
        <v>777.99</v>
      </c>
      <c r="AB409" s="19"/>
      <c r="AC409" s="20"/>
      <c r="AD409" s="19"/>
      <c r="AE409" s="98"/>
    </row>
    <row r="410" spans="1:31" x14ac:dyDescent="0.3">
      <c r="A410" s="107">
        <v>410</v>
      </c>
      <c r="B410" s="46">
        <v>45511</v>
      </c>
      <c r="D410" s="13" t="s">
        <v>638</v>
      </c>
      <c r="E410" s="13" t="s">
        <v>51</v>
      </c>
      <c r="F410" s="13" t="s">
        <v>52</v>
      </c>
      <c r="G410" s="14" t="s">
        <v>155</v>
      </c>
      <c r="I410" s="14" t="s">
        <v>716</v>
      </c>
      <c r="K410" s="21"/>
      <c r="L410" s="21"/>
      <c r="Q410" s="14" t="s">
        <v>395</v>
      </c>
      <c r="R410" s="14" t="s">
        <v>115</v>
      </c>
      <c r="T410" s="15"/>
      <c r="U410" s="15"/>
      <c r="V410" s="16">
        <v>1150.28</v>
      </c>
      <c r="AB410" s="19"/>
      <c r="AC410" s="20"/>
      <c r="AD410" s="19"/>
      <c r="AE410" s="98"/>
    </row>
    <row r="411" spans="1:31" x14ac:dyDescent="0.3">
      <c r="A411" s="108">
        <v>411</v>
      </c>
      <c r="B411" s="46">
        <v>45511</v>
      </c>
      <c r="D411" s="13" t="s">
        <v>638</v>
      </c>
      <c r="E411" s="13" t="s">
        <v>51</v>
      </c>
      <c r="F411" s="13" t="s">
        <v>52</v>
      </c>
      <c r="G411" s="14" t="s">
        <v>129</v>
      </c>
      <c r="I411" s="14" t="s">
        <v>719</v>
      </c>
      <c r="K411" s="21"/>
      <c r="L411" s="21"/>
      <c r="Q411" s="14" t="s">
        <v>4</v>
      </c>
      <c r="R411" s="14" t="s">
        <v>753</v>
      </c>
      <c r="T411" s="15"/>
      <c r="U411" s="15"/>
      <c r="V411" s="16">
        <v>75.88</v>
      </c>
      <c r="AB411" s="19"/>
      <c r="AC411" s="20"/>
      <c r="AD411" s="19"/>
      <c r="AE411" s="98"/>
    </row>
    <row r="412" spans="1:31" x14ac:dyDescent="0.3">
      <c r="A412" s="105">
        <v>412</v>
      </c>
      <c r="B412" s="46">
        <v>45511</v>
      </c>
      <c r="D412" s="13" t="s">
        <v>638</v>
      </c>
      <c r="E412" s="13" t="s">
        <v>51</v>
      </c>
      <c r="F412" s="13" t="s">
        <v>52</v>
      </c>
      <c r="G412" s="14" t="s">
        <v>396</v>
      </c>
      <c r="I412" s="14" t="s">
        <v>718</v>
      </c>
      <c r="K412" s="21"/>
      <c r="L412" s="21"/>
      <c r="Q412" s="14" t="s">
        <v>3</v>
      </c>
      <c r="R412" s="14" t="s">
        <v>64</v>
      </c>
      <c r="T412" s="15"/>
      <c r="U412" s="15"/>
      <c r="V412" s="16">
        <v>1103.8599999999999</v>
      </c>
      <c r="AB412" s="19"/>
      <c r="AC412" s="20"/>
      <c r="AD412" s="19"/>
      <c r="AE412" s="98"/>
    </row>
    <row r="413" spans="1:31" x14ac:dyDescent="0.3">
      <c r="A413" s="107">
        <v>413</v>
      </c>
      <c r="B413" s="46">
        <v>45512</v>
      </c>
      <c r="D413" s="13" t="s">
        <v>638</v>
      </c>
      <c r="E413" s="13" t="s">
        <v>51</v>
      </c>
      <c r="F413" s="13" t="s">
        <v>66</v>
      </c>
      <c r="G413" s="14" t="s">
        <v>18</v>
      </c>
      <c r="I413" s="14" t="s">
        <v>641</v>
      </c>
      <c r="K413" s="21">
        <v>923587315</v>
      </c>
      <c r="L413" s="21">
        <v>999979579</v>
      </c>
      <c r="M413" s="14" t="s">
        <v>69</v>
      </c>
      <c r="N413" s="14" t="s">
        <v>70</v>
      </c>
      <c r="O413" s="14" t="s">
        <v>641</v>
      </c>
      <c r="P413" s="14" t="s">
        <v>71</v>
      </c>
      <c r="Q413" s="14" t="s">
        <v>5</v>
      </c>
      <c r="R413" s="14" t="s">
        <v>295</v>
      </c>
      <c r="T413" s="15">
        <v>104.64</v>
      </c>
      <c r="U413" s="15"/>
      <c r="V413" s="16">
        <f>+T413*12/(1.005)</f>
        <v>1249.4328358208957</v>
      </c>
      <c r="AB413" s="19"/>
      <c r="AC413" s="20"/>
      <c r="AD413" s="19"/>
      <c r="AE413" s="98"/>
    </row>
    <row r="414" spans="1:31" x14ac:dyDescent="0.3">
      <c r="A414" s="108">
        <v>414</v>
      </c>
      <c r="B414" s="46">
        <v>45516</v>
      </c>
      <c r="D414" s="13" t="s">
        <v>638</v>
      </c>
      <c r="E414" s="13" t="s">
        <v>51</v>
      </c>
      <c r="F414" s="13" t="s">
        <v>66</v>
      </c>
      <c r="G414" s="14" t="s">
        <v>13</v>
      </c>
      <c r="I414" s="14" t="s">
        <v>642</v>
      </c>
      <c r="K414" s="21">
        <v>930911755</v>
      </c>
      <c r="L414" s="21">
        <v>987367595</v>
      </c>
      <c r="M414" s="14" t="s">
        <v>69</v>
      </c>
      <c r="N414" s="14" t="s">
        <v>70</v>
      </c>
      <c r="O414" s="14" t="s">
        <v>642</v>
      </c>
      <c r="P414" s="14" t="s">
        <v>71</v>
      </c>
      <c r="Q414" s="14" t="s">
        <v>5</v>
      </c>
      <c r="R414" s="14" t="s">
        <v>232</v>
      </c>
      <c r="T414" s="15">
        <v>144.1</v>
      </c>
      <c r="U414" s="15"/>
      <c r="V414" s="16">
        <f>+T414*12/(1.005)</f>
        <v>1720.5970149253731</v>
      </c>
      <c r="AB414" s="19"/>
      <c r="AC414" s="20"/>
      <c r="AD414" s="19"/>
      <c r="AE414" s="98"/>
    </row>
    <row r="415" spans="1:31" x14ac:dyDescent="0.3">
      <c r="A415" s="105">
        <v>415</v>
      </c>
      <c r="B415" s="46">
        <v>45516</v>
      </c>
      <c r="D415" s="13" t="s">
        <v>638</v>
      </c>
      <c r="E415" s="13" t="s">
        <v>51</v>
      </c>
      <c r="F415" s="13" t="s">
        <v>66</v>
      </c>
      <c r="G415" s="14" t="s">
        <v>14</v>
      </c>
      <c r="I415" s="14" t="s">
        <v>650</v>
      </c>
      <c r="K415" s="21"/>
      <c r="L415" s="21"/>
      <c r="Q415" s="14" t="s">
        <v>5</v>
      </c>
      <c r="R415" s="14" t="s">
        <v>295</v>
      </c>
      <c r="T415" s="15">
        <v>114.14</v>
      </c>
      <c r="U415" s="15"/>
      <c r="V415" s="16">
        <f>+T415*12/(1.005)</f>
        <v>1362.8656716417913</v>
      </c>
      <c r="AB415" s="19"/>
      <c r="AC415" s="20"/>
      <c r="AD415" s="19"/>
      <c r="AE415" s="98"/>
    </row>
    <row r="416" spans="1:31" x14ac:dyDescent="0.3">
      <c r="A416" s="107">
        <v>416</v>
      </c>
      <c r="B416" s="46">
        <v>45518</v>
      </c>
      <c r="D416" s="13" t="s">
        <v>638</v>
      </c>
      <c r="E416" s="13" t="s">
        <v>51</v>
      </c>
      <c r="F416" s="13" t="s">
        <v>66</v>
      </c>
      <c r="G416" s="14" t="s">
        <v>21</v>
      </c>
      <c r="H416" s="14" t="s">
        <v>643</v>
      </c>
      <c r="I416" s="14" t="s">
        <v>644</v>
      </c>
      <c r="K416" s="21"/>
      <c r="L416" s="21"/>
      <c r="Q416" s="14" t="s">
        <v>3</v>
      </c>
      <c r="T416" s="15"/>
      <c r="U416" s="15">
        <v>331.51</v>
      </c>
      <c r="V416" s="16">
        <f>+(Tabla1[[#This Row],[PAGO ANUAL]])/1.005-65</f>
        <v>264.86069651741298</v>
      </c>
      <c r="AB416" s="19"/>
      <c r="AC416" s="20"/>
      <c r="AD416" s="19"/>
      <c r="AE416" s="98"/>
    </row>
    <row r="417" spans="1:31" x14ac:dyDescent="0.3">
      <c r="A417" s="108">
        <v>417</v>
      </c>
      <c r="B417" s="46">
        <v>45518</v>
      </c>
      <c r="D417" s="13" t="s">
        <v>638</v>
      </c>
      <c r="E417" s="13" t="s">
        <v>51</v>
      </c>
      <c r="F417" s="13" t="s">
        <v>66</v>
      </c>
      <c r="G417" s="14" t="s">
        <v>21</v>
      </c>
      <c r="I417" s="14" t="s">
        <v>644</v>
      </c>
      <c r="K417" s="21"/>
      <c r="L417" s="21"/>
      <c r="Q417" s="14" t="s">
        <v>307</v>
      </c>
      <c r="R417" s="14" t="s">
        <v>177</v>
      </c>
      <c r="T417" s="15">
        <v>68.099999999999994</v>
      </c>
      <c r="U417" s="15"/>
      <c r="V417" s="16">
        <f>+T417*12/(1.005)</f>
        <v>813.13432835820902</v>
      </c>
      <c r="AB417" s="19"/>
      <c r="AC417" s="20"/>
      <c r="AD417" s="19"/>
      <c r="AE417" s="98"/>
    </row>
    <row r="418" spans="1:31" x14ac:dyDescent="0.3">
      <c r="A418" s="105">
        <v>418</v>
      </c>
      <c r="B418" s="46">
        <v>45519</v>
      </c>
      <c r="D418" s="13" t="s">
        <v>638</v>
      </c>
      <c r="E418" s="13" t="s">
        <v>51</v>
      </c>
      <c r="F418" s="13" t="s">
        <v>66</v>
      </c>
      <c r="G418" s="14" t="s">
        <v>14</v>
      </c>
      <c r="I418" s="14" t="s">
        <v>648</v>
      </c>
      <c r="K418" s="21"/>
      <c r="L418" s="21"/>
      <c r="Q418" s="14" t="s">
        <v>3</v>
      </c>
      <c r="R418" s="14" t="s">
        <v>64</v>
      </c>
      <c r="T418" s="15">
        <v>63.02</v>
      </c>
      <c r="U418" s="15"/>
      <c r="V418" s="16">
        <f>+(T418*12)/1.005-65</f>
        <v>687.47761194029863</v>
      </c>
      <c r="AB418" s="19"/>
      <c r="AC418" s="20"/>
      <c r="AD418" s="19"/>
      <c r="AE418" s="98"/>
    </row>
    <row r="419" spans="1:31" x14ac:dyDescent="0.3">
      <c r="A419" s="107">
        <v>419</v>
      </c>
      <c r="B419" s="46">
        <v>45520</v>
      </c>
      <c r="D419" s="13" t="s">
        <v>638</v>
      </c>
      <c r="E419" s="13" t="s">
        <v>51</v>
      </c>
      <c r="F419" s="13" t="s">
        <v>52</v>
      </c>
      <c r="G419" s="14" t="s">
        <v>466</v>
      </c>
      <c r="I419" s="14" t="s">
        <v>723</v>
      </c>
      <c r="K419" s="21"/>
      <c r="L419" s="21"/>
      <c r="Q419" s="14" t="s">
        <v>395</v>
      </c>
      <c r="R419" s="14" t="s">
        <v>80</v>
      </c>
      <c r="T419" s="15"/>
      <c r="U419" s="15"/>
      <c r="V419" s="16">
        <v>1004.49</v>
      </c>
      <c r="AB419" s="19"/>
      <c r="AC419" s="20"/>
      <c r="AD419" s="19"/>
      <c r="AE419" s="98"/>
    </row>
    <row r="420" spans="1:31" x14ac:dyDescent="0.3">
      <c r="A420" s="108">
        <v>420</v>
      </c>
      <c r="B420" s="46">
        <v>45520</v>
      </c>
      <c r="D420" s="13" t="s">
        <v>638</v>
      </c>
      <c r="E420" s="13" t="s">
        <v>51</v>
      </c>
      <c r="F420" s="13" t="s">
        <v>52</v>
      </c>
      <c r="G420" s="14" t="s">
        <v>155</v>
      </c>
      <c r="I420" s="14" t="s">
        <v>720</v>
      </c>
      <c r="K420" s="21"/>
      <c r="L420" s="21"/>
      <c r="Q420" s="14" t="s">
        <v>749</v>
      </c>
      <c r="R420" s="14" t="s">
        <v>115</v>
      </c>
      <c r="T420" s="15"/>
      <c r="U420" s="15"/>
      <c r="V420" s="16">
        <v>1173.8</v>
      </c>
      <c r="AB420" s="19"/>
      <c r="AC420" s="20"/>
      <c r="AD420" s="19"/>
      <c r="AE420" s="98"/>
    </row>
    <row r="421" spans="1:31" x14ac:dyDescent="0.3">
      <c r="A421" s="105">
        <v>421</v>
      </c>
      <c r="B421" s="46">
        <v>45520</v>
      </c>
      <c r="D421" s="13" t="s">
        <v>638</v>
      </c>
      <c r="E421" s="13" t="s">
        <v>51</v>
      </c>
      <c r="F421" s="13" t="s">
        <v>52</v>
      </c>
      <c r="G421" s="14" t="s">
        <v>155</v>
      </c>
      <c r="I421" s="14" t="s">
        <v>722</v>
      </c>
      <c r="K421" s="21"/>
      <c r="L421" s="21"/>
      <c r="Q421" s="14" t="s">
        <v>395</v>
      </c>
      <c r="R421" s="14" t="s">
        <v>171</v>
      </c>
      <c r="T421" s="15"/>
      <c r="U421" s="15"/>
      <c r="V421" s="16">
        <v>904.07</v>
      </c>
      <c r="AB421" s="19"/>
      <c r="AC421" s="20"/>
      <c r="AD421" s="19"/>
      <c r="AE421" s="98"/>
    </row>
    <row r="422" spans="1:31" x14ac:dyDescent="0.3">
      <c r="A422" s="107">
        <v>422</v>
      </c>
      <c r="B422" s="46">
        <v>45520</v>
      </c>
      <c r="D422" s="13" t="s">
        <v>638</v>
      </c>
      <c r="E422" s="13" t="s">
        <v>51</v>
      </c>
      <c r="F422" s="13" t="s">
        <v>52</v>
      </c>
      <c r="G422" s="14" t="s">
        <v>155</v>
      </c>
      <c r="I422" s="14" t="s">
        <v>724</v>
      </c>
      <c r="K422" s="21"/>
      <c r="L422" s="21"/>
      <c r="Q422" s="14" t="s">
        <v>395</v>
      </c>
      <c r="R422" s="14" t="s">
        <v>229</v>
      </c>
      <c r="T422" s="15"/>
      <c r="U422" s="15"/>
      <c r="V422" s="16">
        <v>858.94</v>
      </c>
      <c r="AB422" s="19"/>
      <c r="AC422" s="20"/>
      <c r="AD422" s="19"/>
      <c r="AE422" s="98"/>
    </row>
    <row r="423" spans="1:31" x14ac:dyDescent="0.3">
      <c r="A423" s="108">
        <v>423</v>
      </c>
      <c r="B423" s="46">
        <v>45520</v>
      </c>
      <c r="D423" s="13" t="s">
        <v>638</v>
      </c>
      <c r="E423" s="13" t="s">
        <v>51</v>
      </c>
      <c r="F423" s="13" t="s">
        <v>52</v>
      </c>
      <c r="G423" s="14" t="s">
        <v>155</v>
      </c>
      <c r="I423" s="14" t="s">
        <v>725</v>
      </c>
      <c r="K423" s="21"/>
      <c r="L423" s="21"/>
      <c r="Q423" s="14" t="s">
        <v>586</v>
      </c>
      <c r="R423" s="14" t="s">
        <v>274</v>
      </c>
      <c r="T423" s="15"/>
      <c r="U423" s="15"/>
      <c r="V423" s="16">
        <v>2043.84</v>
      </c>
      <c r="AB423" s="19"/>
      <c r="AC423" s="20"/>
      <c r="AD423" s="19"/>
      <c r="AE423" s="98"/>
    </row>
    <row r="424" spans="1:31" x14ac:dyDescent="0.3">
      <c r="A424" s="105">
        <v>424</v>
      </c>
      <c r="B424" s="46">
        <v>45520</v>
      </c>
      <c r="D424" s="13" t="s">
        <v>638</v>
      </c>
      <c r="E424" s="13" t="s">
        <v>51</v>
      </c>
      <c r="F424" s="13" t="s">
        <v>52</v>
      </c>
      <c r="G424" s="14" t="s">
        <v>113</v>
      </c>
      <c r="I424" s="14" t="s">
        <v>721</v>
      </c>
      <c r="K424" s="21"/>
      <c r="L424" s="21"/>
      <c r="Q424" s="14" t="s">
        <v>749</v>
      </c>
      <c r="R424" s="14" t="s">
        <v>115</v>
      </c>
      <c r="T424" s="15"/>
      <c r="U424" s="15"/>
      <c r="V424" s="16">
        <v>491.67</v>
      </c>
      <c r="AB424" s="19"/>
      <c r="AC424" s="20"/>
      <c r="AD424" s="19"/>
      <c r="AE424" s="98"/>
    </row>
    <row r="425" spans="1:31" x14ac:dyDescent="0.3">
      <c r="A425" s="107">
        <v>425</v>
      </c>
      <c r="B425" s="46">
        <v>45520</v>
      </c>
      <c r="D425" s="13" t="s">
        <v>638</v>
      </c>
      <c r="E425" s="13" t="s">
        <v>51</v>
      </c>
      <c r="F425" s="13" t="s">
        <v>52</v>
      </c>
      <c r="G425" s="14" t="s">
        <v>113</v>
      </c>
      <c r="I425" s="14" t="s">
        <v>727</v>
      </c>
      <c r="K425" s="21"/>
      <c r="L425" s="21"/>
      <c r="Q425" s="14" t="s">
        <v>477</v>
      </c>
      <c r="R425" s="14" t="s">
        <v>103</v>
      </c>
      <c r="T425" s="15"/>
      <c r="U425" s="15"/>
      <c r="V425" s="16">
        <v>971.65</v>
      </c>
      <c r="AB425" s="19"/>
      <c r="AC425" s="20"/>
      <c r="AD425" s="19"/>
      <c r="AE425" s="98"/>
    </row>
    <row r="426" spans="1:31" x14ac:dyDescent="0.3">
      <c r="A426" s="108">
        <v>426</v>
      </c>
      <c r="B426" s="46">
        <v>45520</v>
      </c>
      <c r="D426" s="13" t="s">
        <v>638</v>
      </c>
      <c r="E426" s="13" t="s">
        <v>51</v>
      </c>
      <c r="F426" s="13" t="s">
        <v>52</v>
      </c>
      <c r="G426" s="14" t="s">
        <v>483</v>
      </c>
      <c r="I426" s="14" t="s">
        <v>726</v>
      </c>
      <c r="K426" s="21"/>
      <c r="L426" s="21"/>
      <c r="Q426" s="14" t="s">
        <v>395</v>
      </c>
      <c r="R426" s="14" t="s">
        <v>754</v>
      </c>
      <c r="T426" s="15"/>
      <c r="U426" s="15"/>
      <c r="V426" s="16">
        <v>9611.56</v>
      </c>
      <c r="AB426" s="19"/>
      <c r="AC426" s="20"/>
      <c r="AD426" s="19"/>
      <c r="AE426" s="98"/>
    </row>
    <row r="427" spans="1:31" x14ac:dyDescent="0.3">
      <c r="A427" s="105">
        <v>427</v>
      </c>
      <c r="B427" s="46">
        <v>45520</v>
      </c>
      <c r="D427" s="13" t="s">
        <v>638</v>
      </c>
      <c r="E427" s="13" t="s">
        <v>51</v>
      </c>
      <c r="F427" s="13" t="s">
        <v>66</v>
      </c>
      <c r="G427" s="14" t="s">
        <v>14</v>
      </c>
      <c r="I427" s="14" t="s">
        <v>649</v>
      </c>
      <c r="K427" s="21"/>
      <c r="L427" s="21"/>
      <c r="Q427" s="14" t="s">
        <v>148</v>
      </c>
      <c r="R427" s="14" t="s">
        <v>512</v>
      </c>
      <c r="T427" s="15">
        <f>164.57+153.8</f>
        <v>318.37</v>
      </c>
      <c r="U427" s="15"/>
      <c r="V427" s="16">
        <f>+Tabla1[[#This Row],[PAGO MENSUAL]]*12/(1.005)</f>
        <v>3801.4328358208959</v>
      </c>
      <c r="AB427" s="19"/>
      <c r="AC427" s="20"/>
      <c r="AD427" s="19"/>
      <c r="AE427" s="98"/>
    </row>
    <row r="428" spans="1:31" x14ac:dyDescent="0.3">
      <c r="A428" s="107">
        <v>428</v>
      </c>
      <c r="B428" s="46">
        <v>45520</v>
      </c>
      <c r="D428" s="13" t="s">
        <v>638</v>
      </c>
      <c r="E428" s="13" t="s">
        <v>51</v>
      </c>
      <c r="F428" s="13" t="s">
        <v>66</v>
      </c>
      <c r="G428" s="14" t="s">
        <v>15</v>
      </c>
      <c r="I428" s="14" t="s">
        <v>659</v>
      </c>
      <c r="K428" s="21"/>
      <c r="L428" s="21"/>
      <c r="Q428" s="14" t="s">
        <v>307</v>
      </c>
      <c r="R428" s="14" t="s">
        <v>232</v>
      </c>
      <c r="T428" s="15">
        <v>94.93</v>
      </c>
      <c r="U428" s="15"/>
      <c r="V428" s="16">
        <f>+T428*12/(1.005)</f>
        <v>1133.4925373134331</v>
      </c>
      <c r="AB428" s="19"/>
      <c r="AC428" s="20"/>
      <c r="AD428" s="19"/>
      <c r="AE428" s="98"/>
    </row>
    <row r="429" spans="1:31" x14ac:dyDescent="0.3">
      <c r="A429" s="108">
        <v>429</v>
      </c>
      <c r="B429" s="46">
        <v>45523</v>
      </c>
      <c r="D429" s="13" t="s">
        <v>638</v>
      </c>
      <c r="E429" s="13" t="s">
        <v>186</v>
      </c>
      <c r="F429" s="13" t="s">
        <v>52</v>
      </c>
      <c r="G429" s="14" t="s">
        <v>155</v>
      </c>
      <c r="I429" s="14" t="s">
        <v>728</v>
      </c>
      <c r="K429" s="21"/>
      <c r="L429" s="21"/>
      <c r="Q429" s="14" t="s">
        <v>3</v>
      </c>
      <c r="R429" s="14" t="s">
        <v>64</v>
      </c>
      <c r="T429" s="15"/>
      <c r="U429" s="15"/>
      <c r="AB429" s="19"/>
      <c r="AC429" s="20"/>
      <c r="AD429" s="19"/>
      <c r="AE429" s="98"/>
    </row>
    <row r="430" spans="1:31" x14ac:dyDescent="0.3">
      <c r="A430" s="105">
        <v>430</v>
      </c>
      <c r="B430" s="46">
        <v>45523</v>
      </c>
      <c r="D430" s="13" t="s">
        <v>638</v>
      </c>
      <c r="E430" s="13" t="s">
        <v>51</v>
      </c>
      <c r="F430" s="13" t="s">
        <v>52</v>
      </c>
      <c r="G430" s="14" t="s">
        <v>155</v>
      </c>
      <c r="I430" s="14" t="s">
        <v>730</v>
      </c>
      <c r="K430" s="21"/>
      <c r="L430" s="21"/>
      <c r="Q430" s="14" t="s">
        <v>395</v>
      </c>
      <c r="R430" s="14" t="s">
        <v>171</v>
      </c>
      <c r="T430" s="15"/>
      <c r="U430" s="15"/>
      <c r="V430" s="16">
        <v>5168.76</v>
      </c>
      <c r="AB430" s="19"/>
      <c r="AC430" s="20"/>
      <c r="AD430" s="19"/>
      <c r="AE430" s="98"/>
    </row>
    <row r="431" spans="1:31" x14ac:dyDescent="0.3">
      <c r="A431" s="107">
        <v>431</v>
      </c>
      <c r="B431" s="46">
        <v>45523</v>
      </c>
      <c r="D431" s="13" t="s">
        <v>638</v>
      </c>
      <c r="E431" s="13" t="s">
        <v>51</v>
      </c>
      <c r="F431" s="13" t="s">
        <v>52</v>
      </c>
      <c r="G431" s="14" t="s">
        <v>491</v>
      </c>
      <c r="I431" s="14" t="s">
        <v>729</v>
      </c>
      <c r="K431" s="21"/>
      <c r="L431" s="21"/>
      <c r="Q431" s="14" t="s">
        <v>395</v>
      </c>
      <c r="R431" s="14" t="s">
        <v>265</v>
      </c>
      <c r="T431" s="15"/>
      <c r="U431" s="15"/>
      <c r="V431" s="16">
        <v>2443.02</v>
      </c>
      <c r="AB431" s="19"/>
      <c r="AC431" s="20"/>
      <c r="AD431" s="19"/>
      <c r="AE431" s="98"/>
    </row>
    <row r="432" spans="1:31" x14ac:dyDescent="0.3">
      <c r="A432" s="108">
        <v>432</v>
      </c>
      <c r="B432" s="46">
        <v>45524</v>
      </c>
      <c r="D432" s="13" t="s">
        <v>638</v>
      </c>
      <c r="E432" s="13" t="s">
        <v>51</v>
      </c>
      <c r="F432" s="13" t="s">
        <v>52</v>
      </c>
      <c r="G432" s="14" t="s">
        <v>155</v>
      </c>
      <c r="I432" s="14" t="s">
        <v>731</v>
      </c>
      <c r="K432" s="21"/>
      <c r="L432" s="21"/>
      <c r="Q432" s="14" t="s">
        <v>395</v>
      </c>
      <c r="R432" s="14" t="s">
        <v>171</v>
      </c>
      <c r="T432" s="15"/>
      <c r="U432" s="15"/>
      <c r="V432" s="16">
        <v>904.07</v>
      </c>
      <c r="AB432" s="19"/>
      <c r="AC432" s="20"/>
      <c r="AD432" s="19"/>
      <c r="AE432" s="98"/>
    </row>
    <row r="433" spans="1:31" x14ac:dyDescent="0.3">
      <c r="A433" s="105">
        <v>433</v>
      </c>
      <c r="B433" s="46">
        <v>45524</v>
      </c>
      <c r="D433" s="13" t="s">
        <v>638</v>
      </c>
      <c r="E433" s="13" t="s">
        <v>51</v>
      </c>
      <c r="F433" s="13" t="s">
        <v>52</v>
      </c>
      <c r="G433" s="14" t="s">
        <v>483</v>
      </c>
      <c r="I433" s="14" t="s">
        <v>732</v>
      </c>
      <c r="K433" s="21"/>
      <c r="L433" s="21"/>
      <c r="Q433" s="14" t="s">
        <v>395</v>
      </c>
      <c r="R433" s="14" t="s">
        <v>96</v>
      </c>
      <c r="T433" s="15"/>
      <c r="U433" s="15"/>
      <c r="V433" s="16">
        <v>1019.06</v>
      </c>
      <c r="AB433" s="19"/>
      <c r="AC433" s="20"/>
      <c r="AD433" s="19"/>
      <c r="AE433" s="98"/>
    </row>
    <row r="434" spans="1:31" x14ac:dyDescent="0.3">
      <c r="A434" s="107">
        <v>434</v>
      </c>
      <c r="B434" s="46">
        <v>45524</v>
      </c>
      <c r="D434" s="13" t="s">
        <v>638</v>
      </c>
      <c r="E434" s="13" t="s">
        <v>51</v>
      </c>
      <c r="F434" s="13" t="s">
        <v>66</v>
      </c>
      <c r="G434" s="14" t="s">
        <v>14</v>
      </c>
      <c r="H434" s="14">
        <v>4197294</v>
      </c>
      <c r="I434" s="14" t="s">
        <v>655</v>
      </c>
      <c r="K434" s="21"/>
      <c r="L434" s="21"/>
      <c r="P434" s="14" t="s">
        <v>71</v>
      </c>
      <c r="Q434" s="14" t="s">
        <v>395</v>
      </c>
      <c r="R434" s="14" t="s">
        <v>96</v>
      </c>
      <c r="T434" s="15">
        <v>98.61</v>
      </c>
      <c r="U434" s="15"/>
      <c r="V434" s="16">
        <f>+Tabla1[[#This Row],[PAGO MENSUAL]]*12</f>
        <v>1183.32</v>
      </c>
      <c r="AB434" s="19"/>
      <c r="AC434" s="20"/>
      <c r="AD434" s="19"/>
      <c r="AE434" s="98"/>
    </row>
    <row r="435" spans="1:31" x14ac:dyDescent="0.3">
      <c r="A435" s="108">
        <v>435</v>
      </c>
      <c r="B435" s="46">
        <v>45524</v>
      </c>
      <c r="D435" s="13" t="s">
        <v>638</v>
      </c>
      <c r="E435" s="13" t="s">
        <v>51</v>
      </c>
      <c r="F435" s="13" t="s">
        <v>66</v>
      </c>
      <c r="G435" s="14" t="s">
        <v>16</v>
      </c>
      <c r="I435" s="14" t="s">
        <v>658</v>
      </c>
      <c r="K435" s="21"/>
      <c r="L435" s="21"/>
      <c r="Q435" s="14" t="s">
        <v>307</v>
      </c>
      <c r="R435" s="14" t="s">
        <v>177</v>
      </c>
      <c r="T435" s="15">
        <v>217.38</v>
      </c>
      <c r="U435" s="15"/>
      <c r="V435" s="16">
        <f>+T435*12/(1.005)</f>
        <v>2595.5820895522388</v>
      </c>
      <c r="AB435" s="19"/>
      <c r="AC435" s="20"/>
      <c r="AD435" s="19"/>
      <c r="AE435" s="98"/>
    </row>
    <row r="436" spans="1:31" x14ac:dyDescent="0.3">
      <c r="A436" s="105">
        <v>436</v>
      </c>
      <c r="B436" s="46">
        <v>45525</v>
      </c>
      <c r="D436" s="13" t="s">
        <v>638</v>
      </c>
      <c r="E436" s="13" t="s">
        <v>186</v>
      </c>
      <c r="F436" s="13" t="s">
        <v>52</v>
      </c>
      <c r="G436" s="14" t="s">
        <v>129</v>
      </c>
      <c r="I436" s="14" t="s">
        <v>734</v>
      </c>
      <c r="K436" s="21"/>
      <c r="L436" s="21"/>
      <c r="Q436" s="14" t="s">
        <v>395</v>
      </c>
      <c r="R436" s="14">
        <v>4</v>
      </c>
      <c r="T436" s="15"/>
      <c r="U436" s="15"/>
      <c r="AB436" s="19"/>
      <c r="AC436" s="20"/>
      <c r="AD436" s="19"/>
      <c r="AE436" s="98"/>
    </row>
    <row r="437" spans="1:31" x14ac:dyDescent="0.3">
      <c r="A437" s="107">
        <v>437</v>
      </c>
      <c r="B437" s="46">
        <v>45525</v>
      </c>
      <c r="D437" s="13" t="s">
        <v>638</v>
      </c>
      <c r="E437" s="13" t="s">
        <v>186</v>
      </c>
      <c r="F437" s="13" t="s">
        <v>52</v>
      </c>
      <c r="G437" s="14" t="s">
        <v>129</v>
      </c>
      <c r="I437" s="14" t="s">
        <v>734</v>
      </c>
      <c r="K437" s="21"/>
      <c r="L437" s="21"/>
      <c r="Q437" s="14" t="s">
        <v>395</v>
      </c>
      <c r="R437" s="14" t="s">
        <v>171</v>
      </c>
      <c r="T437" s="15"/>
      <c r="U437" s="15"/>
      <c r="AB437" s="19"/>
      <c r="AC437" s="20"/>
      <c r="AD437" s="19"/>
      <c r="AE437" s="98"/>
    </row>
    <row r="438" spans="1:31" x14ac:dyDescent="0.3">
      <c r="A438" s="108">
        <v>438</v>
      </c>
      <c r="B438" s="46">
        <v>45525</v>
      </c>
      <c r="D438" s="13" t="s">
        <v>638</v>
      </c>
      <c r="E438" s="13" t="s">
        <v>51</v>
      </c>
      <c r="F438" s="13" t="s">
        <v>52</v>
      </c>
      <c r="G438" s="14" t="s">
        <v>396</v>
      </c>
      <c r="I438" s="14" t="s">
        <v>733</v>
      </c>
      <c r="K438" s="21"/>
      <c r="L438" s="21"/>
      <c r="Q438" s="14" t="s">
        <v>307</v>
      </c>
      <c r="R438" s="14" t="s">
        <v>327</v>
      </c>
      <c r="T438" s="15"/>
      <c r="U438" s="15"/>
      <c r="V438" s="16">
        <v>1626.71</v>
      </c>
      <c r="AB438" s="19"/>
      <c r="AC438" s="20"/>
      <c r="AD438" s="19"/>
      <c r="AE438" s="98"/>
    </row>
    <row r="439" spans="1:31" x14ac:dyDescent="0.3">
      <c r="A439" s="105">
        <v>439</v>
      </c>
      <c r="B439" s="46">
        <v>45525</v>
      </c>
      <c r="D439" s="13" t="s">
        <v>638</v>
      </c>
      <c r="E439" s="13" t="s">
        <v>51</v>
      </c>
      <c r="F439" s="13" t="s">
        <v>66</v>
      </c>
      <c r="G439" s="14" t="s">
        <v>14</v>
      </c>
      <c r="H439" s="14" t="s">
        <v>651</v>
      </c>
      <c r="I439" s="14" t="s">
        <v>649</v>
      </c>
      <c r="K439" s="21"/>
      <c r="L439" s="21"/>
      <c r="Q439" s="14" t="s">
        <v>3</v>
      </c>
      <c r="R439" s="14" t="s">
        <v>64</v>
      </c>
      <c r="T439" s="15">
        <v>61.35</v>
      </c>
      <c r="U439" s="15"/>
      <c r="V439" s="16">
        <f>+(T439*12)/1.005-65</f>
        <v>667.53731343283596</v>
      </c>
      <c r="AB439" s="19"/>
      <c r="AC439" s="20"/>
      <c r="AD439" s="19"/>
      <c r="AE439" s="98"/>
    </row>
    <row r="440" spans="1:31" x14ac:dyDescent="0.3">
      <c r="A440" s="107">
        <v>440</v>
      </c>
      <c r="B440" s="46">
        <v>45527</v>
      </c>
      <c r="D440" s="13" t="s">
        <v>638</v>
      </c>
      <c r="E440" s="13" t="s">
        <v>51</v>
      </c>
      <c r="F440" s="13" t="s">
        <v>52</v>
      </c>
      <c r="G440" s="14" t="s">
        <v>466</v>
      </c>
      <c r="I440" s="14" t="s">
        <v>735</v>
      </c>
      <c r="K440" s="21"/>
      <c r="L440" s="21"/>
      <c r="Q440" s="14" t="s">
        <v>4</v>
      </c>
      <c r="R440" s="14" t="s">
        <v>755</v>
      </c>
      <c r="T440" s="15"/>
      <c r="U440" s="15"/>
      <c r="V440" s="16">
        <v>2497.5</v>
      </c>
      <c r="AB440" s="19"/>
      <c r="AC440" s="20"/>
      <c r="AD440" s="19"/>
      <c r="AE440" s="98"/>
    </row>
    <row r="441" spans="1:31" x14ac:dyDescent="0.3">
      <c r="A441" s="108">
        <v>441</v>
      </c>
      <c r="B441" s="46">
        <v>45527</v>
      </c>
      <c r="D441" s="13" t="s">
        <v>638</v>
      </c>
      <c r="E441" s="13" t="s">
        <v>51</v>
      </c>
      <c r="F441" s="13" t="s">
        <v>52</v>
      </c>
      <c r="G441" s="14" t="s">
        <v>466</v>
      </c>
      <c r="I441" s="14" t="s">
        <v>736</v>
      </c>
      <c r="K441" s="21"/>
      <c r="L441" s="21"/>
      <c r="Q441" s="14" t="s">
        <v>4</v>
      </c>
      <c r="R441" s="14" t="s">
        <v>756</v>
      </c>
      <c r="T441" s="15"/>
      <c r="U441" s="15"/>
      <c r="V441" s="16">
        <v>1635</v>
      </c>
      <c r="AB441" s="19"/>
      <c r="AC441" s="20"/>
      <c r="AD441" s="19"/>
      <c r="AE441" s="98"/>
    </row>
    <row r="442" spans="1:31" x14ac:dyDescent="0.3">
      <c r="A442" s="105">
        <v>442</v>
      </c>
      <c r="B442" s="46">
        <v>45527</v>
      </c>
      <c r="D442" s="13" t="s">
        <v>638</v>
      </c>
      <c r="E442" s="13" t="s">
        <v>51</v>
      </c>
      <c r="F442" s="13" t="s">
        <v>52</v>
      </c>
      <c r="G442" s="14" t="s">
        <v>396</v>
      </c>
      <c r="I442" s="14" t="s">
        <v>737</v>
      </c>
      <c r="K442" s="21"/>
      <c r="L442" s="21"/>
      <c r="Q442" s="14" t="s">
        <v>395</v>
      </c>
      <c r="R442" s="14" t="s">
        <v>62</v>
      </c>
      <c r="T442" s="15"/>
      <c r="U442" s="15"/>
      <c r="V442" s="16">
        <v>828.61</v>
      </c>
      <c r="AB442" s="19"/>
      <c r="AC442" s="20"/>
      <c r="AD442" s="19"/>
      <c r="AE442" s="98"/>
    </row>
    <row r="443" spans="1:31" x14ac:dyDescent="0.3">
      <c r="A443" s="107">
        <v>443</v>
      </c>
      <c r="B443" s="46">
        <v>45527</v>
      </c>
      <c r="D443" s="13" t="s">
        <v>638</v>
      </c>
      <c r="E443" s="13" t="s">
        <v>51</v>
      </c>
      <c r="F443" s="13" t="s">
        <v>52</v>
      </c>
      <c r="G443" s="14" t="s">
        <v>487</v>
      </c>
      <c r="I443" s="14" t="s">
        <v>738</v>
      </c>
      <c r="K443" s="21"/>
      <c r="L443" s="21"/>
      <c r="Q443" s="14" t="s">
        <v>395</v>
      </c>
      <c r="R443" s="14" t="s">
        <v>229</v>
      </c>
      <c r="T443" s="15"/>
      <c r="U443" s="15"/>
      <c r="V443" s="16">
        <v>582.04999999999995</v>
      </c>
      <c r="AB443" s="19"/>
      <c r="AC443" s="20"/>
      <c r="AD443" s="19"/>
      <c r="AE443" s="98"/>
    </row>
    <row r="444" spans="1:31" x14ac:dyDescent="0.3">
      <c r="A444" s="108">
        <v>444</v>
      </c>
      <c r="B444" s="46">
        <v>45528</v>
      </c>
      <c r="D444" s="13" t="s">
        <v>638</v>
      </c>
      <c r="E444" s="13" t="s">
        <v>51</v>
      </c>
      <c r="F444" s="13" t="s">
        <v>52</v>
      </c>
      <c r="G444" s="14" t="s">
        <v>487</v>
      </c>
      <c r="I444" s="14" t="s">
        <v>739</v>
      </c>
      <c r="K444" s="21"/>
      <c r="L444" s="21"/>
      <c r="Q444" s="14" t="s">
        <v>4</v>
      </c>
      <c r="R444" s="14" t="s">
        <v>757</v>
      </c>
      <c r="T444" s="15"/>
      <c r="U444" s="15"/>
      <c r="V444" s="16">
        <v>2735</v>
      </c>
      <c r="AB444" s="19"/>
      <c r="AC444" s="20"/>
      <c r="AD444" s="19"/>
      <c r="AE444" s="98"/>
    </row>
    <row r="445" spans="1:31" x14ac:dyDescent="0.3">
      <c r="A445" s="105">
        <v>445</v>
      </c>
      <c r="B445" s="46">
        <v>45529</v>
      </c>
      <c r="C445" s="46">
        <v>45529</v>
      </c>
      <c r="D445" s="13" t="s">
        <v>638</v>
      </c>
      <c r="E445" s="13" t="s">
        <v>51</v>
      </c>
      <c r="F445" s="13" t="s">
        <v>66</v>
      </c>
      <c r="G445" s="14" t="s">
        <v>16</v>
      </c>
      <c r="H445" s="14" t="s">
        <v>656</v>
      </c>
      <c r="I445" s="14" t="s">
        <v>657</v>
      </c>
      <c r="K445" s="21"/>
      <c r="L445" s="21"/>
      <c r="Q445" s="14" t="s">
        <v>148</v>
      </c>
      <c r="R445" s="14" t="s">
        <v>512</v>
      </c>
      <c r="T445" s="15">
        <v>37.28</v>
      </c>
      <c r="U445" s="15"/>
      <c r="V445" s="16">
        <f>+T445*12/(1.005)</f>
        <v>445.13432835820902</v>
      </c>
      <c r="AB445" s="19"/>
      <c r="AC445" s="20"/>
      <c r="AD445" s="19"/>
      <c r="AE445" s="98"/>
    </row>
    <row r="446" spans="1:31" x14ac:dyDescent="0.3">
      <c r="A446" s="107">
        <v>446</v>
      </c>
      <c r="B446" s="46">
        <v>45529</v>
      </c>
      <c r="D446" s="13" t="s">
        <v>638</v>
      </c>
      <c r="E446" s="13" t="s">
        <v>51</v>
      </c>
      <c r="F446" s="13" t="s">
        <v>66</v>
      </c>
      <c r="G446" s="14" t="s">
        <v>20</v>
      </c>
      <c r="I446" s="14" t="s">
        <v>647</v>
      </c>
      <c r="K446" s="21">
        <v>1310497191</v>
      </c>
      <c r="L446" s="21"/>
      <c r="Q446" s="14" t="s">
        <v>5</v>
      </c>
      <c r="R446" s="14" t="s">
        <v>177</v>
      </c>
      <c r="T446" s="15">
        <v>200.97</v>
      </c>
      <c r="U446" s="15"/>
      <c r="V446" s="16">
        <f>+T446*12/(1.005)</f>
        <v>2399.6417910447763</v>
      </c>
      <c r="AB446" s="19"/>
      <c r="AC446" s="20"/>
      <c r="AD446" s="19"/>
      <c r="AE446" s="98"/>
    </row>
    <row r="447" spans="1:31" x14ac:dyDescent="0.3">
      <c r="A447" s="108">
        <v>447</v>
      </c>
      <c r="B447" s="46">
        <v>45530</v>
      </c>
      <c r="D447" s="13" t="s">
        <v>638</v>
      </c>
      <c r="E447" s="13" t="s">
        <v>51</v>
      </c>
      <c r="F447" s="13" t="s">
        <v>52</v>
      </c>
      <c r="G447" s="14" t="s">
        <v>129</v>
      </c>
      <c r="I447" s="14" t="s">
        <v>741</v>
      </c>
      <c r="K447" s="21"/>
      <c r="L447" s="21"/>
      <c r="Q447" s="14" t="s">
        <v>307</v>
      </c>
      <c r="R447" s="14" t="s">
        <v>327</v>
      </c>
      <c r="T447" s="15"/>
      <c r="U447" s="15"/>
      <c r="V447" s="16">
        <v>795.08</v>
      </c>
      <c r="AB447" s="19"/>
      <c r="AC447" s="20"/>
      <c r="AD447" s="19"/>
      <c r="AE447" s="98"/>
    </row>
    <row r="448" spans="1:31" x14ac:dyDescent="0.3">
      <c r="A448" s="105">
        <v>448</v>
      </c>
      <c r="B448" s="46">
        <v>45530</v>
      </c>
      <c r="D448" s="13" t="s">
        <v>638</v>
      </c>
      <c r="E448" s="13" t="s">
        <v>51</v>
      </c>
      <c r="F448" s="13" t="s">
        <v>52</v>
      </c>
      <c r="G448" s="14" t="s">
        <v>459</v>
      </c>
      <c r="I448" s="14" t="s">
        <v>740</v>
      </c>
      <c r="K448" s="21"/>
      <c r="L448" s="21"/>
      <c r="Q448" s="14" t="s">
        <v>395</v>
      </c>
      <c r="T448" s="15"/>
      <c r="U448" s="15"/>
      <c r="V448" s="16">
        <v>1452.24</v>
      </c>
      <c r="AB448" s="19"/>
      <c r="AC448" s="20"/>
      <c r="AD448" s="19"/>
      <c r="AE448" s="98"/>
    </row>
    <row r="449" spans="1:31" x14ac:dyDescent="0.3">
      <c r="A449" s="107">
        <v>449</v>
      </c>
      <c r="B449" s="46">
        <v>45530</v>
      </c>
      <c r="D449" s="13" t="s">
        <v>638</v>
      </c>
      <c r="E449" s="13" t="s">
        <v>51</v>
      </c>
      <c r="F449" s="13" t="s">
        <v>66</v>
      </c>
      <c r="G449" s="14" t="s">
        <v>14</v>
      </c>
      <c r="H449" s="14">
        <v>4197700</v>
      </c>
      <c r="I449" s="14" t="s">
        <v>653</v>
      </c>
      <c r="J449" s="14" t="s">
        <v>87</v>
      </c>
      <c r="K449" s="21">
        <v>915653356</v>
      </c>
      <c r="L449" s="21">
        <v>985935497</v>
      </c>
      <c r="P449" s="14" t="s">
        <v>71</v>
      </c>
      <c r="Q449" s="14" t="s">
        <v>395</v>
      </c>
      <c r="R449" s="14" t="s">
        <v>654</v>
      </c>
      <c r="T449" s="15">
        <v>323.72000000000003</v>
      </c>
      <c r="U449" s="15"/>
      <c r="V449" s="16">
        <f>+Tabla1[[#This Row],[PAGO MENSUAL]]*12</f>
        <v>3884.6400000000003</v>
      </c>
      <c r="AB449" s="19"/>
      <c r="AC449" s="20"/>
      <c r="AD449" s="19"/>
      <c r="AE449" s="98"/>
    </row>
    <row r="450" spans="1:31" x14ac:dyDescent="0.3">
      <c r="A450" s="108">
        <v>450</v>
      </c>
      <c r="B450" s="46">
        <v>45530</v>
      </c>
      <c r="D450" s="13" t="s">
        <v>638</v>
      </c>
      <c r="E450" s="13" t="s">
        <v>51</v>
      </c>
      <c r="F450" s="13" t="s">
        <v>66</v>
      </c>
      <c r="G450" s="14" t="s">
        <v>18</v>
      </c>
      <c r="I450" s="14" t="s">
        <v>489</v>
      </c>
      <c r="J450" s="14" t="s">
        <v>645</v>
      </c>
      <c r="K450" s="21">
        <v>1717199903</v>
      </c>
      <c r="L450" s="21"/>
      <c r="Q450" s="14" t="s">
        <v>307</v>
      </c>
      <c r="T450" s="15">
        <v>61.31</v>
      </c>
      <c r="U450" s="15"/>
      <c r="V450" s="16">
        <f>+T450*12/(1.005)</f>
        <v>732.05970149253744</v>
      </c>
      <c r="AB450" s="19"/>
      <c r="AC450" s="20"/>
      <c r="AD450" s="19"/>
      <c r="AE450" s="98"/>
    </row>
    <row r="451" spans="1:31" x14ac:dyDescent="0.3">
      <c r="A451" s="105">
        <v>451</v>
      </c>
      <c r="B451" s="46">
        <v>45530</v>
      </c>
      <c r="D451" s="13" t="s">
        <v>638</v>
      </c>
      <c r="E451" s="13" t="s">
        <v>51</v>
      </c>
      <c r="F451" s="13" t="s">
        <v>66</v>
      </c>
      <c r="G451" s="14" t="s">
        <v>18</v>
      </c>
      <c r="I451" s="14" t="s">
        <v>489</v>
      </c>
      <c r="J451" s="14" t="s">
        <v>646</v>
      </c>
      <c r="K451" s="21">
        <v>1717199903</v>
      </c>
      <c r="L451" s="21"/>
      <c r="Q451" s="14" t="s">
        <v>307</v>
      </c>
      <c r="T451" s="15">
        <v>61.31</v>
      </c>
      <c r="U451" s="15"/>
      <c r="V451" s="16">
        <f>+T451*12/(1.005)</f>
        <v>732.05970149253744</v>
      </c>
      <c r="AB451" s="19"/>
      <c r="AC451" s="20"/>
      <c r="AD451" s="19"/>
      <c r="AE451" s="98"/>
    </row>
    <row r="452" spans="1:31" x14ac:dyDescent="0.3">
      <c r="A452" s="107">
        <v>452</v>
      </c>
      <c r="B452" s="46">
        <v>45531</v>
      </c>
      <c r="D452" s="13" t="s">
        <v>638</v>
      </c>
      <c r="E452" s="13" t="s">
        <v>51</v>
      </c>
      <c r="F452" s="13" t="s">
        <v>52</v>
      </c>
      <c r="G452" s="14" t="s">
        <v>129</v>
      </c>
      <c r="I452" s="14" t="s">
        <v>717</v>
      </c>
      <c r="K452" s="21"/>
      <c r="L452" s="21"/>
      <c r="Q452" s="14" t="s">
        <v>395</v>
      </c>
      <c r="R452" s="14" t="s">
        <v>752</v>
      </c>
      <c r="T452" s="15"/>
      <c r="U452" s="15"/>
      <c r="V452" s="16">
        <v>2093.54</v>
      </c>
      <c r="AB452" s="19"/>
      <c r="AC452" s="20"/>
      <c r="AD452" s="19"/>
      <c r="AE452" s="98"/>
    </row>
    <row r="453" spans="1:31" x14ac:dyDescent="0.3">
      <c r="A453" s="108">
        <v>453</v>
      </c>
      <c r="B453" s="46">
        <v>45531</v>
      </c>
      <c r="D453" s="13" t="s">
        <v>638</v>
      </c>
      <c r="E453" s="13" t="s">
        <v>51</v>
      </c>
      <c r="F453" s="13" t="s">
        <v>52</v>
      </c>
      <c r="G453" s="14" t="s">
        <v>129</v>
      </c>
      <c r="I453" s="14" t="s">
        <v>742</v>
      </c>
      <c r="K453" s="21"/>
      <c r="L453" s="21"/>
      <c r="Q453" s="14" t="s">
        <v>395</v>
      </c>
      <c r="R453" s="14" t="s">
        <v>758</v>
      </c>
      <c r="T453" s="15"/>
      <c r="U453" s="15"/>
      <c r="V453" s="16">
        <v>3346.28</v>
      </c>
      <c r="AB453" s="19"/>
      <c r="AC453" s="20"/>
      <c r="AD453" s="19"/>
      <c r="AE453" s="98"/>
    </row>
    <row r="454" spans="1:31" x14ac:dyDescent="0.3">
      <c r="A454" s="105">
        <v>454</v>
      </c>
      <c r="B454" s="46">
        <v>45532</v>
      </c>
      <c r="D454" s="13" t="s">
        <v>638</v>
      </c>
      <c r="E454" s="13" t="s">
        <v>51</v>
      </c>
      <c r="F454" s="13" t="s">
        <v>52</v>
      </c>
      <c r="G454" s="14" t="s">
        <v>155</v>
      </c>
      <c r="I454" s="14" t="s">
        <v>743</v>
      </c>
      <c r="K454" s="21"/>
      <c r="L454" s="21"/>
      <c r="Q454" s="14" t="s">
        <v>395</v>
      </c>
      <c r="R454" s="14" t="s">
        <v>171</v>
      </c>
      <c r="T454" s="15"/>
      <c r="U454" s="15"/>
      <c r="V454" s="16">
        <v>2456.5100000000002</v>
      </c>
      <c r="AB454" s="19"/>
      <c r="AC454" s="20"/>
      <c r="AD454" s="19"/>
      <c r="AE454" s="98"/>
    </row>
    <row r="455" spans="1:31" x14ac:dyDescent="0.3">
      <c r="A455" s="107">
        <v>455</v>
      </c>
      <c r="B455" s="46">
        <v>45532</v>
      </c>
      <c r="D455" s="13" t="s">
        <v>638</v>
      </c>
      <c r="E455" s="13" t="s">
        <v>51</v>
      </c>
      <c r="F455" s="13" t="s">
        <v>52</v>
      </c>
      <c r="G455" s="14" t="s">
        <v>487</v>
      </c>
      <c r="I455" s="14" t="s">
        <v>744</v>
      </c>
      <c r="K455" s="21"/>
      <c r="L455" s="21"/>
      <c r="Q455" s="14" t="s">
        <v>395</v>
      </c>
      <c r="R455" s="14" t="s">
        <v>265</v>
      </c>
      <c r="T455" s="15"/>
      <c r="U455" s="15"/>
      <c r="V455" s="16">
        <v>1275.4100000000001</v>
      </c>
      <c r="AB455" s="19"/>
      <c r="AC455" s="20"/>
      <c r="AD455" s="19"/>
      <c r="AE455" s="98"/>
    </row>
    <row r="456" spans="1:31" x14ac:dyDescent="0.3">
      <c r="A456" s="108">
        <v>456</v>
      </c>
      <c r="B456" s="46">
        <v>45532</v>
      </c>
      <c r="D456" s="13" t="s">
        <v>638</v>
      </c>
      <c r="E456" s="13" t="s">
        <v>51</v>
      </c>
      <c r="F456" s="13" t="s">
        <v>66</v>
      </c>
      <c r="G456" s="14" t="s">
        <v>19</v>
      </c>
      <c r="I456" s="14" t="s">
        <v>151</v>
      </c>
      <c r="K456" s="21"/>
      <c r="L456" s="21"/>
      <c r="Q456" s="14" t="s">
        <v>307</v>
      </c>
      <c r="R456" s="14" t="s">
        <v>295</v>
      </c>
      <c r="T456" s="15">
        <v>153.66999999999999</v>
      </c>
      <c r="U456" s="15"/>
      <c r="V456" s="16">
        <f>+T456*12/(1.005)</f>
        <v>1834.8656716417911</v>
      </c>
      <c r="AB456" s="19"/>
      <c r="AC456" s="20"/>
      <c r="AD456" s="19"/>
      <c r="AE456" s="98"/>
    </row>
    <row r="457" spans="1:31" x14ac:dyDescent="0.3">
      <c r="A457" s="105">
        <v>457</v>
      </c>
      <c r="B457" s="46">
        <v>45532</v>
      </c>
      <c r="D457" s="13" t="s">
        <v>638</v>
      </c>
      <c r="E457" s="13" t="s">
        <v>51</v>
      </c>
      <c r="F457" s="13" t="s">
        <v>66</v>
      </c>
      <c r="G457" s="14" t="s">
        <v>17</v>
      </c>
      <c r="H457" s="14">
        <v>34619</v>
      </c>
      <c r="I457" s="14" t="s">
        <v>652</v>
      </c>
      <c r="K457" s="21"/>
      <c r="L457" s="21"/>
      <c r="Q457" s="14" t="s">
        <v>477</v>
      </c>
      <c r="R457" s="14" t="s">
        <v>421</v>
      </c>
      <c r="T457" s="15">
        <v>63.48</v>
      </c>
      <c r="U457" s="15"/>
      <c r="V457" s="16">
        <f>+Tabla1[[#This Row],[PAGO MENSUAL]]*12/1.09</f>
        <v>698.86238532110087</v>
      </c>
      <c r="AB457" s="19"/>
      <c r="AC457" s="20"/>
      <c r="AD457" s="19"/>
      <c r="AE457" s="98"/>
    </row>
    <row r="458" spans="1:31" x14ac:dyDescent="0.3">
      <c r="A458" s="107">
        <v>458</v>
      </c>
      <c r="B458" s="46">
        <v>45533</v>
      </c>
      <c r="D458" s="13" t="s">
        <v>638</v>
      </c>
      <c r="E458" s="13" t="s">
        <v>51</v>
      </c>
      <c r="F458" s="13" t="s">
        <v>66</v>
      </c>
      <c r="G458" s="14" t="s">
        <v>11</v>
      </c>
      <c r="I458" s="14" t="s">
        <v>662</v>
      </c>
      <c r="J458" s="14" t="s">
        <v>663</v>
      </c>
      <c r="K458" s="21">
        <v>995049522</v>
      </c>
      <c r="L458" s="21"/>
      <c r="Q458" s="14" t="s">
        <v>148</v>
      </c>
      <c r="R458" s="14" t="s">
        <v>512</v>
      </c>
      <c r="T458" s="15">
        <v>84.71</v>
      </c>
      <c r="U458" s="15"/>
      <c r="V458" s="16">
        <f>+Tabla1[[#This Row],[PAGO MENSUAL]]*12/(1.005)</f>
        <v>1011.4626865671643</v>
      </c>
      <c r="AB458" s="19"/>
      <c r="AC458" s="20"/>
      <c r="AD458" s="19"/>
      <c r="AE458" s="98"/>
    </row>
    <row r="459" spans="1:31" x14ac:dyDescent="0.3">
      <c r="A459" s="108">
        <v>459</v>
      </c>
      <c r="B459" s="46">
        <v>45533</v>
      </c>
      <c r="C459" s="46">
        <v>45536</v>
      </c>
      <c r="D459" s="13" t="s">
        <v>638</v>
      </c>
      <c r="E459" s="13" t="s">
        <v>51</v>
      </c>
      <c r="F459" s="13" t="s">
        <v>66</v>
      </c>
      <c r="G459" s="14" t="s">
        <v>13</v>
      </c>
      <c r="H459" s="14" t="s">
        <v>660</v>
      </c>
      <c r="I459" s="14" t="s">
        <v>661</v>
      </c>
      <c r="K459" s="21">
        <v>905620787</v>
      </c>
      <c r="L459" s="21"/>
      <c r="Q459" s="14" t="s">
        <v>3</v>
      </c>
      <c r="R459" s="14" t="s">
        <v>64</v>
      </c>
      <c r="T459" s="15">
        <v>183.72</v>
      </c>
      <c r="U459" s="15"/>
      <c r="V459" s="16">
        <f>+(T459*12)/1.005-65</f>
        <v>2128.6716417910447</v>
      </c>
      <c r="AB459" s="19"/>
      <c r="AC459" s="20"/>
      <c r="AD459" s="19"/>
      <c r="AE459" s="98"/>
    </row>
    <row r="460" spans="1:31" x14ac:dyDescent="0.3">
      <c r="A460" s="105">
        <v>460</v>
      </c>
      <c r="B460" s="46">
        <v>45534</v>
      </c>
      <c r="C460" s="46">
        <v>45534</v>
      </c>
      <c r="D460" s="13" t="s">
        <v>638</v>
      </c>
      <c r="E460" s="13" t="s">
        <v>51</v>
      </c>
      <c r="F460" s="13" t="s">
        <v>677</v>
      </c>
      <c r="G460" s="14" t="s">
        <v>678</v>
      </c>
      <c r="H460" s="14">
        <v>46189</v>
      </c>
      <c r="I460" s="14" t="s">
        <v>697</v>
      </c>
      <c r="K460" s="21">
        <v>1100378122</v>
      </c>
      <c r="L460" s="21"/>
      <c r="Q460" s="14" t="s">
        <v>148</v>
      </c>
      <c r="R460" s="14" t="s">
        <v>512</v>
      </c>
      <c r="T460" s="15">
        <v>188.05</v>
      </c>
      <c r="U460" s="15"/>
      <c r="V460" s="16">
        <f>+T460*12/(1.005)</f>
        <v>2245.3731343283589</v>
      </c>
      <c r="AB460" s="19"/>
      <c r="AC460" s="20"/>
      <c r="AD460" s="19"/>
      <c r="AE460" s="98"/>
    </row>
    <row r="461" spans="1:31" x14ac:dyDescent="0.3">
      <c r="A461" s="107">
        <v>461</v>
      </c>
      <c r="B461" s="46">
        <v>45534</v>
      </c>
      <c r="D461" s="13" t="s">
        <v>638</v>
      </c>
      <c r="E461" s="13" t="s">
        <v>51</v>
      </c>
      <c r="F461" s="13" t="s">
        <v>52</v>
      </c>
      <c r="G461" s="14" t="s">
        <v>155</v>
      </c>
      <c r="I461" s="14" t="s">
        <v>745</v>
      </c>
      <c r="K461" s="21"/>
      <c r="L461" s="21"/>
      <c r="Q461" s="14" t="s">
        <v>307</v>
      </c>
      <c r="R461" s="14" t="s">
        <v>327</v>
      </c>
      <c r="T461" s="15"/>
      <c r="U461" s="15"/>
      <c r="V461" s="16">
        <v>772.88</v>
      </c>
      <c r="AB461" s="19"/>
      <c r="AC461" s="20"/>
      <c r="AD461" s="19"/>
      <c r="AE461" s="98"/>
    </row>
    <row r="462" spans="1:31" x14ac:dyDescent="0.3">
      <c r="A462" s="108">
        <v>462</v>
      </c>
      <c r="B462" s="46">
        <v>45534</v>
      </c>
      <c r="D462" s="13" t="s">
        <v>638</v>
      </c>
      <c r="E462" s="13" t="s">
        <v>51</v>
      </c>
      <c r="F462" s="13" t="s">
        <v>52</v>
      </c>
      <c r="G462" s="14" t="s">
        <v>155</v>
      </c>
      <c r="I462" s="14" t="s">
        <v>746</v>
      </c>
      <c r="K462" s="21"/>
      <c r="L462" s="21"/>
      <c r="Q462" s="14" t="s">
        <v>395</v>
      </c>
      <c r="R462" s="14" t="s">
        <v>171</v>
      </c>
      <c r="T462" s="15"/>
      <c r="U462" s="15"/>
      <c r="V462" s="16">
        <v>903.6</v>
      </c>
      <c r="AB462" s="19"/>
      <c r="AC462" s="20"/>
      <c r="AD462" s="19"/>
      <c r="AE462" s="98"/>
    </row>
    <row r="463" spans="1:31" x14ac:dyDescent="0.3">
      <c r="A463" s="105">
        <v>463</v>
      </c>
      <c r="B463" s="46">
        <v>45534</v>
      </c>
      <c r="D463" s="13" t="s">
        <v>638</v>
      </c>
      <c r="E463" s="13" t="s">
        <v>51</v>
      </c>
      <c r="F463" s="13" t="s">
        <v>52</v>
      </c>
      <c r="G463" s="14" t="s">
        <v>459</v>
      </c>
      <c r="I463" s="14" t="s">
        <v>747</v>
      </c>
      <c r="K463" s="21"/>
      <c r="L463" s="21"/>
      <c r="Q463" s="14" t="s">
        <v>307</v>
      </c>
      <c r="R463" s="14" t="s">
        <v>759</v>
      </c>
      <c r="T463" s="15"/>
      <c r="U463" s="15"/>
      <c r="V463" s="16">
        <v>2697.96</v>
      </c>
      <c r="AB463" s="19"/>
      <c r="AC463" s="20"/>
      <c r="AD463" s="19"/>
      <c r="AE463" s="98"/>
    </row>
    <row r="464" spans="1:31" x14ac:dyDescent="0.3">
      <c r="A464" s="107">
        <v>464</v>
      </c>
      <c r="B464" s="46">
        <v>45534</v>
      </c>
      <c r="D464" s="13" t="s">
        <v>638</v>
      </c>
      <c r="E464" s="13" t="s">
        <v>51</v>
      </c>
      <c r="F464" s="13" t="s">
        <v>66</v>
      </c>
      <c r="G464" s="14" t="s">
        <v>12</v>
      </c>
      <c r="I464" s="14" t="s">
        <v>664</v>
      </c>
      <c r="J464" s="14" t="s">
        <v>68</v>
      </c>
      <c r="K464" s="21">
        <v>703490953</v>
      </c>
      <c r="L464" s="21"/>
      <c r="Q464" s="14" t="s">
        <v>407</v>
      </c>
      <c r="R464" s="14" t="s">
        <v>627</v>
      </c>
      <c r="T464" s="15">
        <v>72.95</v>
      </c>
      <c r="U464" s="15"/>
      <c r="V464" s="16">
        <f>+Tabla1[[#This Row],[PAGO MENSUAL]]*12/(1.005)</f>
        <v>871.0447761194032</v>
      </c>
      <c r="AB464" s="19"/>
      <c r="AC464" s="20"/>
      <c r="AD464" s="19"/>
      <c r="AE464" s="98"/>
    </row>
    <row r="465" spans="1:31" x14ac:dyDescent="0.3">
      <c r="A465" s="108">
        <v>465</v>
      </c>
      <c r="B465" s="46">
        <v>45534</v>
      </c>
      <c r="D465" s="13" t="s">
        <v>638</v>
      </c>
      <c r="E465" s="13" t="s">
        <v>51</v>
      </c>
      <c r="F465" s="13" t="s">
        <v>66</v>
      </c>
      <c r="G465" s="14" t="s">
        <v>12</v>
      </c>
      <c r="I465" s="14" t="s">
        <v>665</v>
      </c>
      <c r="K465" s="21">
        <v>703492413</v>
      </c>
      <c r="L465" s="21"/>
      <c r="Q465" s="14" t="s">
        <v>407</v>
      </c>
      <c r="R465" s="14" t="s">
        <v>627</v>
      </c>
      <c r="T465" s="15">
        <v>41.76</v>
      </c>
      <c r="U465" s="15"/>
      <c r="V465" s="16">
        <f>+Tabla1[[#This Row],[PAGO MENSUAL]]*12/(1.005)</f>
        <v>498.62686567164184</v>
      </c>
      <c r="AB465" s="19"/>
      <c r="AC465" s="20"/>
      <c r="AD465" s="19"/>
      <c r="AE465" s="98"/>
    </row>
    <row r="466" spans="1:31" x14ac:dyDescent="0.3">
      <c r="A466" s="105">
        <v>466</v>
      </c>
      <c r="B466" s="46">
        <v>45539</v>
      </c>
      <c r="C466" s="46">
        <v>45539</v>
      </c>
      <c r="D466" s="13" t="s">
        <v>666</v>
      </c>
      <c r="E466" s="13" t="s">
        <v>51</v>
      </c>
      <c r="F466" s="13" t="s">
        <v>677</v>
      </c>
      <c r="G466" s="14" t="s">
        <v>678</v>
      </c>
      <c r="H466" s="14">
        <v>46287</v>
      </c>
      <c r="I466" s="14" t="s">
        <v>695</v>
      </c>
      <c r="K466" s="21">
        <v>966948572</v>
      </c>
      <c r="L466" s="21"/>
      <c r="Q466" s="14" t="s">
        <v>148</v>
      </c>
      <c r="R466" s="14" t="s">
        <v>512</v>
      </c>
      <c r="T466" s="15">
        <v>64.58</v>
      </c>
      <c r="U466" s="15"/>
      <c r="V466" s="16">
        <f>+T466*12/(1.005)</f>
        <v>771.10447761194041</v>
      </c>
      <c r="AB466" s="19"/>
      <c r="AC466" s="20"/>
      <c r="AD466" s="19"/>
      <c r="AE466" s="98"/>
    </row>
    <row r="467" spans="1:31" x14ac:dyDescent="0.3">
      <c r="A467" s="107">
        <v>467</v>
      </c>
      <c r="B467" s="46">
        <v>45539</v>
      </c>
      <c r="D467" s="13" t="s">
        <v>666</v>
      </c>
      <c r="E467" s="13" t="s">
        <v>51</v>
      </c>
      <c r="F467" s="13" t="s">
        <v>52</v>
      </c>
      <c r="G467" s="14" t="s">
        <v>569</v>
      </c>
      <c r="I467" s="14" t="s">
        <v>760</v>
      </c>
      <c r="K467" s="21"/>
      <c r="L467" s="21"/>
      <c r="Q467" s="14" t="s">
        <v>3</v>
      </c>
      <c r="R467" s="14" t="s">
        <v>64</v>
      </c>
      <c r="T467" s="15"/>
      <c r="U467" s="15"/>
      <c r="V467" s="16">
        <v>964.67</v>
      </c>
      <c r="AB467" s="19"/>
      <c r="AC467" s="20"/>
      <c r="AD467" s="19"/>
      <c r="AE467" s="98"/>
    </row>
    <row r="468" spans="1:31" x14ac:dyDescent="0.3">
      <c r="A468" s="108">
        <v>468</v>
      </c>
      <c r="B468" s="46">
        <v>45540</v>
      </c>
      <c r="D468" s="13" t="s">
        <v>666</v>
      </c>
      <c r="E468" s="13" t="s">
        <v>51</v>
      </c>
      <c r="F468" s="13" t="s">
        <v>52</v>
      </c>
      <c r="G468" s="14" t="s">
        <v>129</v>
      </c>
      <c r="I468" s="14" t="s">
        <v>762</v>
      </c>
      <c r="K468" s="21"/>
      <c r="L468" s="21"/>
      <c r="Q468" s="14" t="s">
        <v>307</v>
      </c>
      <c r="R468" s="14" t="s">
        <v>775</v>
      </c>
      <c r="T468" s="15"/>
      <c r="U468" s="15"/>
      <c r="V468" s="16">
        <v>900.28</v>
      </c>
      <c r="AB468" s="19"/>
      <c r="AC468" s="20"/>
      <c r="AD468" s="19"/>
      <c r="AE468" s="98"/>
    </row>
    <row r="469" spans="1:31" x14ac:dyDescent="0.3">
      <c r="A469" s="105">
        <v>469</v>
      </c>
      <c r="B469" s="46">
        <v>45540</v>
      </c>
      <c r="D469" s="13" t="s">
        <v>666</v>
      </c>
      <c r="E469" s="13" t="s">
        <v>51</v>
      </c>
      <c r="F469" s="13" t="s">
        <v>52</v>
      </c>
      <c r="G469" s="14" t="s">
        <v>566</v>
      </c>
      <c r="I469" s="14" t="s">
        <v>761</v>
      </c>
      <c r="K469" s="21"/>
      <c r="L469" s="21"/>
      <c r="Q469" s="14" t="s">
        <v>395</v>
      </c>
      <c r="R469" s="14" t="s">
        <v>229</v>
      </c>
      <c r="T469" s="15"/>
      <c r="U469" s="15"/>
      <c r="V469" s="16">
        <v>1093.92</v>
      </c>
      <c r="AB469" s="19"/>
      <c r="AC469" s="20"/>
      <c r="AD469" s="19"/>
      <c r="AE469" s="98"/>
    </row>
    <row r="470" spans="1:31" x14ac:dyDescent="0.3">
      <c r="A470" s="107">
        <v>470</v>
      </c>
      <c r="B470" s="46">
        <v>45540</v>
      </c>
      <c r="C470" s="46">
        <v>45352</v>
      </c>
      <c r="D470" s="13" t="s">
        <v>666</v>
      </c>
      <c r="E470" s="13" t="s">
        <v>51</v>
      </c>
      <c r="F470" s="13" t="s">
        <v>66</v>
      </c>
      <c r="G470" s="14" t="s">
        <v>11</v>
      </c>
      <c r="I470" s="14" t="s">
        <v>779</v>
      </c>
      <c r="K470" s="21"/>
      <c r="L470" s="21"/>
      <c r="O470" s="14" t="s">
        <v>780</v>
      </c>
      <c r="Q470" s="14" t="s">
        <v>395</v>
      </c>
      <c r="R470" s="14" t="s">
        <v>781</v>
      </c>
      <c r="T470" s="15"/>
      <c r="U470" s="15"/>
      <c r="V470" s="16">
        <v>5468.6</v>
      </c>
      <c r="AB470" s="19"/>
      <c r="AC470" s="20"/>
      <c r="AD470" s="19"/>
      <c r="AE470" s="98"/>
    </row>
    <row r="471" spans="1:31" x14ac:dyDescent="0.3">
      <c r="A471" s="108">
        <v>471</v>
      </c>
      <c r="B471" s="46">
        <v>45544</v>
      </c>
      <c r="C471" s="46">
        <v>45551</v>
      </c>
      <c r="D471" s="13" t="s">
        <v>666</v>
      </c>
      <c r="E471" s="13" t="s">
        <v>51</v>
      </c>
      <c r="F471" s="13" t="s">
        <v>66</v>
      </c>
      <c r="G471" s="14" t="s">
        <v>11</v>
      </c>
      <c r="H471" s="14">
        <v>4198736</v>
      </c>
      <c r="I471" s="14" t="s">
        <v>359</v>
      </c>
      <c r="K471" s="21"/>
      <c r="L471" s="21"/>
      <c r="Q471" s="14" t="s">
        <v>395</v>
      </c>
      <c r="R471" s="14" t="s">
        <v>171</v>
      </c>
      <c r="T471" s="15">
        <v>78.5</v>
      </c>
      <c r="U471" s="15"/>
      <c r="V471" s="16">
        <f>+Tabla1[[#This Row],[PAGO MENSUAL]]*12</f>
        <v>942</v>
      </c>
      <c r="AB471" s="19"/>
      <c r="AC471" s="20"/>
      <c r="AD471" s="19"/>
      <c r="AE471" s="98"/>
    </row>
    <row r="472" spans="1:31" x14ac:dyDescent="0.3">
      <c r="A472" s="105">
        <v>472</v>
      </c>
      <c r="B472" s="46">
        <v>45544</v>
      </c>
      <c r="C472" s="46">
        <v>45544</v>
      </c>
      <c r="D472" s="13" t="s">
        <v>666</v>
      </c>
      <c r="E472" s="13" t="s">
        <v>51</v>
      </c>
      <c r="F472" s="13" t="s">
        <v>66</v>
      </c>
      <c r="G472" s="14" t="s">
        <v>681</v>
      </c>
      <c r="H472" s="14">
        <v>4198721</v>
      </c>
      <c r="I472" s="14" t="s">
        <v>684</v>
      </c>
      <c r="K472" s="21"/>
      <c r="L472" s="21"/>
      <c r="Q472" s="14" t="s">
        <v>395</v>
      </c>
      <c r="R472" s="14" t="s">
        <v>683</v>
      </c>
      <c r="T472" s="15">
        <v>13.86</v>
      </c>
      <c r="U472" s="15"/>
      <c r="V472" s="16">
        <f>+Tabla1[[#This Row],[PAGO MENSUAL]]*12</f>
        <v>166.32</v>
      </c>
      <c r="AB472" s="19"/>
      <c r="AC472" s="20"/>
      <c r="AD472" s="19"/>
      <c r="AE472" s="98"/>
    </row>
    <row r="473" spans="1:31" x14ac:dyDescent="0.3">
      <c r="A473" s="107">
        <v>473</v>
      </c>
      <c r="B473" s="46">
        <v>45544</v>
      </c>
      <c r="D473" s="13" t="s">
        <v>666</v>
      </c>
      <c r="E473" s="13" t="s">
        <v>51</v>
      </c>
      <c r="F473" s="13" t="s">
        <v>66</v>
      </c>
      <c r="G473" s="14" t="s">
        <v>18</v>
      </c>
      <c r="I473" s="14" t="s">
        <v>667</v>
      </c>
      <c r="J473" s="14" t="s">
        <v>668</v>
      </c>
      <c r="K473" s="21">
        <v>923597009</v>
      </c>
      <c r="L473" s="21"/>
      <c r="Q473" s="14" t="s">
        <v>5</v>
      </c>
      <c r="R473" s="14" t="s">
        <v>295</v>
      </c>
      <c r="T473" s="15">
        <v>228.57</v>
      </c>
      <c r="U473" s="15"/>
      <c r="V473" s="16">
        <f>+T473*12/(1.005)</f>
        <v>2729.1940298507466</v>
      </c>
      <c r="AB473" s="19"/>
      <c r="AC473" s="20"/>
      <c r="AD473" s="19"/>
      <c r="AE473" s="98"/>
    </row>
    <row r="474" spans="1:31" x14ac:dyDescent="0.3">
      <c r="A474" s="108">
        <v>474</v>
      </c>
      <c r="B474" s="46">
        <v>45544</v>
      </c>
      <c r="D474" s="13" t="s">
        <v>666</v>
      </c>
      <c r="E474" s="13" t="s">
        <v>51</v>
      </c>
      <c r="F474" s="13" t="s">
        <v>66</v>
      </c>
      <c r="G474" s="14" t="s">
        <v>158</v>
      </c>
      <c r="I474" s="14" t="s">
        <v>691</v>
      </c>
      <c r="K474" s="21">
        <v>931537419</v>
      </c>
      <c r="L474" s="21"/>
      <c r="Q474" s="14" t="s">
        <v>5</v>
      </c>
      <c r="T474" s="15">
        <v>86</v>
      </c>
      <c r="U474" s="15"/>
      <c r="V474" s="16">
        <f>+T474*12/(1.005)</f>
        <v>1026.8656716417911</v>
      </c>
      <c r="AB474" s="19"/>
      <c r="AC474" s="20"/>
      <c r="AD474" s="19"/>
      <c r="AE474" s="98"/>
    </row>
    <row r="475" spans="1:31" x14ac:dyDescent="0.3">
      <c r="A475" s="105">
        <v>475</v>
      </c>
      <c r="B475" s="46">
        <v>45544</v>
      </c>
      <c r="D475" s="13" t="s">
        <v>666</v>
      </c>
      <c r="E475" s="13" t="s">
        <v>51</v>
      </c>
      <c r="F475" s="13" t="s">
        <v>66</v>
      </c>
      <c r="G475" s="14" t="s">
        <v>158</v>
      </c>
      <c r="I475" s="14" t="s">
        <v>691</v>
      </c>
      <c r="K475" s="21">
        <v>931537419</v>
      </c>
      <c r="L475" s="21"/>
      <c r="Q475" s="14" t="s">
        <v>3</v>
      </c>
      <c r="T475" s="15"/>
      <c r="U475" s="15">
        <v>312.12</v>
      </c>
      <c r="V475" s="16">
        <f>+(U475)/1.005-65</f>
        <v>245.56716417910451</v>
      </c>
      <c r="AB475" s="19"/>
      <c r="AC475" s="20"/>
      <c r="AD475" s="19"/>
      <c r="AE475" s="98"/>
    </row>
    <row r="476" spans="1:31" x14ac:dyDescent="0.3">
      <c r="A476" s="107">
        <v>476</v>
      </c>
      <c r="B476" s="46">
        <v>45545</v>
      </c>
      <c r="C476" s="46">
        <v>45545</v>
      </c>
      <c r="D476" s="13" t="s">
        <v>666</v>
      </c>
      <c r="E476" s="13" t="s">
        <v>51</v>
      </c>
      <c r="F476" s="13" t="s">
        <v>677</v>
      </c>
      <c r="G476" s="14" t="s">
        <v>678</v>
      </c>
      <c r="H476" s="14">
        <v>46348</v>
      </c>
      <c r="I476" s="14" t="s">
        <v>679</v>
      </c>
      <c r="J476" s="14" t="s">
        <v>680</v>
      </c>
      <c r="K476" s="21">
        <v>1206184580</v>
      </c>
      <c r="L476" s="21"/>
      <c r="Q476" s="14" t="s">
        <v>148</v>
      </c>
      <c r="R476" s="14" t="s">
        <v>512</v>
      </c>
      <c r="T476" s="15">
        <v>76.89</v>
      </c>
      <c r="U476" s="15"/>
      <c r="V476" s="16">
        <f>+Tabla1[[#This Row],[PAGO MENSUAL]]*12/(1.005)</f>
        <v>918.08955223880616</v>
      </c>
      <c r="AB476" s="19"/>
      <c r="AC476" s="20"/>
      <c r="AD476" s="19"/>
      <c r="AE476" s="98"/>
    </row>
    <row r="477" spans="1:31" x14ac:dyDescent="0.3">
      <c r="A477" s="108">
        <v>477</v>
      </c>
      <c r="B477" s="46">
        <v>45545</v>
      </c>
      <c r="C477" s="46">
        <v>45545</v>
      </c>
      <c r="D477" s="13" t="s">
        <v>666</v>
      </c>
      <c r="E477" s="13" t="s">
        <v>51</v>
      </c>
      <c r="F477" s="13" t="s">
        <v>66</v>
      </c>
      <c r="G477" s="14" t="s">
        <v>14</v>
      </c>
      <c r="H477" s="14">
        <v>4198826</v>
      </c>
      <c r="I477" s="14" t="s">
        <v>682</v>
      </c>
      <c r="K477" s="21"/>
      <c r="L477" s="21"/>
      <c r="Q477" s="14" t="s">
        <v>395</v>
      </c>
      <c r="R477" s="14" t="s">
        <v>59</v>
      </c>
      <c r="T477" s="15">
        <v>269.27999999999997</v>
      </c>
      <c r="U477" s="15"/>
      <c r="V477" s="16">
        <f>+Tabla1[[#This Row],[PAGO MENSUAL]]*12</f>
        <v>3231.3599999999997</v>
      </c>
      <c r="AB477" s="19"/>
      <c r="AC477" s="20"/>
      <c r="AD477" s="19"/>
      <c r="AE477" s="98"/>
    </row>
    <row r="478" spans="1:31" x14ac:dyDescent="0.3">
      <c r="A478" s="105">
        <v>478</v>
      </c>
      <c r="B478" s="46">
        <v>45547</v>
      </c>
      <c r="D478" s="13" t="s">
        <v>666</v>
      </c>
      <c r="E478" s="13" t="s">
        <v>51</v>
      </c>
      <c r="F478" s="13" t="s">
        <v>52</v>
      </c>
      <c r="G478" s="14" t="s">
        <v>155</v>
      </c>
      <c r="I478" s="14" t="s">
        <v>763</v>
      </c>
      <c r="K478" s="21"/>
      <c r="L478" s="21"/>
      <c r="Q478" s="14" t="s">
        <v>748</v>
      </c>
      <c r="T478" s="15"/>
      <c r="U478" s="15"/>
      <c r="V478" s="16">
        <v>1540.45</v>
      </c>
      <c r="AB478" s="19"/>
      <c r="AC478" s="20"/>
      <c r="AD478" s="19"/>
      <c r="AE478" s="98"/>
    </row>
    <row r="479" spans="1:31" x14ac:dyDescent="0.3">
      <c r="A479" s="107">
        <v>479</v>
      </c>
      <c r="B479" s="46">
        <v>45547</v>
      </c>
      <c r="D479" s="13" t="s">
        <v>666</v>
      </c>
      <c r="E479" s="13" t="s">
        <v>51</v>
      </c>
      <c r="F479" s="13" t="s">
        <v>52</v>
      </c>
      <c r="G479" s="14" t="s">
        <v>487</v>
      </c>
      <c r="I479" s="14" t="s">
        <v>764</v>
      </c>
      <c r="K479" s="21"/>
      <c r="L479" s="21"/>
      <c r="Q479" s="14" t="s">
        <v>395</v>
      </c>
      <c r="T479" s="15"/>
      <c r="U479" s="15"/>
      <c r="V479" s="16">
        <v>7540.57</v>
      </c>
      <c r="AB479" s="19"/>
      <c r="AC479" s="20"/>
      <c r="AD479" s="19"/>
      <c r="AE479" s="98"/>
    </row>
    <row r="480" spans="1:31" x14ac:dyDescent="0.3">
      <c r="A480" s="108">
        <v>480</v>
      </c>
      <c r="B480" s="46">
        <v>45548</v>
      </c>
      <c r="D480" s="13" t="s">
        <v>666</v>
      </c>
      <c r="E480" s="13" t="s">
        <v>51</v>
      </c>
      <c r="F480" s="13" t="s">
        <v>52</v>
      </c>
      <c r="G480" s="14" t="s">
        <v>129</v>
      </c>
      <c r="I480" s="14" t="s">
        <v>766</v>
      </c>
      <c r="K480" s="21"/>
      <c r="L480" s="21"/>
      <c r="Q480" s="14" t="s">
        <v>395</v>
      </c>
      <c r="R480" s="14" t="s">
        <v>96</v>
      </c>
      <c r="T480" s="15"/>
      <c r="U480" s="15"/>
      <c r="V480" s="16">
        <v>1219.05</v>
      </c>
      <c r="AB480" s="19"/>
      <c r="AC480" s="20"/>
      <c r="AD480" s="19"/>
      <c r="AE480" s="98"/>
    </row>
    <row r="481" spans="1:31" x14ac:dyDescent="0.3">
      <c r="A481" s="105">
        <v>481</v>
      </c>
      <c r="B481" s="46">
        <v>45548</v>
      </c>
      <c r="D481" s="13" t="s">
        <v>666</v>
      </c>
      <c r="E481" s="13" t="s">
        <v>51</v>
      </c>
      <c r="F481" s="13" t="s">
        <v>52</v>
      </c>
      <c r="G481" s="14" t="s">
        <v>113</v>
      </c>
      <c r="I481" s="14" t="s">
        <v>767</v>
      </c>
      <c r="K481" s="21"/>
      <c r="L481" s="21"/>
      <c r="Q481" s="14" t="s">
        <v>477</v>
      </c>
      <c r="R481" s="14" t="s">
        <v>143</v>
      </c>
      <c r="T481" s="15"/>
      <c r="U481" s="15"/>
      <c r="V481" s="16">
        <v>925.76</v>
      </c>
      <c r="AB481" s="19"/>
      <c r="AC481" s="20"/>
      <c r="AD481" s="19"/>
      <c r="AE481" s="98"/>
    </row>
    <row r="482" spans="1:31" x14ac:dyDescent="0.3">
      <c r="A482" s="107">
        <v>482</v>
      </c>
      <c r="B482" s="46">
        <v>45548</v>
      </c>
      <c r="D482" s="13" t="s">
        <v>666</v>
      </c>
      <c r="E482" s="13" t="s">
        <v>51</v>
      </c>
      <c r="F482" s="13" t="s">
        <v>52</v>
      </c>
      <c r="G482" s="14" t="s">
        <v>396</v>
      </c>
      <c r="I482" s="14" t="s">
        <v>765</v>
      </c>
      <c r="K482" s="21"/>
      <c r="L482" s="21"/>
      <c r="Q482" s="14" t="s">
        <v>395</v>
      </c>
      <c r="R482" s="14" t="s">
        <v>776</v>
      </c>
      <c r="T482" s="15"/>
      <c r="U482" s="15"/>
      <c r="V482" s="16">
        <v>559.25</v>
      </c>
      <c r="AB482" s="19"/>
      <c r="AC482" s="20"/>
      <c r="AD482" s="19"/>
      <c r="AE482" s="98"/>
    </row>
    <row r="483" spans="1:31" x14ac:dyDescent="0.3">
      <c r="A483" s="108">
        <v>483</v>
      </c>
      <c r="B483" s="46">
        <v>45548</v>
      </c>
      <c r="D483" s="13" t="s">
        <v>666</v>
      </c>
      <c r="E483" s="13" t="s">
        <v>51</v>
      </c>
      <c r="F483" s="13" t="s">
        <v>66</v>
      </c>
      <c r="G483" s="14" t="s">
        <v>11</v>
      </c>
      <c r="H483" s="14">
        <v>34810</v>
      </c>
      <c r="I483" s="14" t="s">
        <v>693</v>
      </c>
      <c r="J483" s="14" t="s">
        <v>68</v>
      </c>
      <c r="K483" s="21">
        <v>924869001</v>
      </c>
      <c r="L483" s="21"/>
      <c r="Q483" s="14" t="s">
        <v>477</v>
      </c>
      <c r="R483" s="14" t="s">
        <v>421</v>
      </c>
      <c r="T483" s="15">
        <v>171.97</v>
      </c>
      <c r="U483" s="15"/>
      <c r="V483" s="16">
        <f>+Tabla1[[#This Row],[PAGO MENSUAL]]*12/1.09</f>
        <v>1893.2477064220182</v>
      </c>
      <c r="AB483" s="19"/>
      <c r="AC483" s="20"/>
      <c r="AD483" s="19"/>
      <c r="AE483" s="98"/>
    </row>
    <row r="484" spans="1:31" x14ac:dyDescent="0.3">
      <c r="A484" s="105">
        <v>484</v>
      </c>
      <c r="B484" s="46">
        <v>45549</v>
      </c>
      <c r="D484" s="13" t="s">
        <v>666</v>
      </c>
      <c r="E484" s="13" t="s">
        <v>51</v>
      </c>
      <c r="F484" s="13" t="s">
        <v>52</v>
      </c>
      <c r="G484" s="14" t="s">
        <v>566</v>
      </c>
      <c r="I484" s="14" t="s">
        <v>687</v>
      </c>
      <c r="K484" s="21"/>
      <c r="L484" s="21"/>
      <c r="Q484" s="14" t="s">
        <v>132</v>
      </c>
      <c r="T484" s="15"/>
      <c r="U484" s="15"/>
      <c r="V484" s="16">
        <f>37.5*2</f>
        <v>75</v>
      </c>
      <c r="AB484" s="19"/>
      <c r="AC484" s="20"/>
      <c r="AD484" s="19"/>
      <c r="AE484" s="98"/>
    </row>
    <row r="485" spans="1:31" x14ac:dyDescent="0.3">
      <c r="A485" s="107">
        <v>485</v>
      </c>
      <c r="B485" s="46">
        <v>45551</v>
      </c>
      <c r="D485" s="13" t="s">
        <v>666</v>
      </c>
      <c r="E485" s="13" t="s">
        <v>51</v>
      </c>
      <c r="F485" s="13" t="s">
        <v>52</v>
      </c>
      <c r="G485" s="14" t="s">
        <v>155</v>
      </c>
      <c r="I485" s="14" t="s">
        <v>768</v>
      </c>
      <c r="K485" s="21"/>
      <c r="L485" s="21"/>
      <c r="Q485" s="14" t="s">
        <v>395</v>
      </c>
      <c r="R485" s="14" t="s">
        <v>776</v>
      </c>
      <c r="T485" s="15"/>
      <c r="U485" s="15"/>
      <c r="V485" s="16">
        <v>1048.67</v>
      </c>
      <c r="AB485" s="19"/>
      <c r="AC485" s="20"/>
      <c r="AD485" s="19"/>
      <c r="AE485" s="98"/>
    </row>
    <row r="486" spans="1:31" x14ac:dyDescent="0.3">
      <c r="A486" s="108">
        <v>486</v>
      </c>
      <c r="B486" s="46">
        <v>45551</v>
      </c>
      <c r="D486" s="13" t="s">
        <v>666</v>
      </c>
      <c r="E486" s="13" t="s">
        <v>51</v>
      </c>
      <c r="F486" s="13" t="s">
        <v>52</v>
      </c>
      <c r="G486" s="14" t="s">
        <v>459</v>
      </c>
      <c r="I486" s="14" t="s">
        <v>769</v>
      </c>
      <c r="K486" s="21"/>
      <c r="L486" s="21"/>
      <c r="Q486" s="14" t="s">
        <v>395</v>
      </c>
      <c r="R486" s="14" t="s">
        <v>265</v>
      </c>
      <c r="T486" s="15"/>
      <c r="U486" s="15"/>
      <c r="V486" s="16">
        <v>3769.2</v>
      </c>
      <c r="AB486" s="19"/>
      <c r="AC486" s="20"/>
      <c r="AD486" s="19"/>
      <c r="AE486" s="98"/>
    </row>
    <row r="487" spans="1:31" x14ac:dyDescent="0.3">
      <c r="A487" s="105">
        <v>487</v>
      </c>
      <c r="B487" s="46">
        <v>45551</v>
      </c>
      <c r="C487" s="46">
        <v>45551</v>
      </c>
      <c r="D487" s="13" t="s">
        <v>666</v>
      </c>
      <c r="E487" s="13" t="s">
        <v>51</v>
      </c>
      <c r="F487" s="13" t="s">
        <v>66</v>
      </c>
      <c r="G487" s="14" t="s">
        <v>11</v>
      </c>
      <c r="I487" s="14" t="s">
        <v>782</v>
      </c>
      <c r="K487" s="21"/>
      <c r="L487" s="21"/>
      <c r="Q487" s="14" t="s">
        <v>3</v>
      </c>
      <c r="R487" s="14" t="s">
        <v>64</v>
      </c>
      <c r="T487" s="15">
        <v>42.15</v>
      </c>
      <c r="U487" s="15"/>
      <c r="V487" s="16">
        <f>+T487*12/(1.005)</f>
        <v>503.28358208955223</v>
      </c>
      <c r="AB487" s="19"/>
      <c r="AC487" s="20"/>
      <c r="AD487" s="19"/>
      <c r="AE487" s="98"/>
    </row>
    <row r="488" spans="1:31" x14ac:dyDescent="0.3">
      <c r="A488" s="107">
        <v>488</v>
      </c>
      <c r="B488" s="46">
        <v>45552</v>
      </c>
      <c r="D488" s="13" t="s">
        <v>666</v>
      </c>
      <c r="E488" s="13" t="s">
        <v>51</v>
      </c>
      <c r="F488" s="13" t="s">
        <v>66</v>
      </c>
      <c r="G488" s="14" t="s">
        <v>218</v>
      </c>
      <c r="H488" s="14">
        <v>4199267</v>
      </c>
      <c r="I488" s="14" t="s">
        <v>685</v>
      </c>
      <c r="K488" s="21"/>
      <c r="L488" s="21"/>
      <c r="Q488" s="14" t="s">
        <v>395</v>
      </c>
      <c r="R488" s="14" t="s">
        <v>686</v>
      </c>
      <c r="T488" s="15">
        <v>959.66</v>
      </c>
      <c r="U488" s="15"/>
      <c r="V488" s="16">
        <f>+Tabla1[[#This Row],[PAGO MENSUAL]]*12</f>
        <v>11515.92</v>
      </c>
      <c r="AB488" s="19"/>
      <c r="AC488" s="20"/>
      <c r="AD488" s="19"/>
      <c r="AE488" s="98"/>
    </row>
    <row r="489" spans="1:31" x14ac:dyDescent="0.3">
      <c r="A489" s="108">
        <v>489</v>
      </c>
      <c r="B489" s="46">
        <v>45553</v>
      </c>
      <c r="D489" s="13" t="s">
        <v>666</v>
      </c>
      <c r="E489" s="13" t="s">
        <v>51</v>
      </c>
      <c r="F489" s="13" t="s">
        <v>52</v>
      </c>
      <c r="G489" s="14" t="s">
        <v>129</v>
      </c>
      <c r="I489" s="14" t="s">
        <v>770</v>
      </c>
      <c r="K489" s="21"/>
      <c r="L489" s="21"/>
      <c r="Q489" s="14" t="s">
        <v>395</v>
      </c>
      <c r="R489" s="14" t="s">
        <v>265</v>
      </c>
      <c r="T489" s="15"/>
      <c r="U489" s="15"/>
      <c r="V489" s="16">
        <v>1275.4100000000001</v>
      </c>
      <c r="AB489" s="19"/>
      <c r="AC489" s="20"/>
      <c r="AD489" s="19"/>
      <c r="AE489" s="98"/>
    </row>
    <row r="490" spans="1:31" x14ac:dyDescent="0.3">
      <c r="A490" s="105">
        <v>490</v>
      </c>
      <c r="B490" s="46">
        <v>45553</v>
      </c>
      <c r="D490" s="13" t="s">
        <v>666</v>
      </c>
      <c r="E490" s="13" t="s">
        <v>51</v>
      </c>
      <c r="F490" s="13" t="s">
        <v>66</v>
      </c>
      <c r="G490" s="14" t="s">
        <v>218</v>
      </c>
      <c r="I490" s="14" t="s">
        <v>692</v>
      </c>
      <c r="K490" s="21">
        <v>1203922933</v>
      </c>
      <c r="L490" s="21"/>
      <c r="Q490" s="14" t="s">
        <v>3</v>
      </c>
      <c r="T490" s="15">
        <v>48.33</v>
      </c>
      <c r="U490" s="15"/>
      <c r="V490" s="16">
        <f>+(T490*12)/1.005-65</f>
        <v>512.07462686567169</v>
      </c>
      <c r="AB490" s="19"/>
      <c r="AC490" s="20"/>
      <c r="AD490" s="19"/>
      <c r="AE490" s="98"/>
    </row>
    <row r="491" spans="1:31" x14ac:dyDescent="0.3">
      <c r="A491" s="107">
        <v>491</v>
      </c>
      <c r="B491" s="46">
        <v>45553</v>
      </c>
      <c r="D491" s="13" t="s">
        <v>666</v>
      </c>
      <c r="E491" s="13" t="s">
        <v>51</v>
      </c>
      <c r="F491" s="13" t="s">
        <v>66</v>
      </c>
      <c r="G491" s="14" t="s">
        <v>218</v>
      </c>
      <c r="I491" s="14" t="s">
        <v>694</v>
      </c>
      <c r="K491" s="21">
        <v>909004269</v>
      </c>
      <c r="L491" s="21"/>
      <c r="Q491" s="14" t="s">
        <v>477</v>
      </c>
      <c r="R491" s="14" t="s">
        <v>358</v>
      </c>
      <c r="T491" s="15">
        <v>101.24</v>
      </c>
      <c r="U491" s="15"/>
      <c r="V491" s="16">
        <f>+Tabla1[[#This Row],[PAGO MENSUAL]]*12/1.09</f>
        <v>1114.5688073394494</v>
      </c>
      <c r="AB491" s="19"/>
      <c r="AC491" s="20"/>
      <c r="AD491" s="19"/>
      <c r="AE491" s="98"/>
    </row>
    <row r="492" spans="1:31" x14ac:dyDescent="0.3">
      <c r="A492" s="108">
        <v>492</v>
      </c>
      <c r="B492" s="46">
        <v>45553</v>
      </c>
      <c r="D492" s="13" t="s">
        <v>666</v>
      </c>
      <c r="E492" s="13" t="s">
        <v>51</v>
      </c>
      <c r="F492" s="13" t="s">
        <v>66</v>
      </c>
      <c r="G492" s="14" t="s">
        <v>240</v>
      </c>
      <c r="I492" s="14" t="s">
        <v>688</v>
      </c>
      <c r="K492" s="21"/>
      <c r="L492" s="21"/>
      <c r="Q492" s="14" t="s">
        <v>132</v>
      </c>
      <c r="T492" s="15"/>
      <c r="U492" s="15"/>
      <c r="V492" s="16">
        <v>66</v>
      </c>
      <c r="AB492" s="19"/>
      <c r="AC492" s="20"/>
      <c r="AD492" s="19"/>
      <c r="AE492" s="98"/>
    </row>
    <row r="493" spans="1:31" x14ac:dyDescent="0.3">
      <c r="A493" s="105">
        <v>493</v>
      </c>
      <c r="B493" s="46">
        <v>45554</v>
      </c>
      <c r="D493" s="13" t="s">
        <v>666</v>
      </c>
      <c r="E493" s="13" t="s">
        <v>51</v>
      </c>
      <c r="F493" s="13" t="s">
        <v>52</v>
      </c>
      <c r="G493" s="14" t="s">
        <v>396</v>
      </c>
      <c r="I493" s="14" t="s">
        <v>771</v>
      </c>
      <c r="K493" s="21"/>
      <c r="L493" s="21"/>
      <c r="Q493" s="14" t="s">
        <v>307</v>
      </c>
      <c r="R493" s="14" t="s">
        <v>308</v>
      </c>
      <c r="T493" s="15"/>
      <c r="U493" s="15"/>
      <c r="V493" s="16">
        <v>714.01</v>
      </c>
      <c r="AB493" s="19"/>
      <c r="AC493" s="20"/>
      <c r="AD493" s="19"/>
      <c r="AE493" s="98"/>
    </row>
    <row r="494" spans="1:31" x14ac:dyDescent="0.3">
      <c r="A494" s="107">
        <v>494</v>
      </c>
      <c r="B494" s="46">
        <v>45554</v>
      </c>
      <c r="D494" s="13" t="s">
        <v>666</v>
      </c>
      <c r="E494" s="13" t="s">
        <v>51</v>
      </c>
      <c r="F494" s="13" t="s">
        <v>66</v>
      </c>
      <c r="G494" s="14" t="s">
        <v>16</v>
      </c>
      <c r="I494" s="14" t="s">
        <v>689</v>
      </c>
      <c r="K494" s="21"/>
      <c r="L494" s="21"/>
      <c r="Q494" s="14" t="s">
        <v>132</v>
      </c>
      <c r="T494" s="15"/>
      <c r="U494" s="15"/>
      <c r="V494" s="16">
        <v>800</v>
      </c>
      <c r="AB494" s="19"/>
      <c r="AC494" s="20"/>
      <c r="AD494" s="19"/>
      <c r="AE494" s="98"/>
    </row>
    <row r="495" spans="1:31" x14ac:dyDescent="0.3">
      <c r="A495" s="108">
        <v>495</v>
      </c>
      <c r="B495" s="46">
        <v>45554</v>
      </c>
      <c r="D495" s="13" t="s">
        <v>666</v>
      </c>
      <c r="E495" s="13" t="s">
        <v>51</v>
      </c>
      <c r="F495" s="13" t="s">
        <v>66</v>
      </c>
      <c r="G495" s="14" t="s">
        <v>16</v>
      </c>
      <c r="I495" s="14" t="s">
        <v>690</v>
      </c>
      <c r="K495" s="21"/>
      <c r="L495" s="21"/>
      <c r="Q495" s="14" t="s">
        <v>132</v>
      </c>
      <c r="T495" s="15"/>
      <c r="U495" s="15"/>
      <c r="V495" s="16">
        <v>77</v>
      </c>
      <c r="AB495" s="19"/>
      <c r="AC495" s="20"/>
      <c r="AD495" s="19"/>
      <c r="AE495" s="98"/>
    </row>
    <row r="496" spans="1:31" x14ac:dyDescent="0.3">
      <c r="A496" s="105">
        <v>496</v>
      </c>
      <c r="B496" s="46">
        <v>45558</v>
      </c>
      <c r="D496" s="13" t="s">
        <v>666</v>
      </c>
      <c r="E496" s="13" t="s">
        <v>51</v>
      </c>
      <c r="F496" s="13" t="s">
        <v>52</v>
      </c>
      <c r="G496" s="14" t="s">
        <v>129</v>
      </c>
      <c r="I496" s="14" t="s">
        <v>772</v>
      </c>
      <c r="K496" s="21"/>
      <c r="L496" s="21"/>
      <c r="Q496" s="14" t="s">
        <v>307</v>
      </c>
      <c r="R496" s="14" t="s">
        <v>391</v>
      </c>
      <c r="T496" s="15"/>
      <c r="U496" s="15"/>
      <c r="V496" s="16">
        <v>907.68</v>
      </c>
      <c r="AB496" s="19"/>
      <c r="AC496" s="20"/>
      <c r="AD496" s="19"/>
      <c r="AE496" s="98"/>
    </row>
    <row r="497" spans="1:31" x14ac:dyDescent="0.3">
      <c r="A497" s="107">
        <v>497</v>
      </c>
      <c r="B497" s="46">
        <v>45560</v>
      </c>
      <c r="C497" s="46">
        <v>45565</v>
      </c>
      <c r="D497" s="13" t="s">
        <v>666</v>
      </c>
      <c r="E497" s="13" t="s">
        <v>51</v>
      </c>
      <c r="F497" s="13" t="s">
        <v>66</v>
      </c>
      <c r="G497" s="14" t="s">
        <v>20</v>
      </c>
      <c r="I497" s="14" t="s">
        <v>703</v>
      </c>
      <c r="K497" s="21">
        <v>940514169</v>
      </c>
      <c r="L497" s="21">
        <v>967715523</v>
      </c>
      <c r="M497" s="14" t="s">
        <v>700</v>
      </c>
      <c r="N497" s="14" t="s">
        <v>70</v>
      </c>
      <c r="O497" s="14" t="s">
        <v>698</v>
      </c>
      <c r="Q497" s="14" t="s">
        <v>477</v>
      </c>
      <c r="R497" s="14" t="s">
        <v>358</v>
      </c>
      <c r="T497" s="15">
        <v>27.05</v>
      </c>
      <c r="U497" s="15"/>
      <c r="V497" s="16">
        <f>+Tabla1[[#This Row],[PAGO MENSUAL]]*12/1.09</f>
        <v>297.79816513761466</v>
      </c>
      <c r="AB497" s="19"/>
      <c r="AC497" s="20"/>
      <c r="AD497" s="19"/>
      <c r="AE497" s="98"/>
    </row>
    <row r="498" spans="1:31" x14ac:dyDescent="0.3">
      <c r="A498" s="108">
        <v>498</v>
      </c>
      <c r="B498" s="46">
        <v>45560</v>
      </c>
      <c r="C498" s="46">
        <v>45565</v>
      </c>
      <c r="D498" s="13" t="s">
        <v>666</v>
      </c>
      <c r="E498" s="13" t="s">
        <v>51</v>
      </c>
      <c r="F498" s="13" t="s">
        <v>66</v>
      </c>
      <c r="G498" s="14" t="s">
        <v>20</v>
      </c>
      <c r="I498" s="14" t="s">
        <v>699</v>
      </c>
      <c r="K498" s="21">
        <v>953820354</v>
      </c>
      <c r="L498" s="21">
        <v>967715523</v>
      </c>
      <c r="M498" s="14" t="s">
        <v>700</v>
      </c>
      <c r="N498" s="14" t="s">
        <v>70</v>
      </c>
      <c r="O498" s="14" t="s">
        <v>698</v>
      </c>
      <c r="Q498" s="14" t="s">
        <v>477</v>
      </c>
      <c r="R498" s="14" t="s">
        <v>358</v>
      </c>
      <c r="T498" s="15">
        <v>27.05</v>
      </c>
      <c r="U498" s="15"/>
      <c r="V498" s="16">
        <f>+Tabla1[[#This Row],[PAGO MENSUAL]]*12/1.09</f>
        <v>297.79816513761466</v>
      </c>
      <c r="AB498" s="19"/>
      <c r="AC498" s="20"/>
      <c r="AD498" s="19"/>
      <c r="AE498" s="98"/>
    </row>
    <row r="499" spans="1:31" x14ac:dyDescent="0.3">
      <c r="A499" s="105">
        <v>499</v>
      </c>
      <c r="B499" s="46">
        <v>45560</v>
      </c>
      <c r="D499" s="13" t="s">
        <v>666</v>
      </c>
      <c r="E499" s="13" t="s">
        <v>51</v>
      </c>
      <c r="F499" s="13" t="s">
        <v>66</v>
      </c>
      <c r="G499" s="14" t="s">
        <v>16</v>
      </c>
      <c r="I499" s="14" t="s">
        <v>783</v>
      </c>
      <c r="K499" s="21">
        <v>903407302</v>
      </c>
      <c r="L499" s="21">
        <v>999484209</v>
      </c>
      <c r="M499" s="14" t="s">
        <v>168</v>
      </c>
      <c r="N499" s="14" t="s">
        <v>70</v>
      </c>
      <c r="O499" s="14" t="s">
        <v>783</v>
      </c>
      <c r="Q499" s="14" t="s">
        <v>148</v>
      </c>
      <c r="R499" s="14" t="s">
        <v>512</v>
      </c>
      <c r="T499" s="15">
        <v>392.81</v>
      </c>
      <c r="U499" s="15"/>
      <c r="V499" s="16">
        <f>+Tabla1[[#This Row],[PAGO MENSUAL]]*12/(1.005)</f>
        <v>4690.2686567164183</v>
      </c>
      <c r="AB499" s="19"/>
      <c r="AC499" s="20"/>
      <c r="AD499" s="19"/>
      <c r="AE499" s="98"/>
    </row>
    <row r="500" spans="1:31" x14ac:dyDescent="0.3">
      <c r="A500" s="107">
        <v>500</v>
      </c>
      <c r="B500" s="46">
        <v>45562</v>
      </c>
      <c r="D500" s="13" t="s">
        <v>666</v>
      </c>
      <c r="E500" s="13" t="s">
        <v>51</v>
      </c>
      <c r="F500" s="13" t="s">
        <v>52</v>
      </c>
      <c r="G500" s="14" t="s">
        <v>396</v>
      </c>
      <c r="I500" s="14" t="s">
        <v>773</v>
      </c>
      <c r="K500" s="21"/>
      <c r="L500" s="21"/>
      <c r="Q500" s="14" t="s">
        <v>395</v>
      </c>
      <c r="R500" s="14" t="s">
        <v>171</v>
      </c>
      <c r="T500" s="15"/>
      <c r="U500" s="15"/>
      <c r="V500" s="16">
        <v>2407.3200000000002</v>
      </c>
      <c r="AB500" s="19"/>
      <c r="AC500" s="20"/>
      <c r="AD500" s="19"/>
      <c r="AE500" s="98"/>
    </row>
    <row r="501" spans="1:31" x14ac:dyDescent="0.3">
      <c r="A501" s="108">
        <v>501</v>
      </c>
      <c r="B501" s="46">
        <v>45565</v>
      </c>
      <c r="D501" s="13" t="s">
        <v>666</v>
      </c>
      <c r="E501" s="13" t="s">
        <v>51</v>
      </c>
      <c r="F501" s="13" t="s">
        <v>52</v>
      </c>
      <c r="G501" s="14" t="s">
        <v>566</v>
      </c>
      <c r="I501" s="14" t="s">
        <v>774</v>
      </c>
      <c r="K501" s="21"/>
      <c r="L501" s="21"/>
      <c r="Q501" s="14" t="s">
        <v>477</v>
      </c>
      <c r="R501" s="14" t="s">
        <v>777</v>
      </c>
      <c r="T501" s="15"/>
      <c r="U501" s="15"/>
      <c r="V501" s="16">
        <v>1651.14</v>
      </c>
      <c r="AB501" s="19"/>
      <c r="AC501" s="20"/>
      <c r="AD501" s="19"/>
      <c r="AE501" s="98"/>
    </row>
    <row r="502" spans="1:31" x14ac:dyDescent="0.3">
      <c r="A502" s="105">
        <v>502</v>
      </c>
      <c r="B502" s="46">
        <v>45565</v>
      </c>
      <c r="D502" s="13" t="s">
        <v>666</v>
      </c>
      <c r="E502" s="13" t="s">
        <v>51</v>
      </c>
      <c r="F502" s="13" t="s">
        <v>66</v>
      </c>
      <c r="G502" s="14" t="s">
        <v>14</v>
      </c>
      <c r="I502" s="14" t="s">
        <v>704</v>
      </c>
      <c r="K502" s="21">
        <v>1716565484</v>
      </c>
      <c r="L502" s="21">
        <v>989272061</v>
      </c>
      <c r="M502" s="14" t="s">
        <v>700</v>
      </c>
      <c r="N502" s="14" t="s">
        <v>70</v>
      </c>
      <c r="O502" s="14" t="s">
        <v>707</v>
      </c>
      <c r="P502" s="14" t="s">
        <v>71</v>
      </c>
      <c r="Q502" s="14" t="s">
        <v>148</v>
      </c>
      <c r="R502" s="14" t="s">
        <v>512</v>
      </c>
      <c r="T502" s="15">
        <v>96.44</v>
      </c>
      <c r="U502" s="15"/>
      <c r="V502" s="16">
        <f>+Tabla1[[#This Row],[PAGO MENSUAL]]*12/(1.005)</f>
        <v>1151.5223880597016</v>
      </c>
      <c r="AB502" s="19"/>
      <c r="AC502" s="20"/>
      <c r="AD502" s="19"/>
      <c r="AE502" s="98"/>
    </row>
    <row r="503" spans="1:31" x14ac:dyDescent="0.3">
      <c r="A503" s="107">
        <v>503</v>
      </c>
      <c r="B503" s="46">
        <v>45565</v>
      </c>
      <c r="D503" s="13" t="s">
        <v>666</v>
      </c>
      <c r="E503" s="13" t="s">
        <v>51</v>
      </c>
      <c r="F503" s="13" t="s">
        <v>66</v>
      </c>
      <c r="G503" s="14" t="s">
        <v>14</v>
      </c>
      <c r="I503" s="14" t="s">
        <v>705</v>
      </c>
      <c r="K503" s="21"/>
      <c r="L503" s="21"/>
      <c r="Q503" s="14" t="s">
        <v>455</v>
      </c>
      <c r="R503" s="14" t="s">
        <v>456</v>
      </c>
      <c r="T503" s="15">
        <v>302.54000000000002</v>
      </c>
      <c r="U503" s="15"/>
      <c r="V503" s="16">
        <f>+T503*12/(1.005)/1.04</f>
        <v>3473.4787600459249</v>
      </c>
      <c r="AB503" s="19"/>
      <c r="AC503" s="20"/>
      <c r="AD503" s="19"/>
      <c r="AE503" s="98"/>
    </row>
    <row r="504" spans="1:31" x14ac:dyDescent="0.3">
      <c r="A504" s="108">
        <v>504</v>
      </c>
      <c r="B504" s="46">
        <v>45565</v>
      </c>
      <c r="D504" s="13" t="s">
        <v>666</v>
      </c>
      <c r="E504" s="13" t="s">
        <v>51</v>
      </c>
      <c r="F504" s="13" t="s">
        <v>66</v>
      </c>
      <c r="G504" s="14" t="s">
        <v>20</v>
      </c>
      <c r="I504" s="14" t="s">
        <v>706</v>
      </c>
      <c r="K504" s="21">
        <v>912110608</v>
      </c>
      <c r="L504" s="21">
        <v>991017907</v>
      </c>
      <c r="M504" s="14" t="s">
        <v>88</v>
      </c>
      <c r="N504" s="14" t="s">
        <v>70</v>
      </c>
      <c r="O504" s="14" t="s">
        <v>706</v>
      </c>
      <c r="Q504" s="14" t="s">
        <v>307</v>
      </c>
      <c r="R504" s="14" t="s">
        <v>177</v>
      </c>
      <c r="T504" s="15">
        <v>233.79</v>
      </c>
      <c r="U504" s="15"/>
      <c r="V504" s="16">
        <f>+T504*12/(1.005)</f>
        <v>2791.5223880597018</v>
      </c>
      <c r="AB504" s="19"/>
      <c r="AC504" s="20"/>
      <c r="AD504" s="19"/>
      <c r="AE504" s="98"/>
    </row>
    <row r="505" spans="1:31" x14ac:dyDescent="0.3">
      <c r="A505" s="105">
        <v>505</v>
      </c>
      <c r="B505" s="46">
        <v>45565</v>
      </c>
      <c r="D505" s="13" t="s">
        <v>666</v>
      </c>
      <c r="E505" s="13" t="s">
        <v>51</v>
      </c>
      <c r="F505" s="13" t="s">
        <v>66</v>
      </c>
      <c r="G505" s="14" t="s">
        <v>20</v>
      </c>
      <c r="I505" s="14" t="s">
        <v>708</v>
      </c>
      <c r="K505" s="21"/>
      <c r="L505" s="21"/>
      <c r="Q505" s="14" t="s">
        <v>709</v>
      </c>
      <c r="R505" s="14" t="s">
        <v>710</v>
      </c>
      <c r="T505" s="15"/>
      <c r="U505" s="15"/>
      <c r="V505" s="16">
        <v>732</v>
      </c>
      <c r="AB505" s="19"/>
      <c r="AC505" s="20"/>
      <c r="AD505" s="19"/>
      <c r="AE505" s="98"/>
    </row>
    <row r="506" spans="1:31" x14ac:dyDescent="0.3">
      <c r="A506" s="107">
        <v>506</v>
      </c>
      <c r="B506" s="46">
        <v>45567</v>
      </c>
      <c r="D506" s="13" t="s">
        <v>784</v>
      </c>
      <c r="E506" s="13" t="s">
        <v>51</v>
      </c>
      <c r="F506" s="13" t="s">
        <v>52</v>
      </c>
      <c r="G506" s="14" t="s">
        <v>817</v>
      </c>
      <c r="H506" s="14">
        <v>4300430</v>
      </c>
      <c r="I506" s="14" t="s">
        <v>799</v>
      </c>
      <c r="K506" s="21"/>
      <c r="L506" s="21"/>
      <c r="Q506" s="14" t="s">
        <v>395</v>
      </c>
      <c r="R506" s="14" t="s">
        <v>62</v>
      </c>
      <c r="T506" s="15"/>
      <c r="U506" s="15"/>
      <c r="V506" s="16">
        <v>690.47</v>
      </c>
      <c r="AB506" s="19"/>
      <c r="AC506" s="20"/>
      <c r="AD506" s="19"/>
      <c r="AE506" s="98"/>
    </row>
    <row r="507" spans="1:31" x14ac:dyDescent="0.3">
      <c r="A507" s="108">
        <v>507</v>
      </c>
      <c r="B507" s="46">
        <v>45567</v>
      </c>
      <c r="D507" s="13" t="s">
        <v>784</v>
      </c>
      <c r="E507" s="13" t="s">
        <v>51</v>
      </c>
      <c r="F507" s="13" t="s">
        <v>52</v>
      </c>
      <c r="G507" s="14" t="s">
        <v>818</v>
      </c>
      <c r="I507" s="14" t="s">
        <v>800</v>
      </c>
      <c r="K507" s="21"/>
      <c r="L507" s="21"/>
      <c r="Q507" s="14" t="s">
        <v>307</v>
      </c>
      <c r="R507" s="14" t="s">
        <v>327</v>
      </c>
      <c r="T507" s="15"/>
      <c r="U507" s="15"/>
      <c r="V507" s="16">
        <v>1614.53</v>
      </c>
      <c r="AB507" s="19"/>
      <c r="AC507" s="20"/>
      <c r="AD507" s="19"/>
      <c r="AE507" s="98"/>
    </row>
    <row r="508" spans="1:31" x14ac:dyDescent="0.3">
      <c r="A508" s="105">
        <v>508</v>
      </c>
      <c r="B508" s="46">
        <v>45568</v>
      </c>
      <c r="D508" s="13" t="s">
        <v>784</v>
      </c>
      <c r="E508" s="13" t="s">
        <v>51</v>
      </c>
      <c r="F508" s="13" t="s">
        <v>52</v>
      </c>
      <c r="G508" s="14" t="s">
        <v>819</v>
      </c>
      <c r="H508" s="14" t="s">
        <v>821</v>
      </c>
      <c r="I508" s="14" t="s">
        <v>801</v>
      </c>
      <c r="K508" s="21"/>
      <c r="L508" s="21"/>
      <c r="Q508" s="14" t="s">
        <v>3</v>
      </c>
      <c r="R508" s="14" t="s">
        <v>64</v>
      </c>
      <c r="T508" s="15"/>
      <c r="U508" s="15"/>
      <c r="V508" s="16">
        <v>331.62</v>
      </c>
      <c r="AB508" s="19"/>
      <c r="AC508" s="20"/>
      <c r="AD508" s="19"/>
      <c r="AE508" s="98"/>
    </row>
    <row r="509" spans="1:31" x14ac:dyDescent="0.3">
      <c r="A509" s="107">
        <v>509</v>
      </c>
      <c r="B509" s="46">
        <v>45572</v>
      </c>
      <c r="D509" s="13" t="s">
        <v>784</v>
      </c>
      <c r="E509" s="13" t="s">
        <v>51</v>
      </c>
      <c r="F509" s="13" t="s">
        <v>52</v>
      </c>
      <c r="G509" s="14" t="s">
        <v>566</v>
      </c>
      <c r="H509" s="14">
        <v>4300658</v>
      </c>
      <c r="I509" s="14" t="s">
        <v>802</v>
      </c>
      <c r="K509" s="21"/>
      <c r="L509" s="21"/>
      <c r="Q509" s="14" t="s">
        <v>395</v>
      </c>
      <c r="R509" s="14" t="s">
        <v>115</v>
      </c>
      <c r="T509" s="15"/>
      <c r="U509" s="15"/>
      <c r="V509" s="16">
        <v>862.28</v>
      </c>
      <c r="AB509" s="19"/>
      <c r="AC509" s="20"/>
      <c r="AD509" s="19"/>
      <c r="AE509" s="98"/>
    </row>
    <row r="510" spans="1:31" x14ac:dyDescent="0.3">
      <c r="A510" s="108">
        <v>510</v>
      </c>
      <c r="B510" s="46">
        <v>45573</v>
      </c>
      <c r="D510" s="13" t="s">
        <v>784</v>
      </c>
      <c r="E510" s="13" t="s">
        <v>51</v>
      </c>
      <c r="F510" s="13" t="s">
        <v>52</v>
      </c>
      <c r="G510" s="14" t="s">
        <v>155</v>
      </c>
      <c r="H510" s="14">
        <v>4300558</v>
      </c>
      <c r="I510" s="14" t="s">
        <v>803</v>
      </c>
      <c r="K510" s="21"/>
      <c r="L510" s="21"/>
      <c r="Q510" s="14" t="s">
        <v>395</v>
      </c>
      <c r="R510" s="14" t="s">
        <v>115</v>
      </c>
      <c r="T510" s="15"/>
      <c r="U510" s="15"/>
      <c r="V510" s="16">
        <v>4720.82</v>
      </c>
      <c r="AB510" s="19"/>
      <c r="AC510" s="20"/>
      <c r="AD510" s="19"/>
      <c r="AE510" s="98"/>
    </row>
    <row r="511" spans="1:31" x14ac:dyDescent="0.3">
      <c r="A511" s="105">
        <v>511</v>
      </c>
      <c r="B511" s="46">
        <v>45573</v>
      </c>
      <c r="D511" s="13" t="s">
        <v>784</v>
      </c>
      <c r="E511" s="13" t="s">
        <v>51</v>
      </c>
      <c r="F511" s="13" t="s">
        <v>66</v>
      </c>
      <c r="G511" s="14" t="s">
        <v>12</v>
      </c>
      <c r="I511" s="14" t="s">
        <v>785</v>
      </c>
      <c r="K511" s="21">
        <v>905506663</v>
      </c>
      <c r="L511" s="21">
        <v>994830334</v>
      </c>
      <c r="M511" s="14" t="s">
        <v>700</v>
      </c>
      <c r="N511" s="14" t="s">
        <v>70</v>
      </c>
      <c r="O511" s="14" t="s">
        <v>142</v>
      </c>
      <c r="P511" s="14" t="s">
        <v>71</v>
      </c>
      <c r="Q511" s="14" t="s">
        <v>148</v>
      </c>
      <c r="R511" s="14" t="s">
        <v>512</v>
      </c>
      <c r="T511" s="15">
        <v>142.96</v>
      </c>
      <c r="U511" s="15"/>
      <c r="V511" s="16">
        <f>Tabla1[[#This Row],[PAGO MENSUAL]]*12/(1.005)</f>
        <v>1706.9850746268658</v>
      </c>
      <c r="AB511" s="19"/>
      <c r="AC511" s="20"/>
      <c r="AD511" s="19"/>
      <c r="AE511" s="98"/>
    </row>
    <row r="512" spans="1:31" x14ac:dyDescent="0.3">
      <c r="A512" s="107">
        <v>512</v>
      </c>
      <c r="B512" s="46">
        <v>45574</v>
      </c>
      <c r="D512" s="13" t="s">
        <v>784</v>
      </c>
      <c r="E512" s="13" t="s">
        <v>51</v>
      </c>
      <c r="F512" s="13" t="s">
        <v>66</v>
      </c>
      <c r="G512" s="14" t="s">
        <v>674</v>
      </c>
      <c r="H512" s="14">
        <v>35030</v>
      </c>
      <c r="I512" s="14" t="s">
        <v>868</v>
      </c>
      <c r="K512" s="21"/>
      <c r="L512" s="21"/>
      <c r="Q512" s="14" t="s">
        <v>477</v>
      </c>
      <c r="R512" s="14" t="s">
        <v>421</v>
      </c>
      <c r="T512" s="15">
        <v>159.22</v>
      </c>
      <c r="U512" s="15"/>
      <c r="V512" s="16">
        <f>Tabla1[[#This Row],[PAGO MENSUAL]]*12/1.09</f>
        <v>1752.8807339449538</v>
      </c>
      <c r="AB512" s="19"/>
      <c r="AC512" s="20"/>
      <c r="AD512" s="19"/>
      <c r="AE512" s="98"/>
    </row>
    <row r="513" spans="1:31" x14ac:dyDescent="0.3">
      <c r="A513" s="108">
        <v>513</v>
      </c>
      <c r="B513" s="46">
        <v>45575</v>
      </c>
      <c r="D513" s="13" t="s">
        <v>784</v>
      </c>
      <c r="E513" s="13" t="s">
        <v>51</v>
      </c>
      <c r="F513" s="13" t="s">
        <v>52</v>
      </c>
      <c r="G513" s="14" t="s">
        <v>155</v>
      </c>
      <c r="H513" s="14">
        <v>4300798</v>
      </c>
      <c r="I513" s="14" t="s">
        <v>804</v>
      </c>
      <c r="K513" s="21"/>
      <c r="L513" s="21"/>
      <c r="Q513" s="14" t="s">
        <v>395</v>
      </c>
      <c r="R513" s="14" t="s">
        <v>823</v>
      </c>
      <c r="T513" s="15"/>
      <c r="U513" s="15"/>
      <c r="V513" s="16">
        <v>222.78</v>
      </c>
      <c r="AB513" s="19"/>
      <c r="AC513" s="20"/>
      <c r="AD513" s="19"/>
      <c r="AE513" s="98"/>
    </row>
    <row r="514" spans="1:31" x14ac:dyDescent="0.3">
      <c r="A514" s="105">
        <v>514</v>
      </c>
      <c r="B514" s="46">
        <v>45575</v>
      </c>
      <c r="D514" s="13" t="s">
        <v>784</v>
      </c>
      <c r="E514" s="13" t="s">
        <v>51</v>
      </c>
      <c r="F514" s="13" t="s">
        <v>52</v>
      </c>
      <c r="G514" s="14" t="s">
        <v>566</v>
      </c>
      <c r="I514" s="14" t="s">
        <v>805</v>
      </c>
      <c r="K514" s="21"/>
      <c r="L514" s="21"/>
      <c r="Q514" s="14" t="s">
        <v>477</v>
      </c>
      <c r="R514" s="14" t="s">
        <v>824</v>
      </c>
      <c r="T514" s="15"/>
      <c r="U514" s="15"/>
      <c r="V514" s="16">
        <v>2545.7600000000002</v>
      </c>
      <c r="AB514" s="19"/>
      <c r="AC514" s="20"/>
      <c r="AD514" s="19"/>
      <c r="AE514" s="98"/>
    </row>
    <row r="515" spans="1:31" x14ac:dyDescent="0.3">
      <c r="A515" s="107">
        <v>515</v>
      </c>
      <c r="B515" s="46">
        <v>45575</v>
      </c>
      <c r="D515" s="13" t="s">
        <v>784</v>
      </c>
      <c r="E515" s="13" t="s">
        <v>51</v>
      </c>
      <c r="F515" s="13" t="s">
        <v>66</v>
      </c>
      <c r="H515" s="14">
        <v>35039</v>
      </c>
      <c r="I515" s="14" t="s">
        <v>869</v>
      </c>
      <c r="K515" s="21"/>
      <c r="L515" s="21"/>
      <c r="Q515" s="14" t="s">
        <v>477</v>
      </c>
      <c r="T515" s="15"/>
      <c r="U515" s="15"/>
      <c r="V515" s="16">
        <f>Tabla1[[#This Row],[PAGO MENSUAL]]*12/1.09</f>
        <v>0</v>
      </c>
      <c r="AB515" s="19"/>
      <c r="AC515" s="20"/>
      <c r="AD515" s="19"/>
      <c r="AE515" s="98"/>
    </row>
    <row r="516" spans="1:31" x14ac:dyDescent="0.3">
      <c r="A516" s="108">
        <v>516</v>
      </c>
      <c r="B516" s="46">
        <v>45575</v>
      </c>
      <c r="D516" s="13" t="s">
        <v>784</v>
      </c>
      <c r="E516" s="13" t="s">
        <v>51</v>
      </c>
      <c r="F516" s="13" t="s">
        <v>66</v>
      </c>
      <c r="G516" s="14" t="s">
        <v>16</v>
      </c>
      <c r="H516" s="14">
        <v>35055</v>
      </c>
      <c r="I516" s="14" t="s">
        <v>870</v>
      </c>
      <c r="K516" s="21"/>
      <c r="L516" s="21"/>
      <c r="Q516" s="14" t="s">
        <v>2</v>
      </c>
      <c r="T516" s="15"/>
      <c r="U516" s="15"/>
      <c r="V516" s="16">
        <f>Tabla1[[#This Row],[PAGO MENSUAL]]*12/1.09</f>
        <v>0</v>
      </c>
      <c r="AB516" s="19"/>
      <c r="AC516" s="20"/>
      <c r="AD516" s="19"/>
      <c r="AE516" s="98"/>
    </row>
    <row r="517" spans="1:31" x14ac:dyDescent="0.3">
      <c r="A517" s="105">
        <v>517</v>
      </c>
      <c r="B517" s="46">
        <v>45579</v>
      </c>
      <c r="D517" s="13" t="s">
        <v>784</v>
      </c>
      <c r="E517" s="13" t="s">
        <v>51</v>
      </c>
      <c r="F517" s="13" t="s">
        <v>52</v>
      </c>
      <c r="G517" s="14" t="s">
        <v>820</v>
      </c>
      <c r="H517" s="14">
        <v>4301039</v>
      </c>
      <c r="I517" s="14" t="s">
        <v>806</v>
      </c>
      <c r="K517" s="21"/>
      <c r="L517" s="21"/>
      <c r="Q517" s="14" t="s">
        <v>395</v>
      </c>
      <c r="T517" s="15"/>
      <c r="U517" s="15"/>
      <c r="V517" s="16">
        <v>1742.62</v>
      </c>
      <c r="AB517" s="19"/>
      <c r="AC517" s="20"/>
      <c r="AD517" s="19"/>
      <c r="AE517" s="98"/>
    </row>
    <row r="518" spans="1:31" x14ac:dyDescent="0.3">
      <c r="A518" s="107">
        <v>518</v>
      </c>
      <c r="B518" s="46">
        <v>45579</v>
      </c>
      <c r="D518" s="13" t="s">
        <v>784</v>
      </c>
      <c r="E518" s="13" t="s">
        <v>51</v>
      </c>
      <c r="F518" s="13" t="s">
        <v>52</v>
      </c>
      <c r="G518" s="14" t="s">
        <v>396</v>
      </c>
      <c r="H518" s="14">
        <v>4300994</v>
      </c>
      <c r="I518" s="14" t="s">
        <v>807</v>
      </c>
      <c r="K518" s="21"/>
      <c r="L518" s="21"/>
      <c r="Q518" s="14" t="s">
        <v>395</v>
      </c>
      <c r="R518" s="14" t="s">
        <v>80</v>
      </c>
      <c r="T518" s="15"/>
      <c r="U518" s="15"/>
      <c r="V518" s="16">
        <v>4006.56</v>
      </c>
      <c r="AB518" s="19"/>
      <c r="AC518" s="20"/>
      <c r="AD518" s="19"/>
      <c r="AE518" s="98"/>
    </row>
    <row r="519" spans="1:31" x14ac:dyDescent="0.3">
      <c r="A519" s="108">
        <v>519</v>
      </c>
      <c r="B519" s="46">
        <v>45579</v>
      </c>
      <c r="D519" s="13" t="s">
        <v>784</v>
      </c>
      <c r="E519" s="13" t="s">
        <v>51</v>
      </c>
      <c r="F519" s="13" t="s">
        <v>66</v>
      </c>
      <c r="G519" s="14" t="s">
        <v>790</v>
      </c>
      <c r="I519" s="14" t="s">
        <v>791</v>
      </c>
      <c r="K519" s="21">
        <v>923070841</v>
      </c>
      <c r="L519" s="21">
        <v>985470425</v>
      </c>
      <c r="M519" s="14" t="s">
        <v>700</v>
      </c>
      <c r="N519" s="14" t="s">
        <v>70</v>
      </c>
      <c r="O519" s="14" t="s">
        <v>791</v>
      </c>
      <c r="Q519" s="14" t="s">
        <v>307</v>
      </c>
      <c r="R519" s="14" t="s">
        <v>169</v>
      </c>
      <c r="T519" s="15">
        <v>180.92</v>
      </c>
      <c r="U519" s="15"/>
      <c r="V519" s="16">
        <f>+T519*12/(1.005)</f>
        <v>2160.2388059701493</v>
      </c>
      <c r="AB519" s="19"/>
      <c r="AC519" s="20"/>
      <c r="AD519" s="19"/>
      <c r="AE519" s="98"/>
    </row>
    <row r="520" spans="1:31" x14ac:dyDescent="0.3">
      <c r="A520" s="105">
        <v>520</v>
      </c>
      <c r="B520" s="46">
        <v>45579</v>
      </c>
      <c r="C520" s="46">
        <v>45581</v>
      </c>
      <c r="D520" s="13" t="s">
        <v>784</v>
      </c>
      <c r="E520" s="13" t="s">
        <v>51</v>
      </c>
      <c r="F520" s="13" t="s">
        <v>66</v>
      </c>
      <c r="G520" s="14" t="s">
        <v>158</v>
      </c>
      <c r="H520" s="14" t="s">
        <v>798</v>
      </c>
      <c r="I520" s="14" t="s">
        <v>794</v>
      </c>
      <c r="K520" s="21"/>
      <c r="L520" s="21"/>
      <c r="Q520" s="14" t="s">
        <v>3</v>
      </c>
      <c r="R520" s="14" t="s">
        <v>64</v>
      </c>
      <c r="T520" s="15">
        <f>432.24/12</f>
        <v>36.020000000000003</v>
      </c>
      <c r="U520" s="15"/>
      <c r="V520" s="16">
        <f>+(T520*12)/1.005-65</f>
        <v>365.08955223880605</v>
      </c>
      <c r="AB520" s="19"/>
      <c r="AC520" s="20"/>
      <c r="AD520" s="19"/>
      <c r="AE520" s="98"/>
    </row>
    <row r="521" spans="1:31" x14ac:dyDescent="0.3">
      <c r="A521" s="107">
        <v>521</v>
      </c>
      <c r="B521" s="46">
        <v>45580</v>
      </c>
      <c r="D521" s="13" t="s">
        <v>784</v>
      </c>
      <c r="E521" s="13" t="s">
        <v>51</v>
      </c>
      <c r="F521" s="13" t="s">
        <v>52</v>
      </c>
      <c r="G521" s="14" t="s">
        <v>583</v>
      </c>
      <c r="H521" s="14">
        <v>4301662</v>
      </c>
      <c r="I521" s="14" t="s">
        <v>808</v>
      </c>
      <c r="K521" s="21"/>
      <c r="L521" s="21"/>
      <c r="Q521" s="14" t="s">
        <v>395</v>
      </c>
      <c r="R521" s="14" t="s">
        <v>825</v>
      </c>
      <c r="T521" s="15"/>
      <c r="U521" s="15"/>
      <c r="V521" s="16">
        <v>2613.52</v>
      </c>
      <c r="AB521" s="19"/>
      <c r="AC521" s="20"/>
      <c r="AD521" s="19"/>
      <c r="AE521" s="98"/>
    </row>
    <row r="522" spans="1:31" x14ac:dyDescent="0.3">
      <c r="A522" s="108">
        <v>522</v>
      </c>
      <c r="B522" s="46">
        <v>45580</v>
      </c>
      <c r="D522" s="13" t="s">
        <v>784</v>
      </c>
      <c r="E522" s="13" t="s">
        <v>51</v>
      </c>
      <c r="F522" s="13" t="s">
        <v>52</v>
      </c>
      <c r="G522" s="14" t="s">
        <v>459</v>
      </c>
      <c r="H522" s="14">
        <v>4301233</v>
      </c>
      <c r="I522" s="14" t="s">
        <v>809</v>
      </c>
      <c r="K522" s="21"/>
      <c r="L522" s="21"/>
      <c r="Q522" s="14" t="s">
        <v>395</v>
      </c>
      <c r="R522" s="14" t="s">
        <v>776</v>
      </c>
      <c r="T522" s="15"/>
      <c r="U522" s="15"/>
      <c r="V522" s="16">
        <v>764.38</v>
      </c>
      <c r="AB522" s="19"/>
      <c r="AC522" s="20"/>
      <c r="AD522" s="19"/>
      <c r="AE522" s="98"/>
    </row>
    <row r="523" spans="1:31" x14ac:dyDescent="0.3">
      <c r="A523" s="105">
        <v>523</v>
      </c>
      <c r="B523" s="46">
        <v>45580</v>
      </c>
      <c r="D523" s="13" t="s">
        <v>666</v>
      </c>
      <c r="E523" s="13" t="s">
        <v>51</v>
      </c>
      <c r="F523" s="13" t="s">
        <v>66</v>
      </c>
      <c r="G523" s="14" t="s">
        <v>14</v>
      </c>
      <c r="I523" s="14" t="s">
        <v>786</v>
      </c>
      <c r="K523" s="21"/>
      <c r="L523" s="21"/>
      <c r="Q523" s="14" t="s">
        <v>455</v>
      </c>
      <c r="T523" s="15">
        <v>253.05</v>
      </c>
      <c r="U523" s="15"/>
      <c r="V523" s="16">
        <f>Tabla1[[#This Row],[PAGO MENSUAL]]*12/(1.005)</f>
        <v>3021.4925373134333</v>
      </c>
      <c r="AB523" s="19"/>
      <c r="AC523" s="20"/>
      <c r="AD523" s="19"/>
      <c r="AE523" s="98"/>
    </row>
    <row r="524" spans="1:31" x14ac:dyDescent="0.3">
      <c r="A524" s="107">
        <v>524</v>
      </c>
      <c r="B524" s="46">
        <v>45580</v>
      </c>
      <c r="C524" s="46">
        <v>45581</v>
      </c>
      <c r="D524" s="13" t="s">
        <v>784</v>
      </c>
      <c r="E524" s="13" t="s">
        <v>51</v>
      </c>
      <c r="F524" s="13" t="s">
        <v>66</v>
      </c>
      <c r="G524" s="14" t="s">
        <v>240</v>
      </c>
      <c r="H524" s="14" t="s">
        <v>797</v>
      </c>
      <c r="I524" s="14" t="s">
        <v>241</v>
      </c>
      <c r="K524" s="21"/>
      <c r="L524" s="21"/>
      <c r="Q524" s="14" t="s">
        <v>3</v>
      </c>
      <c r="R524" s="14" t="s">
        <v>64</v>
      </c>
      <c r="T524" s="15">
        <f>710.04/12</f>
        <v>59.169999999999995</v>
      </c>
      <c r="U524" s="15"/>
      <c r="V524" s="16">
        <f>+(T524*12)/1.005-65</f>
        <v>641.50746268656724</v>
      </c>
      <c r="AB524" s="19"/>
      <c r="AC524" s="20"/>
      <c r="AD524" s="19"/>
      <c r="AE524" s="98"/>
    </row>
    <row r="525" spans="1:31" x14ac:dyDescent="0.3">
      <c r="A525" s="108">
        <v>525</v>
      </c>
      <c r="B525" s="46">
        <v>45581</v>
      </c>
      <c r="D525" s="13" t="s">
        <v>784</v>
      </c>
      <c r="E525" s="13" t="s">
        <v>51</v>
      </c>
      <c r="F525" s="13" t="s">
        <v>52</v>
      </c>
      <c r="G525" s="14" t="s">
        <v>155</v>
      </c>
      <c r="H525" s="14">
        <v>4301148</v>
      </c>
      <c r="I525" s="14" t="s">
        <v>810</v>
      </c>
      <c r="K525" s="21"/>
      <c r="L525" s="21"/>
      <c r="Q525" s="14" t="s">
        <v>395</v>
      </c>
      <c r="R525" s="14" t="s">
        <v>115</v>
      </c>
      <c r="T525" s="15"/>
      <c r="U525" s="15"/>
      <c r="V525" s="16">
        <v>3136.14</v>
      </c>
      <c r="AB525" s="19"/>
      <c r="AC525" s="20"/>
      <c r="AD525" s="19"/>
      <c r="AE525" s="98"/>
    </row>
    <row r="526" spans="1:31" x14ac:dyDescent="0.3">
      <c r="A526" s="105">
        <v>526</v>
      </c>
      <c r="B526" s="46">
        <v>45581</v>
      </c>
      <c r="D526" s="13" t="s">
        <v>784</v>
      </c>
      <c r="E526" s="13" t="s">
        <v>51</v>
      </c>
      <c r="F526" s="13" t="s">
        <v>66</v>
      </c>
      <c r="G526" s="14" t="s">
        <v>20</v>
      </c>
      <c r="I526" s="14" t="s">
        <v>789</v>
      </c>
      <c r="K526" s="21">
        <v>1305139642</v>
      </c>
      <c r="L526" s="21">
        <v>994031356</v>
      </c>
      <c r="M526" s="14" t="s">
        <v>700</v>
      </c>
      <c r="N526" s="14" t="s">
        <v>70</v>
      </c>
      <c r="O526" s="14" t="s">
        <v>789</v>
      </c>
      <c r="P526" s="14" t="s">
        <v>71</v>
      </c>
      <c r="Q526" s="14" t="s">
        <v>307</v>
      </c>
      <c r="R526" s="14" t="s">
        <v>177</v>
      </c>
      <c r="T526" s="15">
        <v>90.91</v>
      </c>
      <c r="U526" s="15"/>
      <c r="V526" s="16">
        <f>+T526*12/(1.005)</f>
        <v>1085.4925373134331</v>
      </c>
      <c r="AB526" s="19"/>
      <c r="AC526" s="20"/>
      <c r="AD526" s="19"/>
      <c r="AE526" s="98"/>
    </row>
    <row r="527" spans="1:31" x14ac:dyDescent="0.3">
      <c r="A527" s="107">
        <v>527</v>
      </c>
      <c r="B527" s="46">
        <v>45582</v>
      </c>
      <c r="C527" s="46">
        <v>45597</v>
      </c>
      <c r="D527" s="13" t="s">
        <v>784</v>
      </c>
      <c r="E527" s="13" t="s">
        <v>51</v>
      </c>
      <c r="F527" s="13" t="s">
        <v>66</v>
      </c>
      <c r="G527" s="14" t="s">
        <v>790</v>
      </c>
      <c r="H527" s="14" t="s">
        <v>796</v>
      </c>
      <c r="I527" s="14" t="s">
        <v>793</v>
      </c>
      <c r="K527" s="21"/>
      <c r="L527" s="21"/>
      <c r="Q527" s="14" t="s">
        <v>3</v>
      </c>
      <c r="R527" s="14" t="s">
        <v>64</v>
      </c>
      <c r="T527" s="15">
        <f>518.88/12</f>
        <v>43.24</v>
      </c>
      <c r="U527" s="15"/>
      <c r="V527" s="16">
        <f>+(T527*12)/1.005-65</f>
        <v>451.29850746268664</v>
      </c>
      <c r="AB527" s="19"/>
      <c r="AC527" s="20"/>
      <c r="AD527" s="19"/>
      <c r="AE527" s="98"/>
    </row>
    <row r="528" spans="1:31" x14ac:dyDescent="0.3">
      <c r="A528" s="108">
        <v>528</v>
      </c>
      <c r="B528" s="46">
        <v>45583</v>
      </c>
      <c r="D528" s="13" t="s">
        <v>784</v>
      </c>
      <c r="E528" s="13" t="s">
        <v>51</v>
      </c>
      <c r="F528" s="13" t="s">
        <v>52</v>
      </c>
      <c r="G528" s="14" t="s">
        <v>155</v>
      </c>
      <c r="H528" s="14">
        <v>4301422</v>
      </c>
      <c r="I528" s="14" t="s">
        <v>811</v>
      </c>
      <c r="K528" s="21"/>
      <c r="L528" s="21"/>
      <c r="Q528" s="14" t="s">
        <v>395</v>
      </c>
      <c r="R528" s="14" t="s">
        <v>265</v>
      </c>
      <c r="T528" s="15"/>
      <c r="U528" s="15"/>
      <c r="V528" s="16">
        <v>1275.4100000000001</v>
      </c>
      <c r="AB528" s="19"/>
      <c r="AC528" s="20"/>
      <c r="AD528" s="19"/>
      <c r="AE528" s="98"/>
    </row>
    <row r="529" spans="1:31" x14ac:dyDescent="0.3">
      <c r="A529" s="105">
        <v>529</v>
      </c>
      <c r="B529" s="46">
        <v>45583</v>
      </c>
      <c r="D529" s="13" t="s">
        <v>784</v>
      </c>
      <c r="E529" s="13" t="s">
        <v>51</v>
      </c>
      <c r="F529" s="13" t="s">
        <v>66</v>
      </c>
      <c r="G529" s="14" t="s">
        <v>11</v>
      </c>
      <c r="I529" s="14" t="s">
        <v>787</v>
      </c>
      <c r="J529" s="14" t="s">
        <v>788</v>
      </c>
      <c r="K529" s="21">
        <v>965787880</v>
      </c>
      <c r="L529" s="21">
        <v>968228554</v>
      </c>
      <c r="M529" s="14" t="s">
        <v>700</v>
      </c>
      <c r="N529" s="14" t="s">
        <v>70</v>
      </c>
      <c r="O529" s="14" t="s">
        <v>787</v>
      </c>
      <c r="Q529" s="14" t="s">
        <v>148</v>
      </c>
      <c r="R529" s="14" t="s">
        <v>512</v>
      </c>
      <c r="T529" s="15">
        <v>109.07</v>
      </c>
      <c r="U529" s="15"/>
      <c r="V529" s="16">
        <f>Tabla1[[#This Row],[PAGO MENSUAL]]*12/(1.005)</f>
        <v>1302.3283582089553</v>
      </c>
      <c r="AB529" s="19"/>
      <c r="AC529" s="20"/>
      <c r="AD529" s="19"/>
      <c r="AE529" s="98"/>
    </row>
    <row r="530" spans="1:31" x14ac:dyDescent="0.3">
      <c r="A530" s="107">
        <v>530</v>
      </c>
      <c r="B530" s="46">
        <v>45586</v>
      </c>
      <c r="D530" s="13" t="s">
        <v>784</v>
      </c>
      <c r="E530" s="13" t="s">
        <v>51</v>
      </c>
      <c r="F530" s="13" t="s">
        <v>52</v>
      </c>
      <c r="G530" s="14" t="s">
        <v>483</v>
      </c>
      <c r="H530" s="14">
        <v>4301465</v>
      </c>
      <c r="I530" s="14" t="s">
        <v>812</v>
      </c>
      <c r="K530" s="21"/>
      <c r="L530" s="21"/>
      <c r="Q530" s="14" t="s">
        <v>395</v>
      </c>
      <c r="R530" s="14" t="s">
        <v>171</v>
      </c>
      <c r="T530" s="15"/>
      <c r="U530" s="15"/>
      <c r="V530" s="16">
        <v>904.07</v>
      </c>
      <c r="AB530" s="19"/>
      <c r="AC530" s="20"/>
      <c r="AD530" s="19"/>
      <c r="AE530" s="98"/>
    </row>
    <row r="531" spans="1:31" x14ac:dyDescent="0.3">
      <c r="A531" s="108">
        <v>531</v>
      </c>
      <c r="B531" s="46">
        <v>45587</v>
      </c>
      <c r="D531" s="13" t="s">
        <v>784</v>
      </c>
      <c r="E531" s="13" t="s">
        <v>51</v>
      </c>
      <c r="F531" s="13" t="s">
        <v>52</v>
      </c>
      <c r="G531" s="14" t="s">
        <v>459</v>
      </c>
      <c r="H531" s="14">
        <v>4301494</v>
      </c>
      <c r="I531" s="14" t="s">
        <v>813</v>
      </c>
      <c r="K531" s="21"/>
      <c r="L531" s="21"/>
      <c r="Q531" s="14" t="s">
        <v>395</v>
      </c>
      <c r="R531" s="14" t="s">
        <v>825</v>
      </c>
      <c r="T531" s="15"/>
      <c r="U531" s="15"/>
      <c r="V531" s="16">
        <v>3988.89</v>
      </c>
      <c r="AB531" s="19"/>
      <c r="AC531" s="20"/>
      <c r="AD531" s="19"/>
      <c r="AE531" s="98"/>
    </row>
    <row r="532" spans="1:31" x14ac:dyDescent="0.3">
      <c r="A532" s="105">
        <v>532</v>
      </c>
      <c r="B532" s="46">
        <v>45587</v>
      </c>
      <c r="C532" s="46">
        <v>45597</v>
      </c>
      <c r="D532" s="13" t="s">
        <v>784</v>
      </c>
      <c r="E532" s="13" t="s">
        <v>51</v>
      </c>
      <c r="F532" s="13" t="s">
        <v>66</v>
      </c>
      <c r="G532" s="14" t="s">
        <v>21</v>
      </c>
      <c r="H532" s="14" t="s">
        <v>795</v>
      </c>
      <c r="I532" s="14" t="s">
        <v>464</v>
      </c>
      <c r="K532" s="21"/>
      <c r="L532" s="21"/>
      <c r="Q532" s="14" t="s">
        <v>3</v>
      </c>
      <c r="R532" s="14" t="s">
        <v>64</v>
      </c>
      <c r="T532" s="15">
        <f>334.44/12</f>
        <v>27.87</v>
      </c>
      <c r="U532" s="15"/>
      <c r="V532" s="16">
        <f>+(T532*12)/1.005-65</f>
        <v>267.7761194029851</v>
      </c>
      <c r="AB532" s="19"/>
      <c r="AC532" s="20"/>
      <c r="AD532" s="19"/>
      <c r="AE532" s="98"/>
    </row>
    <row r="533" spans="1:31" x14ac:dyDescent="0.3">
      <c r="A533" s="107">
        <v>533</v>
      </c>
      <c r="B533" s="46">
        <v>45588</v>
      </c>
      <c r="D533" s="13" t="s">
        <v>784</v>
      </c>
      <c r="E533" s="13" t="s">
        <v>51</v>
      </c>
      <c r="F533" s="13" t="s">
        <v>52</v>
      </c>
      <c r="G533" s="14" t="s">
        <v>487</v>
      </c>
      <c r="H533" s="14" t="s">
        <v>822</v>
      </c>
      <c r="I533" s="14" t="s">
        <v>814</v>
      </c>
      <c r="K533" s="21"/>
      <c r="L533" s="21"/>
      <c r="Q533" s="14" t="s">
        <v>3</v>
      </c>
      <c r="R533" s="14" t="s">
        <v>64</v>
      </c>
      <c r="T533" s="15"/>
      <c r="U533" s="15"/>
      <c r="V533" s="16">
        <v>2092.4</v>
      </c>
      <c r="AB533" s="19"/>
      <c r="AC533" s="20"/>
      <c r="AD533" s="19"/>
      <c r="AE533" s="98"/>
    </row>
    <row r="534" spans="1:31" x14ac:dyDescent="0.3">
      <c r="A534" s="108">
        <v>534</v>
      </c>
      <c r="B534" s="46">
        <v>45588</v>
      </c>
      <c r="D534" s="13" t="s">
        <v>784</v>
      </c>
      <c r="E534" s="13" t="s">
        <v>51</v>
      </c>
      <c r="F534" s="13" t="s">
        <v>52</v>
      </c>
      <c r="G534" s="14" t="s">
        <v>396</v>
      </c>
      <c r="H534" s="14">
        <v>4301632</v>
      </c>
      <c r="I534" s="14" t="s">
        <v>815</v>
      </c>
      <c r="K534" s="21"/>
      <c r="L534" s="21"/>
      <c r="Q534" s="14" t="s">
        <v>395</v>
      </c>
      <c r="R534" s="14" t="s">
        <v>62</v>
      </c>
      <c r="T534" s="15"/>
      <c r="U534" s="15"/>
      <c r="V534" s="16">
        <v>690.47</v>
      </c>
      <c r="AB534" s="19"/>
      <c r="AC534" s="20"/>
      <c r="AD534" s="19"/>
      <c r="AE534" s="98"/>
    </row>
    <row r="535" spans="1:31" x14ac:dyDescent="0.3">
      <c r="A535" s="105">
        <v>535</v>
      </c>
      <c r="B535" s="46">
        <v>45588</v>
      </c>
      <c r="D535" s="13" t="s">
        <v>784</v>
      </c>
      <c r="E535" s="13" t="s">
        <v>51</v>
      </c>
      <c r="F535" s="13" t="s">
        <v>66</v>
      </c>
      <c r="G535" s="14" t="s">
        <v>14</v>
      </c>
      <c r="I535" s="14" t="s">
        <v>871</v>
      </c>
      <c r="K535" s="21"/>
      <c r="L535" s="21"/>
      <c r="Q535" s="14" t="s">
        <v>307</v>
      </c>
      <c r="R535" s="14" t="s">
        <v>295</v>
      </c>
      <c r="T535" s="15">
        <v>143.53</v>
      </c>
      <c r="U535" s="15"/>
      <c r="V535" s="16">
        <f>+T535*12/(1.005)</f>
        <v>1713.7910447761196</v>
      </c>
      <c r="AB535" s="19"/>
      <c r="AC535" s="20"/>
      <c r="AD535" s="19"/>
      <c r="AE535" s="98"/>
    </row>
    <row r="536" spans="1:31" x14ac:dyDescent="0.3">
      <c r="A536" s="107">
        <v>536</v>
      </c>
      <c r="B536" s="46">
        <v>45589</v>
      </c>
      <c r="C536" s="46">
        <v>45589</v>
      </c>
      <c r="D536" s="13" t="s">
        <v>784</v>
      </c>
      <c r="E536" s="13" t="s">
        <v>51</v>
      </c>
      <c r="F536" s="13" t="s">
        <v>66</v>
      </c>
      <c r="G536" s="14" t="s">
        <v>14</v>
      </c>
      <c r="H536" s="14">
        <v>4301753</v>
      </c>
      <c r="I536" s="14" t="s">
        <v>864</v>
      </c>
      <c r="K536" s="21"/>
      <c r="L536" s="21"/>
      <c r="Q536" s="14" t="s">
        <v>395</v>
      </c>
      <c r="R536" s="14" t="s">
        <v>59</v>
      </c>
      <c r="T536" s="15">
        <v>126.28</v>
      </c>
      <c r="U536" s="15"/>
      <c r="V536" s="16">
        <f>Tabla1[[#This Row],[PAGO MENSUAL]]*12</f>
        <v>1515.3600000000001</v>
      </c>
      <c r="AB536" s="19"/>
      <c r="AC536" s="20"/>
      <c r="AD536" s="19"/>
      <c r="AE536" s="98"/>
    </row>
    <row r="537" spans="1:31" x14ac:dyDescent="0.3">
      <c r="A537" s="108">
        <v>537</v>
      </c>
      <c r="B537" s="46">
        <v>45589</v>
      </c>
      <c r="D537" s="13" t="s">
        <v>784</v>
      </c>
      <c r="E537" s="13" t="s">
        <v>51</v>
      </c>
      <c r="F537" s="13" t="s">
        <v>66</v>
      </c>
      <c r="G537" s="14" t="s">
        <v>16</v>
      </c>
      <c r="I537" s="14" t="s">
        <v>872</v>
      </c>
      <c r="K537" s="21"/>
      <c r="L537" s="21"/>
      <c r="Q537" s="14" t="s">
        <v>3</v>
      </c>
      <c r="R537" s="14" t="s">
        <v>64</v>
      </c>
      <c r="T537" s="15">
        <v>86.81</v>
      </c>
      <c r="U537" s="15"/>
      <c r="V537" s="16">
        <f>+(T537*12)/1.005-65</f>
        <v>971.53731343283584</v>
      </c>
      <c r="AB537" s="19"/>
      <c r="AC537" s="20"/>
      <c r="AD537" s="19"/>
      <c r="AE537" s="98"/>
    </row>
    <row r="538" spans="1:31" x14ac:dyDescent="0.3">
      <c r="A538" s="105">
        <v>538</v>
      </c>
      <c r="B538" s="46">
        <v>45590</v>
      </c>
      <c r="D538" s="13" t="s">
        <v>784</v>
      </c>
      <c r="E538" s="13" t="s">
        <v>51</v>
      </c>
      <c r="F538" s="13" t="s">
        <v>66</v>
      </c>
      <c r="G538" s="14" t="s">
        <v>145</v>
      </c>
      <c r="I538" s="14" t="s">
        <v>873</v>
      </c>
      <c r="K538" s="21"/>
      <c r="L538" s="21"/>
      <c r="Q538" s="14" t="s">
        <v>5</v>
      </c>
      <c r="R538" s="14" t="s">
        <v>177</v>
      </c>
      <c r="T538" s="15">
        <v>72.36</v>
      </c>
      <c r="U538" s="15"/>
      <c r="V538" s="16">
        <f>+T538*12/(1.005)</f>
        <v>864</v>
      </c>
      <c r="AB538" s="19"/>
      <c r="AC538" s="20"/>
      <c r="AD538" s="19"/>
      <c r="AE538" s="98"/>
    </row>
    <row r="539" spans="1:31" x14ac:dyDescent="0.3">
      <c r="A539" s="107">
        <v>539</v>
      </c>
      <c r="B539" s="46">
        <v>45590</v>
      </c>
      <c r="D539" s="13" t="s">
        <v>784</v>
      </c>
      <c r="E539" s="13" t="s">
        <v>51</v>
      </c>
      <c r="F539" s="13" t="s">
        <v>66</v>
      </c>
      <c r="G539" s="14" t="s">
        <v>790</v>
      </c>
      <c r="H539" s="14">
        <v>35175</v>
      </c>
      <c r="I539" s="14" t="s">
        <v>874</v>
      </c>
      <c r="K539" s="21"/>
      <c r="L539" s="21"/>
      <c r="Q539" s="14" t="s">
        <v>477</v>
      </c>
      <c r="R539" s="14" t="s">
        <v>143</v>
      </c>
      <c r="T539" s="15">
        <v>112.58</v>
      </c>
      <c r="U539" s="15"/>
      <c r="V539" s="16">
        <f>Tabla1[[#This Row],[PAGO MENSUAL]]*12/1.09</f>
        <v>1239.4128440366972</v>
      </c>
      <c r="AB539" s="19"/>
      <c r="AC539" s="20"/>
      <c r="AD539" s="19"/>
      <c r="AE539" s="98"/>
    </row>
    <row r="540" spans="1:31" x14ac:dyDescent="0.3">
      <c r="A540" s="108">
        <v>540</v>
      </c>
      <c r="B540" s="46">
        <v>45593</v>
      </c>
      <c r="D540" s="13" t="s">
        <v>784</v>
      </c>
      <c r="E540" s="13" t="s">
        <v>51</v>
      </c>
      <c r="F540" s="13" t="s">
        <v>66</v>
      </c>
      <c r="G540" s="14" t="s">
        <v>14</v>
      </c>
      <c r="H540" s="14">
        <v>35183</v>
      </c>
      <c r="I540" s="14" t="s">
        <v>875</v>
      </c>
      <c r="K540" s="21"/>
      <c r="L540" s="21"/>
      <c r="Q540" s="14" t="s">
        <v>477</v>
      </c>
      <c r="R540" s="14" t="s">
        <v>358</v>
      </c>
      <c r="T540" s="15">
        <v>48.99</v>
      </c>
      <c r="U540" s="15"/>
      <c r="V540" s="16">
        <f>Tabla1[[#This Row],[PAGO MENSUAL]]*12/1.09</f>
        <v>539.33944954128435</v>
      </c>
      <c r="AB540" s="19"/>
      <c r="AC540" s="20"/>
      <c r="AD540" s="19"/>
      <c r="AE540" s="98"/>
    </row>
    <row r="541" spans="1:31" x14ac:dyDescent="0.3">
      <c r="A541" s="105">
        <v>541</v>
      </c>
      <c r="B541" s="46">
        <v>45593</v>
      </c>
      <c r="D541" s="13" t="s">
        <v>784</v>
      </c>
      <c r="E541" s="13" t="s">
        <v>51</v>
      </c>
      <c r="F541" s="13" t="s">
        <v>66</v>
      </c>
      <c r="G541" s="14" t="s">
        <v>16</v>
      </c>
      <c r="I541" s="14" t="s">
        <v>872</v>
      </c>
      <c r="K541" s="21"/>
      <c r="L541" s="21"/>
      <c r="Q541" s="14" t="s">
        <v>148</v>
      </c>
      <c r="R541" s="14" t="s">
        <v>512</v>
      </c>
      <c r="T541" s="15">
        <f>2233.44/12</f>
        <v>186.12</v>
      </c>
      <c r="U541" s="15"/>
      <c r="V541" s="16">
        <f>+Tabla1[[#This Row],[PAGO MENSUAL]]*12</f>
        <v>2233.44</v>
      </c>
      <c r="AB541" s="19"/>
      <c r="AC541" s="20"/>
      <c r="AD541" s="19"/>
      <c r="AE541" s="98"/>
    </row>
    <row r="542" spans="1:31" x14ac:dyDescent="0.3">
      <c r="A542" s="107">
        <v>542</v>
      </c>
      <c r="B542" s="46">
        <v>45594</v>
      </c>
      <c r="D542" s="13" t="s">
        <v>784</v>
      </c>
      <c r="E542" s="13" t="s">
        <v>51</v>
      </c>
      <c r="F542" s="13" t="s">
        <v>52</v>
      </c>
      <c r="G542" s="14" t="s">
        <v>155</v>
      </c>
      <c r="H542" s="14">
        <v>4301820</v>
      </c>
      <c r="I542" s="14" t="s">
        <v>816</v>
      </c>
      <c r="K542" s="21"/>
      <c r="L542" s="21"/>
      <c r="Q542" s="14" t="s">
        <v>395</v>
      </c>
      <c r="R542" s="14" t="s">
        <v>320</v>
      </c>
      <c r="T542" s="15"/>
      <c r="U542" s="15"/>
      <c r="V542" s="16">
        <v>1751.22</v>
      </c>
      <c r="AB542" s="19"/>
      <c r="AC542" s="20"/>
      <c r="AD542" s="19"/>
      <c r="AE542" s="98"/>
    </row>
    <row r="543" spans="1:31" x14ac:dyDescent="0.3">
      <c r="A543" s="108">
        <v>543</v>
      </c>
      <c r="B543" s="46">
        <v>45594</v>
      </c>
      <c r="C543" s="46">
        <v>45597</v>
      </c>
      <c r="D543" s="13" t="s">
        <v>784</v>
      </c>
      <c r="E543" s="13" t="s">
        <v>51</v>
      </c>
      <c r="F543" s="13" t="s">
        <v>66</v>
      </c>
      <c r="G543" s="14" t="s">
        <v>16</v>
      </c>
      <c r="I543" s="14" t="s">
        <v>499</v>
      </c>
      <c r="K543" s="21"/>
      <c r="L543" s="21"/>
      <c r="Q543" s="14" t="s">
        <v>407</v>
      </c>
      <c r="R543" s="14" t="s">
        <v>627</v>
      </c>
      <c r="T543" s="15">
        <v>68.8</v>
      </c>
      <c r="U543" s="15"/>
      <c r="V543" s="16">
        <f>Tabla1[[#This Row],[PAGO MENSUAL]]*12/(1.005)</f>
        <v>821.49253731343288</v>
      </c>
      <c r="AB543" s="19"/>
      <c r="AC543" s="20"/>
      <c r="AD543" s="19"/>
      <c r="AE543" s="98"/>
    </row>
    <row r="544" spans="1:31" x14ac:dyDescent="0.3">
      <c r="A544" s="105">
        <v>544</v>
      </c>
      <c r="B544" s="46">
        <v>45594</v>
      </c>
      <c r="D544" s="13" t="s">
        <v>784</v>
      </c>
      <c r="E544" s="13" t="s">
        <v>51</v>
      </c>
      <c r="F544" s="13" t="s">
        <v>66</v>
      </c>
      <c r="G544" s="14" t="s">
        <v>240</v>
      </c>
      <c r="H544" s="14">
        <v>35201</v>
      </c>
      <c r="I544" s="14" t="s">
        <v>876</v>
      </c>
      <c r="K544" s="21"/>
      <c r="L544" s="21"/>
      <c r="Q544" s="14" t="s">
        <v>477</v>
      </c>
      <c r="R544" s="14" t="s">
        <v>478</v>
      </c>
      <c r="T544" s="15">
        <v>123.62</v>
      </c>
      <c r="U544" s="15"/>
      <c r="V544" s="16">
        <f>Tabla1[[#This Row],[PAGO MENSUAL]]*12/1.09</f>
        <v>1360.954128440367</v>
      </c>
      <c r="AB544" s="19"/>
      <c r="AC544" s="20"/>
      <c r="AD544" s="19"/>
      <c r="AE544" s="98"/>
    </row>
    <row r="545" spans="1:31" x14ac:dyDescent="0.3">
      <c r="A545" s="107">
        <v>545</v>
      </c>
      <c r="B545" s="46">
        <v>45594</v>
      </c>
      <c r="D545" s="13" t="s">
        <v>784</v>
      </c>
      <c r="E545" s="13" t="s">
        <v>51</v>
      </c>
      <c r="F545" s="13" t="s">
        <v>66</v>
      </c>
      <c r="G545" s="14" t="s">
        <v>240</v>
      </c>
      <c r="H545" s="14">
        <v>35200</v>
      </c>
      <c r="I545" s="14" t="s">
        <v>877</v>
      </c>
      <c r="K545" s="21"/>
      <c r="L545" s="21"/>
      <c r="Q545" s="14" t="s">
        <v>477</v>
      </c>
      <c r="R545" s="14" t="s">
        <v>421</v>
      </c>
      <c r="T545" s="15">
        <v>53.96</v>
      </c>
      <c r="U545" s="15"/>
      <c r="V545" s="16">
        <f>Tabla1[[#This Row],[PAGO MENSUAL]]*12/1.09</f>
        <v>594.05504587155963</v>
      </c>
      <c r="AB545" s="19"/>
      <c r="AC545" s="20"/>
      <c r="AD545" s="19"/>
      <c r="AE545" s="98"/>
    </row>
    <row r="546" spans="1:31" x14ac:dyDescent="0.3">
      <c r="A546" s="108">
        <v>546</v>
      </c>
      <c r="B546" s="46">
        <v>45595</v>
      </c>
      <c r="D546" s="13" t="s">
        <v>784</v>
      </c>
      <c r="E546" s="13" t="s">
        <v>51</v>
      </c>
      <c r="F546" s="13" t="s">
        <v>66</v>
      </c>
      <c r="G546" s="14" t="s">
        <v>12</v>
      </c>
      <c r="I546" s="14" t="s">
        <v>878</v>
      </c>
      <c r="K546" s="21"/>
      <c r="L546" s="21"/>
      <c r="Q546" s="14" t="s">
        <v>5</v>
      </c>
      <c r="R546" s="14" t="s">
        <v>169</v>
      </c>
      <c r="T546" s="15">
        <v>134.71</v>
      </c>
      <c r="U546" s="15"/>
      <c r="V546" s="16">
        <f>+T546*12/(1.005)</f>
        <v>1608.4776119402986</v>
      </c>
      <c r="AB546" s="19"/>
      <c r="AC546" s="20"/>
      <c r="AD546" s="19"/>
      <c r="AE546" s="98"/>
    </row>
    <row r="547" spans="1:31" x14ac:dyDescent="0.3">
      <c r="A547" s="105">
        <v>547</v>
      </c>
      <c r="B547" s="46">
        <v>45596</v>
      </c>
      <c r="D547" s="13" t="s">
        <v>784</v>
      </c>
      <c r="E547" s="13" t="s">
        <v>51</v>
      </c>
      <c r="F547" s="13" t="s">
        <v>66</v>
      </c>
      <c r="G547" s="14" t="s">
        <v>674</v>
      </c>
      <c r="H547" s="14">
        <v>148972</v>
      </c>
      <c r="I547" s="14" t="s">
        <v>879</v>
      </c>
      <c r="K547" s="21"/>
      <c r="L547" s="21"/>
      <c r="Q547" s="14" t="s">
        <v>407</v>
      </c>
      <c r="R547" s="14" t="s">
        <v>627</v>
      </c>
      <c r="T547" s="15">
        <v>185.19</v>
      </c>
      <c r="U547" s="15"/>
      <c r="V547" s="16">
        <f>+Tabla1[[#This Row],[PAGO MENSUAL]]*12</f>
        <v>2222.2799999999997</v>
      </c>
      <c r="AB547" s="19"/>
      <c r="AC547" s="20"/>
      <c r="AD547" s="19"/>
      <c r="AE547" s="98"/>
    </row>
    <row r="548" spans="1:31" x14ac:dyDescent="0.3">
      <c r="A548" s="107">
        <v>548</v>
      </c>
      <c r="B548" s="46">
        <v>45596</v>
      </c>
      <c r="D548" s="13" t="s">
        <v>784</v>
      </c>
      <c r="E548" s="13" t="s">
        <v>51</v>
      </c>
      <c r="F548" s="13" t="s">
        <v>66</v>
      </c>
      <c r="G548" s="14" t="s">
        <v>674</v>
      </c>
      <c r="H548" s="14">
        <v>148973</v>
      </c>
      <c r="I548" s="14" t="s">
        <v>880</v>
      </c>
      <c r="K548" s="21"/>
      <c r="L548" s="21"/>
      <c r="Q548" s="14" t="s">
        <v>407</v>
      </c>
      <c r="R548" s="14" t="s">
        <v>627</v>
      </c>
      <c r="T548" s="15">
        <v>156.44</v>
      </c>
      <c r="U548" s="15"/>
      <c r="V548" s="16">
        <f>+Tabla1[[#This Row],[PAGO MENSUAL]]*12</f>
        <v>1877.28</v>
      </c>
      <c r="AB548" s="19"/>
      <c r="AC548" s="20"/>
      <c r="AD548" s="19"/>
      <c r="AE548" s="98"/>
    </row>
    <row r="549" spans="1:31" x14ac:dyDescent="0.3">
      <c r="A549" s="108">
        <v>549</v>
      </c>
      <c r="B549" s="46">
        <v>45600</v>
      </c>
      <c r="D549" s="13" t="s">
        <v>855</v>
      </c>
      <c r="E549" s="13" t="s">
        <v>51</v>
      </c>
      <c r="F549" s="13" t="s">
        <v>66</v>
      </c>
      <c r="G549" s="14" t="s">
        <v>933</v>
      </c>
      <c r="I549" s="14" t="s">
        <v>934</v>
      </c>
      <c r="K549" s="21"/>
      <c r="L549" s="21"/>
      <c r="Q549" s="14" t="s">
        <v>4</v>
      </c>
      <c r="R549" s="14" t="s">
        <v>935</v>
      </c>
      <c r="T549" s="15"/>
      <c r="U549" s="15"/>
      <c r="V549" s="16">
        <v>1572.5</v>
      </c>
      <c r="AB549" s="19"/>
      <c r="AC549" s="20"/>
      <c r="AD549" s="19"/>
      <c r="AE549" s="98"/>
    </row>
    <row r="550" spans="1:31" x14ac:dyDescent="0.3">
      <c r="A550" s="105">
        <v>550</v>
      </c>
      <c r="B550" s="46">
        <v>45601</v>
      </c>
      <c r="D550" s="13" t="s">
        <v>855</v>
      </c>
      <c r="E550" s="13" t="s">
        <v>51</v>
      </c>
      <c r="F550" s="13" t="s">
        <v>52</v>
      </c>
      <c r="G550" s="14" t="s">
        <v>396</v>
      </c>
      <c r="H550" s="14">
        <v>4302122</v>
      </c>
      <c r="I550" s="14" t="s">
        <v>826</v>
      </c>
      <c r="K550" s="21"/>
      <c r="L550" s="21"/>
      <c r="Q550" s="14" t="s">
        <v>395</v>
      </c>
      <c r="R550" s="14" t="s">
        <v>62</v>
      </c>
      <c r="T550" s="15"/>
      <c r="U550" s="15"/>
      <c r="V550" s="16">
        <v>840.34</v>
      </c>
      <c r="AB550" s="19"/>
      <c r="AC550" s="20"/>
      <c r="AD550" s="19"/>
      <c r="AE550" s="98"/>
    </row>
    <row r="551" spans="1:31" x14ac:dyDescent="0.3">
      <c r="A551" s="107">
        <v>551</v>
      </c>
      <c r="B551" s="46">
        <v>45602</v>
      </c>
      <c r="D551" s="13" t="s">
        <v>855</v>
      </c>
      <c r="E551" s="13" t="s">
        <v>51</v>
      </c>
      <c r="F551" s="13" t="s">
        <v>52</v>
      </c>
      <c r="G551" s="14" t="s">
        <v>396</v>
      </c>
      <c r="H551" s="14">
        <v>4302116</v>
      </c>
      <c r="I551" s="14" t="s">
        <v>827</v>
      </c>
      <c r="K551" s="21"/>
      <c r="L551" s="21"/>
      <c r="Q551" s="14" t="s">
        <v>395</v>
      </c>
      <c r="R551" s="14" t="s">
        <v>856</v>
      </c>
      <c r="T551" s="15"/>
      <c r="U551" s="15"/>
      <c r="V551" s="16">
        <v>840.34</v>
      </c>
      <c r="AB551" s="19"/>
      <c r="AC551" s="20"/>
      <c r="AD551" s="19"/>
      <c r="AE551" s="98"/>
    </row>
    <row r="552" spans="1:31" x14ac:dyDescent="0.3">
      <c r="A552" s="108">
        <v>552</v>
      </c>
      <c r="B552" s="46">
        <v>45603</v>
      </c>
      <c r="D552" s="13" t="s">
        <v>855</v>
      </c>
      <c r="E552" s="13" t="s">
        <v>51</v>
      </c>
      <c r="F552" s="13" t="s">
        <v>52</v>
      </c>
      <c r="G552" s="14" t="s">
        <v>860</v>
      </c>
      <c r="H552" s="14">
        <v>4302551</v>
      </c>
      <c r="I552" s="14" t="s">
        <v>828</v>
      </c>
      <c r="K552" s="21"/>
      <c r="L552" s="21"/>
      <c r="Q552" s="14" t="s">
        <v>395</v>
      </c>
      <c r="R552" s="14" t="s">
        <v>320</v>
      </c>
      <c r="T552" s="15"/>
      <c r="U552" s="15"/>
      <c r="V552" s="16">
        <v>216.83</v>
      </c>
      <c r="AB552" s="19"/>
      <c r="AC552" s="20"/>
      <c r="AD552" s="19"/>
      <c r="AE552" s="98"/>
    </row>
    <row r="553" spans="1:31" x14ac:dyDescent="0.3">
      <c r="A553" s="105">
        <v>553</v>
      </c>
      <c r="B553" s="46">
        <v>45604</v>
      </c>
      <c r="D553" s="13" t="s">
        <v>855</v>
      </c>
      <c r="E553" s="13" t="s">
        <v>51</v>
      </c>
      <c r="F553" s="13" t="s">
        <v>52</v>
      </c>
      <c r="G553" s="14" t="s">
        <v>459</v>
      </c>
      <c r="H553" s="14">
        <v>4302555</v>
      </c>
      <c r="I553" s="14" t="s">
        <v>829</v>
      </c>
      <c r="K553" s="21"/>
      <c r="L553" s="21"/>
      <c r="Q553" s="14" t="s">
        <v>395</v>
      </c>
      <c r="R553" s="14" t="s">
        <v>59</v>
      </c>
      <c r="T553" s="15"/>
      <c r="U553" s="15"/>
      <c r="V553" s="16">
        <v>1288.0899999999999</v>
      </c>
      <c r="AB553" s="19"/>
      <c r="AC553" s="20"/>
      <c r="AD553" s="19"/>
      <c r="AE553" s="98"/>
    </row>
    <row r="554" spans="1:31" x14ac:dyDescent="0.3">
      <c r="A554" s="107">
        <v>554</v>
      </c>
      <c r="B554" s="46">
        <v>45604</v>
      </c>
      <c r="D554" s="13" t="s">
        <v>855</v>
      </c>
      <c r="E554" s="13" t="s">
        <v>51</v>
      </c>
      <c r="F554" s="13" t="s">
        <v>52</v>
      </c>
      <c r="G554" s="14" t="s">
        <v>491</v>
      </c>
      <c r="H554" s="14">
        <v>4302687</v>
      </c>
      <c r="I554" s="14" t="s">
        <v>830</v>
      </c>
      <c r="K554" s="21"/>
      <c r="L554" s="21"/>
      <c r="Q554" s="14" t="s">
        <v>395</v>
      </c>
      <c r="R554" s="14" t="s">
        <v>115</v>
      </c>
      <c r="T554" s="15"/>
      <c r="U554" s="15"/>
      <c r="V554" s="16">
        <v>1202.1199999999999</v>
      </c>
      <c r="AB554" s="19"/>
      <c r="AC554" s="20"/>
      <c r="AD554" s="19"/>
      <c r="AE554" s="98"/>
    </row>
    <row r="555" spans="1:31" x14ac:dyDescent="0.3">
      <c r="A555" s="108">
        <v>555</v>
      </c>
      <c r="B555" s="46">
        <v>45604</v>
      </c>
      <c r="D555" s="13" t="s">
        <v>855</v>
      </c>
      <c r="E555" s="13" t="s">
        <v>51</v>
      </c>
      <c r="F555" s="13" t="s">
        <v>52</v>
      </c>
      <c r="G555" s="14" t="s">
        <v>155</v>
      </c>
      <c r="H555" s="14">
        <v>4302647</v>
      </c>
      <c r="I555" s="14" t="s">
        <v>831</v>
      </c>
      <c r="K555" s="21"/>
      <c r="L555" s="21"/>
      <c r="Q555" s="14" t="s">
        <v>395</v>
      </c>
      <c r="R555" s="14" t="s">
        <v>171</v>
      </c>
      <c r="T555" s="15"/>
      <c r="U555" s="15"/>
      <c r="V555" s="16">
        <v>1808.17</v>
      </c>
      <c r="AB555" s="19"/>
      <c r="AC555" s="20"/>
      <c r="AD555" s="19"/>
      <c r="AE555" s="98"/>
    </row>
    <row r="556" spans="1:31" x14ac:dyDescent="0.3">
      <c r="A556" s="105">
        <v>556</v>
      </c>
      <c r="B556" s="46">
        <v>45604</v>
      </c>
      <c r="D556" s="13" t="s">
        <v>855</v>
      </c>
      <c r="E556" s="13" t="s">
        <v>51</v>
      </c>
      <c r="F556" s="13" t="s">
        <v>52</v>
      </c>
      <c r="G556" s="14" t="s">
        <v>861</v>
      </c>
      <c r="I556" s="14" t="s">
        <v>832</v>
      </c>
      <c r="K556" s="21"/>
      <c r="L556" s="21"/>
      <c r="Q556" s="14" t="s">
        <v>404</v>
      </c>
      <c r="R556" s="14" t="s">
        <v>405</v>
      </c>
      <c r="T556" s="15"/>
      <c r="U556" s="15"/>
      <c r="V556" s="16">
        <v>4012.68</v>
      </c>
      <c r="AB556" s="19"/>
      <c r="AC556" s="20"/>
      <c r="AD556" s="19"/>
      <c r="AE556" s="98"/>
    </row>
    <row r="557" spans="1:31" x14ac:dyDescent="0.3">
      <c r="A557" s="107">
        <v>557</v>
      </c>
      <c r="B557" s="46">
        <v>45604</v>
      </c>
      <c r="D557" s="13" t="s">
        <v>855</v>
      </c>
      <c r="E557" s="13" t="s">
        <v>51</v>
      </c>
      <c r="F557" s="13" t="s">
        <v>66</v>
      </c>
      <c r="G557" s="14" t="s">
        <v>15</v>
      </c>
      <c r="I557" s="14" t="s">
        <v>82</v>
      </c>
      <c r="K557" s="21"/>
      <c r="L557" s="21"/>
      <c r="Q557" s="14" t="s">
        <v>3</v>
      </c>
      <c r="R557" s="14" t="s">
        <v>64</v>
      </c>
      <c r="T557" s="15">
        <f>317.52/12</f>
        <v>26.459999999999997</v>
      </c>
      <c r="U557" s="15"/>
      <c r="V557" s="16">
        <f>+(T557*12)/1.005-65</f>
        <v>250.94029850746273</v>
      </c>
      <c r="AB557" s="19"/>
      <c r="AC557" s="20"/>
      <c r="AD557" s="19"/>
      <c r="AE557" s="98"/>
    </row>
    <row r="558" spans="1:31" x14ac:dyDescent="0.3">
      <c r="A558" s="108">
        <v>558</v>
      </c>
      <c r="B558" s="46">
        <v>45604</v>
      </c>
      <c r="C558" s="46">
        <v>45627</v>
      </c>
      <c r="D558" s="13" t="s">
        <v>855</v>
      </c>
      <c r="E558" s="13" t="s">
        <v>186</v>
      </c>
      <c r="F558" s="13" t="s">
        <v>66</v>
      </c>
      <c r="G558" s="14" t="s">
        <v>11</v>
      </c>
      <c r="I558" s="14" t="s">
        <v>904</v>
      </c>
      <c r="K558" s="21"/>
      <c r="L558" s="21"/>
      <c r="Q558" s="14" t="s">
        <v>404</v>
      </c>
      <c r="R558" s="14" t="s">
        <v>135</v>
      </c>
      <c r="T558" s="15">
        <v>520.30999999999995</v>
      </c>
      <c r="U558" s="15"/>
      <c r="V558" s="16">
        <f>+T558*12/(1.005)</f>
        <v>6212.6567164179105</v>
      </c>
      <c r="AB558" s="19"/>
      <c r="AC558" s="20"/>
      <c r="AD558" s="19"/>
      <c r="AE558" s="98"/>
    </row>
    <row r="559" spans="1:31" x14ac:dyDescent="0.3">
      <c r="A559" s="105">
        <v>559</v>
      </c>
      <c r="B559" s="46">
        <v>45607</v>
      </c>
      <c r="C559" s="46">
        <v>45616</v>
      </c>
      <c r="D559" s="13" t="s">
        <v>855</v>
      </c>
      <c r="E559" s="13" t="s">
        <v>51</v>
      </c>
      <c r="F559" s="13" t="s">
        <v>66</v>
      </c>
      <c r="G559" s="14" t="s">
        <v>17</v>
      </c>
      <c r="H559" s="14">
        <v>35429</v>
      </c>
      <c r="I559" s="14" t="s">
        <v>884</v>
      </c>
      <c r="K559" s="21"/>
      <c r="L559" s="21"/>
      <c r="Q559" s="14" t="s">
        <v>477</v>
      </c>
      <c r="R559" s="14" t="s">
        <v>200</v>
      </c>
      <c r="T559" s="15">
        <v>140.12</v>
      </c>
      <c r="U559" s="15"/>
      <c r="V559" s="16">
        <f>Tabla1[[#This Row],[PAGO MENSUAL]]*12/1.09</f>
        <v>1542.6055045871558</v>
      </c>
      <c r="AB559" s="19"/>
      <c r="AC559" s="20"/>
      <c r="AD559" s="19"/>
      <c r="AE559" s="98"/>
    </row>
    <row r="560" spans="1:31" x14ac:dyDescent="0.3">
      <c r="A560" s="107">
        <v>560</v>
      </c>
      <c r="B560" s="46">
        <v>45608</v>
      </c>
      <c r="D560" s="13" t="s">
        <v>862</v>
      </c>
      <c r="E560" s="13" t="s">
        <v>51</v>
      </c>
      <c r="F560" s="13" t="s">
        <v>66</v>
      </c>
      <c r="G560" s="14" t="s">
        <v>16</v>
      </c>
      <c r="H560" s="14">
        <v>47225</v>
      </c>
      <c r="I560" s="14" t="s">
        <v>886</v>
      </c>
      <c r="K560" s="21"/>
      <c r="L560" s="21"/>
      <c r="Q560" s="14" t="s">
        <v>148</v>
      </c>
      <c r="R560" s="14" t="s">
        <v>512</v>
      </c>
      <c r="T560" s="15">
        <f>3311.07/12</f>
        <v>275.92250000000001</v>
      </c>
      <c r="U560" s="15"/>
      <c r="V560" s="16">
        <f>Tabla1[[#This Row],[PAGO MENSUAL]]*12/(1.005)</f>
        <v>3294.5970149253735</v>
      </c>
      <c r="AB560" s="19"/>
      <c r="AC560" s="20"/>
      <c r="AD560" s="19"/>
      <c r="AE560" s="98"/>
    </row>
    <row r="561" spans="1:31" x14ac:dyDescent="0.3">
      <c r="A561" s="108">
        <v>561</v>
      </c>
      <c r="B561" s="46">
        <v>45610</v>
      </c>
      <c r="D561" s="13" t="s">
        <v>855</v>
      </c>
      <c r="E561" s="13" t="s">
        <v>51</v>
      </c>
      <c r="F561" s="13" t="s">
        <v>52</v>
      </c>
      <c r="G561" s="14" t="s">
        <v>487</v>
      </c>
      <c r="H561" s="14" t="s">
        <v>853</v>
      </c>
      <c r="I561" s="14" t="s">
        <v>833</v>
      </c>
      <c r="K561" s="21"/>
      <c r="L561" s="21"/>
      <c r="Q561" s="14" t="s">
        <v>3</v>
      </c>
      <c r="R561" s="14" t="s">
        <v>64</v>
      </c>
      <c r="T561" s="15"/>
      <c r="U561" s="15"/>
      <c r="V561" s="16">
        <v>400.11</v>
      </c>
      <c r="AB561" s="19"/>
      <c r="AC561" s="20"/>
      <c r="AD561" s="19"/>
      <c r="AE561" s="98"/>
    </row>
    <row r="562" spans="1:31" x14ac:dyDescent="0.3">
      <c r="A562" s="105">
        <v>562</v>
      </c>
      <c r="B562" s="46">
        <v>45610</v>
      </c>
      <c r="D562" s="13" t="s">
        <v>855</v>
      </c>
      <c r="E562" s="13" t="s">
        <v>51</v>
      </c>
      <c r="F562" s="13" t="s">
        <v>52</v>
      </c>
      <c r="G562" s="14" t="s">
        <v>396</v>
      </c>
      <c r="H562" s="14">
        <v>4303400</v>
      </c>
      <c r="I562" s="14" t="s">
        <v>834</v>
      </c>
      <c r="K562" s="21"/>
      <c r="L562" s="21"/>
      <c r="Q562" s="14" t="s">
        <v>395</v>
      </c>
      <c r="R562" s="14" t="s">
        <v>265</v>
      </c>
      <c r="T562" s="15"/>
      <c r="U562" s="15"/>
      <c r="V562" s="16">
        <v>4209.66</v>
      </c>
      <c r="AB562" s="19"/>
      <c r="AC562" s="20"/>
      <c r="AD562" s="19"/>
      <c r="AE562" s="98"/>
    </row>
    <row r="563" spans="1:31" x14ac:dyDescent="0.3">
      <c r="A563" s="107">
        <v>563</v>
      </c>
      <c r="B563" s="46">
        <v>45611</v>
      </c>
      <c r="D563" s="13" t="s">
        <v>855</v>
      </c>
      <c r="E563" s="13" t="s">
        <v>51</v>
      </c>
      <c r="F563" s="13" t="s">
        <v>52</v>
      </c>
      <c r="G563" s="14" t="s">
        <v>491</v>
      </c>
      <c r="H563" s="14">
        <v>4303124</v>
      </c>
      <c r="I563" s="14" t="s">
        <v>835</v>
      </c>
      <c r="K563" s="21"/>
      <c r="L563" s="21"/>
      <c r="Q563" s="14" t="s">
        <v>395</v>
      </c>
      <c r="R563" s="14" t="s">
        <v>115</v>
      </c>
      <c r="T563" s="15"/>
      <c r="U563" s="15"/>
      <c r="V563" s="16">
        <v>1003.42</v>
      </c>
      <c r="AB563" s="19"/>
      <c r="AC563" s="20"/>
      <c r="AD563" s="19"/>
      <c r="AE563" s="98"/>
    </row>
    <row r="564" spans="1:31" x14ac:dyDescent="0.3">
      <c r="A564" s="108">
        <v>564</v>
      </c>
      <c r="B564" s="46">
        <v>45615</v>
      </c>
      <c r="D564" s="13" t="s">
        <v>855</v>
      </c>
      <c r="E564" s="13" t="s">
        <v>51</v>
      </c>
      <c r="F564" s="13" t="s">
        <v>52</v>
      </c>
      <c r="G564" s="14" t="s">
        <v>861</v>
      </c>
      <c r="H564" s="14">
        <v>4303622</v>
      </c>
      <c r="I564" s="14" t="s">
        <v>837</v>
      </c>
      <c r="K564" s="21"/>
      <c r="L564" s="21"/>
      <c r="Q564" s="14" t="s">
        <v>395</v>
      </c>
      <c r="R564" s="14" t="s">
        <v>171</v>
      </c>
      <c r="T564" s="15"/>
      <c r="U564" s="15"/>
      <c r="V564" s="16">
        <v>904.07</v>
      </c>
      <c r="AB564" s="19"/>
      <c r="AC564" s="20"/>
      <c r="AD564" s="19"/>
      <c r="AE564" s="98"/>
    </row>
    <row r="565" spans="1:31" x14ac:dyDescent="0.3">
      <c r="A565" s="105">
        <v>565</v>
      </c>
      <c r="B565" s="46">
        <v>45615</v>
      </c>
      <c r="D565" s="13" t="s">
        <v>855</v>
      </c>
      <c r="E565" s="13" t="s">
        <v>51</v>
      </c>
      <c r="F565" s="13" t="s">
        <v>66</v>
      </c>
      <c r="G565" s="14" t="s">
        <v>218</v>
      </c>
      <c r="I565" s="14" t="s">
        <v>898</v>
      </c>
      <c r="K565" s="21"/>
      <c r="L565" s="21"/>
      <c r="Q565" s="14" t="s">
        <v>307</v>
      </c>
      <c r="R565" s="14" t="s">
        <v>177</v>
      </c>
      <c r="T565" s="15">
        <v>98.62</v>
      </c>
      <c r="U565" s="15"/>
      <c r="V565" s="16">
        <f>+T565*12/(1.005)</f>
        <v>1177.5522388059703</v>
      </c>
      <c r="AB565" s="19"/>
      <c r="AC565" s="20"/>
      <c r="AD565" s="19"/>
      <c r="AE565" s="98"/>
    </row>
    <row r="566" spans="1:31" x14ac:dyDescent="0.3">
      <c r="A566" s="107">
        <v>566</v>
      </c>
      <c r="B566" s="46">
        <v>45615</v>
      </c>
      <c r="D566" s="13" t="s">
        <v>855</v>
      </c>
      <c r="E566" s="13" t="s">
        <v>51</v>
      </c>
      <c r="F566" s="13" t="s">
        <v>66</v>
      </c>
      <c r="G566" s="14" t="s">
        <v>218</v>
      </c>
      <c r="I566" s="14" t="s">
        <v>899</v>
      </c>
      <c r="K566" s="21"/>
      <c r="L566" s="21"/>
      <c r="Q566" s="14" t="s">
        <v>307</v>
      </c>
      <c r="R566" s="14" t="s">
        <v>295</v>
      </c>
      <c r="T566" s="15">
        <v>72.13</v>
      </c>
      <c r="U566" s="15"/>
      <c r="V566" s="16">
        <f>+T566*12/(1.005)</f>
        <v>861.25373134328368</v>
      </c>
      <c r="AB566" s="19"/>
      <c r="AC566" s="20"/>
      <c r="AD566" s="19"/>
      <c r="AE566" s="98"/>
    </row>
    <row r="567" spans="1:31" x14ac:dyDescent="0.3">
      <c r="A567" s="108">
        <v>567</v>
      </c>
      <c r="B567" s="46">
        <v>45616</v>
      </c>
      <c r="D567" s="13" t="s">
        <v>855</v>
      </c>
      <c r="E567" s="13" t="s">
        <v>51</v>
      </c>
      <c r="F567" s="13" t="s">
        <v>52</v>
      </c>
      <c r="G567" s="14" t="s">
        <v>860</v>
      </c>
      <c r="H567" s="14">
        <v>4303557</v>
      </c>
      <c r="I567" s="14" t="s">
        <v>836</v>
      </c>
      <c r="K567" s="21"/>
      <c r="L567" s="21"/>
      <c r="Q567" s="14" t="s">
        <v>395</v>
      </c>
      <c r="R567" s="14" t="s">
        <v>171</v>
      </c>
      <c r="T567" s="15"/>
      <c r="U567" s="15"/>
      <c r="V567" s="16">
        <v>904.07</v>
      </c>
      <c r="AB567" s="19"/>
      <c r="AC567" s="20"/>
      <c r="AD567" s="19"/>
      <c r="AE567" s="98"/>
    </row>
    <row r="568" spans="1:31" x14ac:dyDescent="0.3">
      <c r="A568" s="105">
        <v>568</v>
      </c>
      <c r="B568" s="46">
        <v>45616</v>
      </c>
      <c r="D568" s="13" t="s">
        <v>855</v>
      </c>
      <c r="E568" s="13" t="s">
        <v>51</v>
      </c>
      <c r="F568" s="13" t="s">
        <v>52</v>
      </c>
      <c r="G568" s="14" t="s">
        <v>483</v>
      </c>
      <c r="H568" s="14">
        <v>4303652</v>
      </c>
      <c r="I568" s="14" t="s">
        <v>838</v>
      </c>
      <c r="K568" s="21"/>
      <c r="L568" s="21"/>
      <c r="Q568" s="14" t="s">
        <v>395</v>
      </c>
      <c r="R568" s="14" t="s">
        <v>171</v>
      </c>
      <c r="T568" s="15"/>
      <c r="U568" s="15"/>
      <c r="V568" s="16">
        <v>904.07</v>
      </c>
      <c r="AB568" s="19"/>
      <c r="AC568" s="20"/>
      <c r="AD568" s="19"/>
      <c r="AE568" s="98"/>
    </row>
    <row r="569" spans="1:31" x14ac:dyDescent="0.3">
      <c r="A569" s="107">
        <v>569</v>
      </c>
      <c r="B569" s="46">
        <v>45616</v>
      </c>
      <c r="D569" s="13" t="s">
        <v>855</v>
      </c>
      <c r="E569" s="13" t="s">
        <v>51</v>
      </c>
      <c r="F569" s="13" t="s">
        <v>52</v>
      </c>
      <c r="G569" s="14" t="s">
        <v>861</v>
      </c>
      <c r="H569" s="14">
        <v>4303617</v>
      </c>
      <c r="I569" s="14" t="s">
        <v>839</v>
      </c>
      <c r="K569" s="21"/>
      <c r="L569" s="21"/>
      <c r="Q569" s="14" t="s">
        <v>395</v>
      </c>
      <c r="R569" s="14" t="s">
        <v>322</v>
      </c>
      <c r="T569" s="15"/>
      <c r="U569" s="15"/>
      <c r="V569" s="16">
        <v>690.47</v>
      </c>
      <c r="AB569" s="19"/>
      <c r="AC569" s="20"/>
      <c r="AD569" s="19"/>
      <c r="AE569" s="98"/>
    </row>
    <row r="570" spans="1:31" x14ac:dyDescent="0.3">
      <c r="A570" s="108">
        <v>570</v>
      </c>
      <c r="B570" s="46">
        <v>45616</v>
      </c>
      <c r="D570" s="13" t="s">
        <v>855</v>
      </c>
      <c r="E570" s="13" t="s">
        <v>51</v>
      </c>
      <c r="F570" s="13" t="s">
        <v>52</v>
      </c>
      <c r="G570" s="14" t="s">
        <v>818</v>
      </c>
      <c r="I570" s="14" t="s">
        <v>840</v>
      </c>
      <c r="K570" s="21"/>
      <c r="L570" s="21"/>
      <c r="Q570" s="14" t="s">
        <v>477</v>
      </c>
      <c r="R570" s="14" t="s">
        <v>857</v>
      </c>
      <c r="T570" s="15"/>
      <c r="U570" s="15"/>
      <c r="V570" s="16">
        <v>732.5</v>
      </c>
      <c r="AB570" s="19"/>
      <c r="AC570" s="20"/>
      <c r="AD570" s="19"/>
      <c r="AE570" s="98"/>
    </row>
    <row r="571" spans="1:31" x14ac:dyDescent="0.3">
      <c r="A571" s="105">
        <v>571</v>
      </c>
      <c r="B571" s="46">
        <v>45616</v>
      </c>
      <c r="D571" s="13" t="s">
        <v>855</v>
      </c>
      <c r="E571" s="13" t="s">
        <v>51</v>
      </c>
      <c r="F571" s="13" t="s">
        <v>52</v>
      </c>
      <c r="G571" s="14" t="s">
        <v>818</v>
      </c>
      <c r="I571" s="14" t="s">
        <v>841</v>
      </c>
      <c r="K571" s="21"/>
      <c r="L571" s="21"/>
      <c r="Q571" s="14" t="s">
        <v>477</v>
      </c>
      <c r="R571" s="14" t="s">
        <v>857</v>
      </c>
      <c r="T571" s="15"/>
      <c r="U571" s="15"/>
      <c r="V571" s="16">
        <v>732.5</v>
      </c>
      <c r="AB571" s="19"/>
      <c r="AC571" s="20"/>
      <c r="AD571" s="19"/>
      <c r="AE571" s="98"/>
    </row>
    <row r="572" spans="1:31" x14ac:dyDescent="0.3">
      <c r="A572" s="107">
        <v>572</v>
      </c>
      <c r="B572" s="46">
        <v>45618</v>
      </c>
      <c r="D572" s="13" t="s">
        <v>855</v>
      </c>
      <c r="E572" s="13" t="s">
        <v>51</v>
      </c>
      <c r="F572" s="13" t="s">
        <v>52</v>
      </c>
      <c r="G572" s="14" t="s">
        <v>860</v>
      </c>
      <c r="H572" s="14" t="s">
        <v>854</v>
      </c>
      <c r="I572" s="14" t="s">
        <v>842</v>
      </c>
      <c r="K572" s="21"/>
      <c r="L572" s="21"/>
      <c r="Q572" s="14" t="s">
        <v>3</v>
      </c>
      <c r="R572" s="14" t="s">
        <v>64</v>
      </c>
      <c r="T572" s="15"/>
      <c r="U572" s="15"/>
      <c r="V572" s="16">
        <v>828.3</v>
      </c>
      <c r="AB572" s="19"/>
      <c r="AC572" s="20"/>
      <c r="AD572" s="19"/>
      <c r="AE572" s="98"/>
    </row>
    <row r="573" spans="1:31" x14ac:dyDescent="0.3">
      <c r="A573" s="108">
        <v>573</v>
      </c>
      <c r="B573" s="46">
        <v>45618</v>
      </c>
      <c r="D573" s="13" t="s">
        <v>855</v>
      </c>
      <c r="E573" s="13" t="s">
        <v>51</v>
      </c>
      <c r="F573" s="13" t="s">
        <v>52</v>
      </c>
      <c r="G573" s="14" t="s">
        <v>459</v>
      </c>
      <c r="H573" s="14">
        <v>4303886</v>
      </c>
      <c r="I573" s="14" t="s">
        <v>843</v>
      </c>
      <c r="K573" s="21"/>
      <c r="L573" s="21"/>
      <c r="Q573" s="14" t="s">
        <v>395</v>
      </c>
      <c r="R573" s="14" t="s">
        <v>858</v>
      </c>
      <c r="T573" s="15"/>
      <c r="U573" s="15"/>
      <c r="V573" s="16">
        <v>1500.6</v>
      </c>
      <c r="AB573" s="19"/>
      <c r="AC573" s="20"/>
      <c r="AD573" s="19"/>
      <c r="AE573" s="98"/>
    </row>
    <row r="574" spans="1:31" x14ac:dyDescent="0.3">
      <c r="A574" s="105">
        <v>574</v>
      </c>
      <c r="B574" s="46">
        <v>45621</v>
      </c>
      <c r="C574" s="46">
        <v>45621</v>
      </c>
      <c r="D574" s="13" t="s">
        <v>855</v>
      </c>
      <c r="E574" s="13" t="s">
        <v>51</v>
      </c>
      <c r="F574" s="13" t="s">
        <v>66</v>
      </c>
      <c r="G574" s="14" t="s">
        <v>11</v>
      </c>
      <c r="I574" s="14" t="s">
        <v>901</v>
      </c>
      <c r="K574" s="21"/>
      <c r="L574" s="21"/>
      <c r="Q574" s="14" t="s">
        <v>395</v>
      </c>
      <c r="R574" s="14" t="s">
        <v>902</v>
      </c>
      <c r="T574" s="15">
        <v>103.42</v>
      </c>
      <c r="U574" s="15"/>
      <c r="V574" s="16">
        <f>+Tabla1[[#This Row],[PAGO MENSUAL]]*12</f>
        <v>1241.04</v>
      </c>
      <c r="AB574" s="19"/>
      <c r="AC574" s="20"/>
      <c r="AD574" s="19"/>
      <c r="AE574" s="98"/>
    </row>
    <row r="575" spans="1:31" x14ac:dyDescent="0.3">
      <c r="A575" s="107">
        <v>575</v>
      </c>
      <c r="B575" s="46">
        <v>45622</v>
      </c>
      <c r="C575" s="46">
        <v>45628</v>
      </c>
      <c r="D575" s="13" t="s">
        <v>855</v>
      </c>
      <c r="E575" s="13" t="s">
        <v>51</v>
      </c>
      <c r="F575" s="13" t="s">
        <v>66</v>
      </c>
      <c r="G575" s="14" t="s">
        <v>14</v>
      </c>
      <c r="H575" s="14">
        <v>4304141</v>
      </c>
      <c r="I575" s="14" t="s">
        <v>650</v>
      </c>
      <c r="K575" s="21">
        <v>917473993</v>
      </c>
      <c r="L575" s="21"/>
      <c r="Q575" s="14" t="s">
        <v>395</v>
      </c>
      <c r="R575" s="14" t="s">
        <v>203</v>
      </c>
      <c r="T575" s="15">
        <v>205.72</v>
      </c>
      <c r="U575" s="15"/>
      <c r="V575" s="16">
        <f>+Tabla1[[#This Row],[PAGO MENSUAL]]*12</f>
        <v>2468.64</v>
      </c>
      <c r="AB575" s="19"/>
      <c r="AC575" s="20"/>
      <c r="AD575" s="19"/>
      <c r="AE575" s="98"/>
    </row>
    <row r="576" spans="1:31" x14ac:dyDescent="0.3">
      <c r="A576" s="108">
        <v>576</v>
      </c>
      <c r="B576" s="46">
        <v>45623</v>
      </c>
      <c r="D576" s="13" t="s">
        <v>855</v>
      </c>
      <c r="E576" s="13" t="s">
        <v>51</v>
      </c>
      <c r="F576" s="13" t="s">
        <v>66</v>
      </c>
      <c r="G576" s="14" t="s">
        <v>21</v>
      </c>
      <c r="I576" s="14" t="s">
        <v>896</v>
      </c>
      <c r="K576" s="21"/>
      <c r="L576" s="21"/>
      <c r="Q576" s="14" t="s">
        <v>307</v>
      </c>
      <c r="R576" s="14" t="s">
        <v>232</v>
      </c>
      <c r="T576" s="15">
        <v>106.21</v>
      </c>
      <c r="U576" s="15"/>
      <c r="V576" s="16">
        <f>+T576*12/(1.005)</f>
        <v>1268.1791044776121</v>
      </c>
      <c r="AB576" s="19"/>
      <c r="AC576" s="20"/>
      <c r="AD576" s="19"/>
      <c r="AE576" s="98"/>
    </row>
    <row r="577" spans="1:31" x14ac:dyDescent="0.3">
      <c r="A577" s="105">
        <v>577</v>
      </c>
      <c r="B577" s="46">
        <v>45624</v>
      </c>
      <c r="D577" s="13" t="s">
        <v>855</v>
      </c>
      <c r="E577" s="13" t="s">
        <v>51</v>
      </c>
      <c r="F577" s="13" t="s">
        <v>52</v>
      </c>
      <c r="G577" s="14" t="s">
        <v>483</v>
      </c>
      <c r="H577" s="14">
        <v>4303925</v>
      </c>
      <c r="I577" s="14" t="s">
        <v>844</v>
      </c>
      <c r="K577" s="21"/>
      <c r="L577" s="21"/>
      <c r="Q577" s="14" t="s">
        <v>395</v>
      </c>
      <c r="R577" s="14" t="s">
        <v>80</v>
      </c>
      <c r="T577" s="15"/>
      <c r="U577" s="15"/>
      <c r="V577" s="16">
        <v>2678.72</v>
      </c>
      <c r="AB577" s="19"/>
      <c r="AC577" s="20"/>
      <c r="AD577" s="19"/>
      <c r="AE577" s="98"/>
    </row>
    <row r="578" spans="1:31" x14ac:dyDescent="0.3">
      <c r="A578" s="107">
        <v>578</v>
      </c>
      <c r="B578" s="46">
        <v>45624</v>
      </c>
      <c r="D578" s="13" t="s">
        <v>855</v>
      </c>
      <c r="E578" s="13" t="s">
        <v>51</v>
      </c>
      <c r="F578" s="13" t="s">
        <v>52</v>
      </c>
      <c r="G578" s="14" t="s">
        <v>466</v>
      </c>
      <c r="H578" s="14">
        <v>4304293</v>
      </c>
      <c r="I578" s="14" t="s">
        <v>845</v>
      </c>
      <c r="K578" s="21"/>
      <c r="L578" s="21"/>
      <c r="Q578" s="14" t="s">
        <v>395</v>
      </c>
      <c r="R578" s="14" t="s">
        <v>96</v>
      </c>
      <c r="T578" s="15"/>
      <c r="U578" s="15"/>
      <c r="V578" s="16">
        <v>986.1</v>
      </c>
      <c r="AB578" s="19"/>
      <c r="AC578" s="20"/>
      <c r="AD578" s="19"/>
      <c r="AE578" s="98"/>
    </row>
    <row r="579" spans="1:31" x14ac:dyDescent="0.3">
      <c r="A579" s="108">
        <v>579</v>
      </c>
      <c r="B579" s="46">
        <v>45624</v>
      </c>
      <c r="D579" s="13" t="s">
        <v>855</v>
      </c>
      <c r="E579" s="13" t="s">
        <v>51</v>
      </c>
      <c r="F579" s="13" t="s">
        <v>52</v>
      </c>
      <c r="G579" s="14" t="s">
        <v>459</v>
      </c>
      <c r="H579" s="14">
        <v>4304311</v>
      </c>
      <c r="I579" s="14" t="s">
        <v>476</v>
      </c>
      <c r="K579" s="21"/>
      <c r="L579" s="21"/>
      <c r="Q579" s="14" t="s">
        <v>395</v>
      </c>
      <c r="R579" s="14" t="s">
        <v>461</v>
      </c>
      <c r="T579" s="15"/>
      <c r="U579" s="15"/>
      <c r="V579" s="16">
        <v>1452.24</v>
      </c>
      <c r="AB579" s="19"/>
      <c r="AC579" s="20"/>
      <c r="AD579" s="19"/>
      <c r="AE579" s="98"/>
    </row>
    <row r="580" spans="1:31" x14ac:dyDescent="0.3">
      <c r="A580" s="105">
        <v>580</v>
      </c>
      <c r="B580" s="46">
        <v>45624</v>
      </c>
      <c r="D580" s="13" t="s">
        <v>855</v>
      </c>
      <c r="E580" s="13" t="s">
        <v>51</v>
      </c>
      <c r="F580" s="13" t="s">
        <v>52</v>
      </c>
      <c r="G580" s="14" t="s">
        <v>491</v>
      </c>
      <c r="H580" s="14">
        <v>4304419</v>
      </c>
      <c r="I580" s="14" t="s">
        <v>846</v>
      </c>
      <c r="K580" s="21"/>
      <c r="L580" s="21"/>
      <c r="Q580" s="14" t="s">
        <v>395</v>
      </c>
      <c r="R580" s="14" t="s">
        <v>265</v>
      </c>
      <c r="T580" s="15"/>
      <c r="U580" s="15"/>
      <c r="V580" s="16">
        <v>1356.96</v>
      </c>
      <c r="AB580" s="19"/>
      <c r="AC580" s="20"/>
      <c r="AD580" s="19"/>
      <c r="AE580" s="98"/>
    </row>
    <row r="581" spans="1:31" x14ac:dyDescent="0.3">
      <c r="A581" s="107">
        <v>581</v>
      </c>
      <c r="B581" s="46">
        <v>45624</v>
      </c>
      <c r="D581" s="13" t="s">
        <v>855</v>
      </c>
      <c r="E581" s="13" t="s">
        <v>51</v>
      </c>
      <c r="F581" s="13" t="s">
        <v>52</v>
      </c>
      <c r="G581" s="14" t="s">
        <v>459</v>
      </c>
      <c r="H581" s="14">
        <v>4304465</v>
      </c>
      <c r="I581" s="14" t="s">
        <v>847</v>
      </c>
      <c r="K581" s="21"/>
      <c r="L581" s="21"/>
      <c r="Q581" s="14" t="s">
        <v>395</v>
      </c>
      <c r="R581" s="14" t="s">
        <v>461</v>
      </c>
      <c r="T581" s="15"/>
      <c r="U581" s="15"/>
      <c r="V581" s="16">
        <v>3424.85</v>
      </c>
      <c r="AB581" s="19"/>
      <c r="AC581" s="20"/>
      <c r="AD581" s="19"/>
      <c r="AE581" s="98"/>
    </row>
    <row r="582" spans="1:31" x14ac:dyDescent="0.3">
      <c r="A582" s="108">
        <v>582</v>
      </c>
      <c r="B582" s="46">
        <v>45624</v>
      </c>
      <c r="C582" s="46">
        <v>45626</v>
      </c>
      <c r="D582" s="13" t="s">
        <v>855</v>
      </c>
      <c r="E582" s="13" t="s">
        <v>51</v>
      </c>
      <c r="F582" s="13" t="s">
        <v>66</v>
      </c>
      <c r="G582" s="14" t="s">
        <v>16</v>
      </c>
      <c r="H582" s="14">
        <v>35557</v>
      </c>
      <c r="I582" s="14" t="s">
        <v>882</v>
      </c>
      <c r="K582" s="21"/>
      <c r="L582" s="21"/>
      <c r="Q582" s="14" t="s">
        <v>477</v>
      </c>
      <c r="R582" s="14" t="s">
        <v>358</v>
      </c>
      <c r="T582" s="15">
        <f>110.6+0.14</f>
        <v>110.74</v>
      </c>
      <c r="U582" s="15"/>
      <c r="V582" s="16">
        <f>Tabla1[[#This Row],[PAGO MENSUAL]]*12/1.09</f>
        <v>1219.1559633027521</v>
      </c>
      <c r="AB582" s="19"/>
      <c r="AC582" s="20"/>
      <c r="AD582" s="19"/>
      <c r="AE582" s="98"/>
    </row>
    <row r="583" spans="1:31" x14ac:dyDescent="0.3">
      <c r="A583" s="105">
        <v>583</v>
      </c>
      <c r="B583" s="46">
        <v>45624</v>
      </c>
      <c r="C583" s="46">
        <v>45626</v>
      </c>
      <c r="D583" s="13" t="s">
        <v>855</v>
      </c>
      <c r="E583" s="13" t="s">
        <v>51</v>
      </c>
      <c r="F583" s="13" t="s">
        <v>66</v>
      </c>
      <c r="G583" s="14" t="s">
        <v>16</v>
      </c>
      <c r="H583" s="14">
        <v>35534</v>
      </c>
      <c r="I583" s="14" t="s">
        <v>883</v>
      </c>
      <c r="K583" s="21"/>
      <c r="L583" s="21"/>
      <c r="Q583" s="14" t="s">
        <v>477</v>
      </c>
      <c r="R583" s="14" t="s">
        <v>824</v>
      </c>
      <c r="T583" s="15">
        <f>67.24+0.08</f>
        <v>67.319999999999993</v>
      </c>
      <c r="U583" s="15"/>
      <c r="V583" s="16">
        <f>Tabla1[[#This Row],[PAGO MENSUAL]]*12/1.09</f>
        <v>741.1376146788989</v>
      </c>
      <c r="AB583" s="19"/>
      <c r="AC583" s="20"/>
      <c r="AD583" s="19"/>
      <c r="AE583" s="98"/>
    </row>
    <row r="584" spans="1:31" x14ac:dyDescent="0.3">
      <c r="A584" s="107">
        <v>584</v>
      </c>
      <c r="B584" s="46">
        <v>45624</v>
      </c>
      <c r="D584" s="13" t="s">
        <v>855</v>
      </c>
      <c r="E584" s="13" t="s">
        <v>51</v>
      </c>
      <c r="F584" s="13" t="s">
        <v>66</v>
      </c>
      <c r="G584" s="14" t="s">
        <v>11</v>
      </c>
      <c r="I584" s="14" t="s">
        <v>903</v>
      </c>
      <c r="K584" s="21"/>
      <c r="L584" s="21"/>
      <c r="Q584" s="14" t="s">
        <v>395</v>
      </c>
      <c r="R584" s="14" t="s">
        <v>683</v>
      </c>
      <c r="T584" s="15">
        <v>16.38</v>
      </c>
      <c r="U584" s="15"/>
      <c r="V584" s="16">
        <f>+Tabla1[[#This Row],[PAGO MENSUAL]]*12</f>
        <v>196.56</v>
      </c>
      <c r="AB584" s="19"/>
      <c r="AC584" s="20"/>
      <c r="AD584" s="19"/>
      <c r="AE584" s="98"/>
    </row>
    <row r="585" spans="1:31" x14ac:dyDescent="0.3">
      <c r="A585" s="108">
        <v>585</v>
      </c>
      <c r="B585" s="46">
        <v>45625</v>
      </c>
      <c r="D585" s="13" t="s">
        <v>855</v>
      </c>
      <c r="E585" s="13" t="s">
        <v>51</v>
      </c>
      <c r="F585" s="13" t="s">
        <v>52</v>
      </c>
      <c r="G585" s="14" t="s">
        <v>396</v>
      </c>
      <c r="H585" s="14">
        <v>4304394</v>
      </c>
      <c r="I585" s="14" t="s">
        <v>486</v>
      </c>
      <c r="K585" s="21"/>
      <c r="L585" s="21"/>
      <c r="Q585" s="14" t="s">
        <v>395</v>
      </c>
      <c r="R585" s="14" t="s">
        <v>115</v>
      </c>
      <c r="T585" s="15"/>
      <c r="U585" s="15"/>
      <c r="V585" s="16">
        <v>2193.36</v>
      </c>
      <c r="AB585" s="19"/>
      <c r="AC585" s="20"/>
      <c r="AD585" s="19"/>
      <c r="AE585" s="98"/>
    </row>
    <row r="586" spans="1:31" x14ac:dyDescent="0.3">
      <c r="A586" s="105">
        <v>586</v>
      </c>
      <c r="B586" s="46">
        <v>45625</v>
      </c>
      <c r="D586" s="13" t="s">
        <v>855</v>
      </c>
      <c r="E586" s="13" t="s">
        <v>51</v>
      </c>
      <c r="F586" s="13" t="s">
        <v>52</v>
      </c>
      <c r="G586" s="14" t="s">
        <v>396</v>
      </c>
      <c r="H586" s="14">
        <v>4304449</v>
      </c>
      <c r="I586" s="14" t="s">
        <v>165</v>
      </c>
      <c r="K586" s="21"/>
      <c r="L586" s="21"/>
      <c r="Q586" s="14" t="s">
        <v>395</v>
      </c>
      <c r="R586" s="14" t="s">
        <v>776</v>
      </c>
      <c r="T586" s="15"/>
      <c r="U586" s="15"/>
      <c r="V586" s="16">
        <v>775.96</v>
      </c>
      <c r="AB586" s="19"/>
      <c r="AC586" s="20"/>
      <c r="AD586" s="19"/>
      <c r="AE586" s="98"/>
    </row>
    <row r="587" spans="1:31" x14ac:dyDescent="0.3">
      <c r="A587" s="107">
        <v>587</v>
      </c>
      <c r="B587" s="46">
        <v>45625</v>
      </c>
      <c r="D587" s="13" t="s">
        <v>855</v>
      </c>
      <c r="E587" s="13" t="s">
        <v>51</v>
      </c>
      <c r="F587" s="13" t="s">
        <v>52</v>
      </c>
      <c r="G587" s="14" t="s">
        <v>491</v>
      </c>
      <c r="H587" s="14">
        <v>4304532</v>
      </c>
      <c r="I587" s="14" t="s">
        <v>848</v>
      </c>
      <c r="K587" s="21"/>
      <c r="L587" s="21"/>
      <c r="Q587" s="14" t="s">
        <v>395</v>
      </c>
      <c r="R587" s="14" t="s">
        <v>115</v>
      </c>
      <c r="T587" s="15"/>
      <c r="U587" s="15"/>
      <c r="V587" s="16">
        <v>1826.32</v>
      </c>
      <c r="AB587" s="19"/>
      <c r="AC587" s="20"/>
      <c r="AD587" s="19"/>
      <c r="AE587" s="98"/>
    </row>
    <row r="588" spans="1:31" x14ac:dyDescent="0.3">
      <c r="A588" s="108">
        <v>588</v>
      </c>
      <c r="B588" s="46">
        <v>45625</v>
      </c>
      <c r="D588" s="13" t="s">
        <v>855</v>
      </c>
      <c r="E588" s="13" t="s">
        <v>51</v>
      </c>
      <c r="F588" s="13" t="s">
        <v>52</v>
      </c>
      <c r="G588" s="14" t="s">
        <v>566</v>
      </c>
      <c r="I588" s="14" t="s">
        <v>849</v>
      </c>
      <c r="K588" s="21"/>
      <c r="L588" s="21"/>
      <c r="Q588" s="14" t="s">
        <v>477</v>
      </c>
      <c r="R588" s="14" t="s">
        <v>859</v>
      </c>
      <c r="T588" s="15"/>
      <c r="U588" s="15"/>
      <c r="V588" s="16">
        <v>998.3</v>
      </c>
      <c r="AB588" s="19"/>
      <c r="AC588" s="20"/>
      <c r="AD588" s="19"/>
      <c r="AE588" s="98"/>
    </row>
    <row r="589" spans="1:31" x14ac:dyDescent="0.3">
      <c r="A589" s="105">
        <v>589</v>
      </c>
      <c r="B589" s="46">
        <v>45625</v>
      </c>
      <c r="D589" s="13" t="s">
        <v>855</v>
      </c>
      <c r="E589" s="13" t="s">
        <v>51</v>
      </c>
      <c r="F589" s="13" t="s">
        <v>52</v>
      </c>
      <c r="G589" s="14" t="s">
        <v>819</v>
      </c>
      <c r="H589" s="14">
        <v>15841</v>
      </c>
      <c r="I589" s="14" t="s">
        <v>850</v>
      </c>
      <c r="K589" s="21"/>
      <c r="L589" s="21"/>
      <c r="Q589" s="14" t="s">
        <v>307</v>
      </c>
      <c r="T589" s="15"/>
      <c r="U589" s="15"/>
      <c r="V589" s="16">
        <v>0</v>
      </c>
      <c r="AB589" s="19"/>
      <c r="AC589" s="20"/>
      <c r="AD589" s="19"/>
      <c r="AE589" s="98"/>
    </row>
    <row r="590" spans="1:31" x14ac:dyDescent="0.3">
      <c r="A590" s="107">
        <v>590</v>
      </c>
      <c r="B590" s="46">
        <v>45625</v>
      </c>
      <c r="D590" s="13" t="s">
        <v>855</v>
      </c>
      <c r="E590" s="13" t="s">
        <v>51</v>
      </c>
      <c r="F590" s="13" t="s">
        <v>52</v>
      </c>
      <c r="G590" s="14" t="s">
        <v>819</v>
      </c>
      <c r="H590" s="14">
        <v>15961</v>
      </c>
      <c r="I590" s="14" t="s">
        <v>851</v>
      </c>
      <c r="K590" s="21"/>
      <c r="L590" s="21"/>
      <c r="Q590" s="14" t="s">
        <v>307</v>
      </c>
      <c r="T590" s="15"/>
      <c r="U590" s="15"/>
      <c r="V590" s="16">
        <v>0</v>
      </c>
      <c r="AB590" s="19"/>
      <c r="AC590" s="20"/>
      <c r="AD590" s="19"/>
      <c r="AE590" s="98"/>
    </row>
    <row r="591" spans="1:31" x14ac:dyDescent="0.3">
      <c r="A591" s="108">
        <v>591</v>
      </c>
      <c r="B591" s="46">
        <v>45625</v>
      </c>
      <c r="D591" s="13" t="s">
        <v>855</v>
      </c>
      <c r="E591" s="13" t="s">
        <v>51</v>
      </c>
      <c r="F591" s="13" t="s">
        <v>52</v>
      </c>
      <c r="G591" s="14" t="s">
        <v>396</v>
      </c>
      <c r="H591" s="14">
        <v>4304738</v>
      </c>
      <c r="I591" s="14" t="s">
        <v>530</v>
      </c>
      <c r="K591" s="21"/>
      <c r="L591" s="21"/>
      <c r="Q591" s="14" t="s">
        <v>395</v>
      </c>
      <c r="R591" s="14" t="s">
        <v>265</v>
      </c>
      <c r="T591" s="15"/>
      <c r="U591" s="15"/>
      <c r="V591" s="16">
        <v>1653.19</v>
      </c>
      <c r="AB591" s="19"/>
      <c r="AC591" s="20"/>
      <c r="AD591" s="19"/>
      <c r="AE591" s="98"/>
    </row>
    <row r="592" spans="1:31" x14ac:dyDescent="0.3">
      <c r="A592" s="105">
        <v>592</v>
      </c>
      <c r="B592" s="46">
        <v>45625</v>
      </c>
      <c r="D592" s="13" t="s">
        <v>855</v>
      </c>
      <c r="E592" s="13" t="s">
        <v>51</v>
      </c>
      <c r="F592" s="13" t="s">
        <v>52</v>
      </c>
      <c r="G592" s="14" t="s">
        <v>566</v>
      </c>
      <c r="I592" s="14" t="s">
        <v>852</v>
      </c>
      <c r="K592" s="21"/>
      <c r="L592" s="21"/>
      <c r="Q592" s="14" t="s">
        <v>477</v>
      </c>
      <c r="R592" s="14" t="s">
        <v>859</v>
      </c>
      <c r="T592" s="15"/>
      <c r="U592" s="15"/>
      <c r="V592" s="16">
        <v>1036.03</v>
      </c>
      <c r="AB592" s="19"/>
      <c r="AC592" s="20"/>
      <c r="AD592" s="19"/>
      <c r="AE592" s="98"/>
    </row>
    <row r="593" spans="1:31" x14ac:dyDescent="0.3">
      <c r="A593" s="107">
        <v>593</v>
      </c>
      <c r="B593" s="46">
        <v>45625</v>
      </c>
      <c r="D593" s="13" t="s">
        <v>855</v>
      </c>
      <c r="E593" s="13" t="s">
        <v>51</v>
      </c>
      <c r="F593" s="13" t="s">
        <v>52</v>
      </c>
      <c r="G593" s="14" t="s">
        <v>396</v>
      </c>
      <c r="H593" s="14">
        <v>4304747</v>
      </c>
      <c r="I593" s="14" t="s">
        <v>210</v>
      </c>
      <c r="K593" s="21"/>
      <c r="L593" s="21"/>
      <c r="Q593" s="14" t="s">
        <v>395</v>
      </c>
      <c r="R593" s="14" t="s">
        <v>265</v>
      </c>
      <c r="T593" s="15"/>
      <c r="U593" s="15"/>
      <c r="V593" s="16">
        <v>1686.86</v>
      </c>
      <c r="AB593" s="19"/>
      <c r="AC593" s="20"/>
      <c r="AD593" s="19"/>
      <c r="AE593" s="98"/>
    </row>
    <row r="594" spans="1:31" x14ac:dyDescent="0.3">
      <c r="A594" s="108">
        <v>594</v>
      </c>
      <c r="B594" s="46">
        <v>45625</v>
      </c>
      <c r="C594" s="46">
        <v>45626</v>
      </c>
      <c r="D594" s="13" t="s">
        <v>855</v>
      </c>
      <c r="E594" s="13" t="s">
        <v>51</v>
      </c>
      <c r="F594" s="13" t="s">
        <v>66</v>
      </c>
      <c r="G594" s="14" t="s">
        <v>674</v>
      </c>
      <c r="H594" s="14">
        <v>35514</v>
      </c>
      <c r="I594" s="14" t="s">
        <v>881</v>
      </c>
      <c r="K594" s="21"/>
      <c r="L594" s="21"/>
      <c r="Q594" s="14" t="s">
        <v>477</v>
      </c>
      <c r="R594" s="14" t="s">
        <v>358</v>
      </c>
      <c r="T594" s="15">
        <v>27.79</v>
      </c>
      <c r="U594" s="15"/>
      <c r="V594" s="16">
        <f>Tabla1[[#This Row],[PAGO MENSUAL]]*12/1.09</f>
        <v>305.94495412844037</v>
      </c>
      <c r="AB594" s="19"/>
      <c r="AC594" s="20"/>
      <c r="AD594" s="19"/>
      <c r="AE594" s="98"/>
    </row>
    <row r="595" spans="1:31" x14ac:dyDescent="0.3">
      <c r="A595" s="105">
        <v>595</v>
      </c>
      <c r="B595" s="46">
        <v>45625</v>
      </c>
      <c r="C595" s="46">
        <v>45626</v>
      </c>
      <c r="D595" s="13" t="s">
        <v>855</v>
      </c>
      <c r="E595" s="13" t="s">
        <v>51</v>
      </c>
      <c r="F595" s="13" t="s">
        <v>66</v>
      </c>
      <c r="G595" s="14" t="s">
        <v>14</v>
      </c>
      <c r="H595" s="14">
        <v>35507</v>
      </c>
      <c r="I595" s="14" t="s">
        <v>525</v>
      </c>
      <c r="K595" s="21"/>
      <c r="L595" s="21">
        <v>984056279</v>
      </c>
      <c r="Q595" s="14" t="s">
        <v>477</v>
      </c>
      <c r="R595" s="14" t="s">
        <v>824</v>
      </c>
      <c r="T595" s="15">
        <f>95.03+0.12</f>
        <v>95.15</v>
      </c>
      <c r="U595" s="15"/>
      <c r="V595" s="16">
        <f>Tabla1[[#This Row],[PAGO MENSUAL]]*12/1.09</f>
        <v>1047.5229357798166</v>
      </c>
      <c r="AB595" s="19"/>
      <c r="AC595" s="20"/>
      <c r="AD595" s="19"/>
      <c r="AE595" s="98"/>
    </row>
    <row r="596" spans="1:31" x14ac:dyDescent="0.3">
      <c r="A596" s="107">
        <v>596</v>
      </c>
      <c r="B596" s="46">
        <v>45625</v>
      </c>
      <c r="C596" s="46">
        <v>45626</v>
      </c>
      <c r="D596" s="13" t="s">
        <v>855</v>
      </c>
      <c r="E596" s="13" t="s">
        <v>51</v>
      </c>
      <c r="F596" s="13" t="s">
        <v>66</v>
      </c>
      <c r="G596" s="14" t="s">
        <v>14</v>
      </c>
      <c r="H596" s="14">
        <v>35506</v>
      </c>
      <c r="I596" s="14" t="s">
        <v>523</v>
      </c>
      <c r="K596" s="21"/>
      <c r="L596" s="21"/>
      <c r="Q596" s="14" t="s">
        <v>477</v>
      </c>
      <c r="R596" s="14" t="s">
        <v>777</v>
      </c>
      <c r="T596" s="15">
        <f>113.14+0.14</f>
        <v>113.28</v>
      </c>
      <c r="U596" s="15"/>
      <c r="V596" s="16">
        <f>Tabla1[[#This Row],[PAGO MENSUAL]]*12/1.09</f>
        <v>1247.119266055046</v>
      </c>
      <c r="AB596" s="19"/>
      <c r="AC596" s="20"/>
      <c r="AD596" s="19"/>
      <c r="AE596" s="98"/>
    </row>
    <row r="597" spans="1:31" x14ac:dyDescent="0.3">
      <c r="A597" s="108">
        <v>597</v>
      </c>
      <c r="B597" s="46">
        <v>45625</v>
      </c>
      <c r="D597" s="13" t="s">
        <v>855</v>
      </c>
      <c r="E597" s="13" t="s">
        <v>51</v>
      </c>
      <c r="F597" s="13" t="s">
        <v>66</v>
      </c>
      <c r="G597" s="14" t="s">
        <v>790</v>
      </c>
      <c r="I597" s="14" t="s">
        <v>893</v>
      </c>
      <c r="K597" s="21"/>
      <c r="L597" s="21"/>
      <c r="Q597" s="14" t="s">
        <v>5</v>
      </c>
      <c r="R597" s="14" t="s">
        <v>169</v>
      </c>
      <c r="T597" s="15">
        <v>115.45</v>
      </c>
      <c r="U597" s="15"/>
      <c r="V597" s="16">
        <f>+T597*12/(1.005)</f>
        <v>1378.5074626865674</v>
      </c>
      <c r="AB597" s="19"/>
      <c r="AC597" s="20"/>
      <c r="AD597" s="19"/>
      <c r="AE597" s="98"/>
    </row>
    <row r="598" spans="1:31" x14ac:dyDescent="0.3">
      <c r="A598" s="105">
        <v>598</v>
      </c>
      <c r="B598" s="46">
        <v>45625</v>
      </c>
      <c r="D598" s="13" t="s">
        <v>855</v>
      </c>
      <c r="E598" s="13" t="s">
        <v>51</v>
      </c>
      <c r="F598" s="13" t="s">
        <v>66</v>
      </c>
      <c r="G598" s="14" t="s">
        <v>20</v>
      </c>
      <c r="I598" s="14" t="s">
        <v>895</v>
      </c>
      <c r="K598" s="21"/>
      <c r="L598" s="21"/>
      <c r="Q598" s="14" t="s">
        <v>3</v>
      </c>
      <c r="R598" s="14" t="s">
        <v>64</v>
      </c>
      <c r="T598" s="15">
        <v>64.709999999999994</v>
      </c>
      <c r="U598" s="15"/>
      <c r="V598" s="16">
        <f>+(T598*12)/1.005-65</f>
        <v>707.6567164179105</v>
      </c>
      <c r="AB598" s="19"/>
      <c r="AC598" s="20"/>
      <c r="AD598" s="19"/>
      <c r="AE598" s="98"/>
    </row>
    <row r="599" spans="1:31" x14ac:dyDescent="0.3">
      <c r="A599" s="107">
        <v>599</v>
      </c>
      <c r="B599" s="46">
        <v>45625</v>
      </c>
      <c r="D599" s="13" t="s">
        <v>855</v>
      </c>
      <c r="E599" s="13" t="s">
        <v>51</v>
      </c>
      <c r="F599" s="13" t="s">
        <v>66</v>
      </c>
      <c r="G599" s="14" t="s">
        <v>20</v>
      </c>
      <c r="I599" s="14" t="s">
        <v>647</v>
      </c>
      <c r="K599" s="21"/>
      <c r="L599" s="21"/>
      <c r="Q599" s="14" t="s">
        <v>3</v>
      </c>
      <c r="R599" s="14" t="s">
        <v>64</v>
      </c>
      <c r="T599" s="15">
        <v>53.84</v>
      </c>
      <c r="U599" s="15"/>
      <c r="V599" s="16">
        <f>+(T599*12)/1.005-65</f>
        <v>577.86567164179121</v>
      </c>
      <c r="AB599" s="19"/>
      <c r="AC599" s="20"/>
      <c r="AD599" s="19"/>
      <c r="AE599" s="98"/>
    </row>
    <row r="600" spans="1:31" x14ac:dyDescent="0.3">
      <c r="A600" s="108">
        <v>600</v>
      </c>
      <c r="B600" s="46">
        <v>45625</v>
      </c>
      <c r="D600" s="13" t="s">
        <v>855</v>
      </c>
      <c r="E600" s="13" t="s">
        <v>51</v>
      </c>
      <c r="F600" s="13" t="s">
        <v>66</v>
      </c>
      <c r="G600" s="14" t="s">
        <v>262</v>
      </c>
      <c r="I600" s="14" t="s">
        <v>897</v>
      </c>
      <c r="K600" s="21"/>
      <c r="L600" s="21"/>
      <c r="Q600" s="14" t="s">
        <v>407</v>
      </c>
      <c r="R600" s="14" t="s">
        <v>408</v>
      </c>
      <c r="T600" s="15">
        <v>63.27</v>
      </c>
      <c r="U600" s="15"/>
      <c r="V600" s="16">
        <f>+T600*12/(1.005)</f>
        <v>755.46268656716427</v>
      </c>
      <c r="AB600" s="19"/>
      <c r="AC600" s="20"/>
      <c r="AD600" s="19"/>
      <c r="AE600" s="98"/>
    </row>
    <row r="601" spans="1:31" x14ac:dyDescent="0.3">
      <c r="A601" s="105">
        <v>601</v>
      </c>
      <c r="B601" s="46">
        <v>45628</v>
      </c>
      <c r="D601" s="13" t="s">
        <v>862</v>
      </c>
      <c r="E601" s="13" t="s">
        <v>51</v>
      </c>
      <c r="F601" s="13" t="s">
        <v>66</v>
      </c>
      <c r="G601" s="14" t="s">
        <v>15</v>
      </c>
      <c r="H601" s="14" t="s">
        <v>900</v>
      </c>
      <c r="I601" s="14" t="s">
        <v>316</v>
      </c>
      <c r="K601" s="21"/>
      <c r="L601" s="21"/>
      <c r="Q601" s="14" t="s">
        <v>3</v>
      </c>
      <c r="R601" s="14" t="s">
        <v>64</v>
      </c>
      <c r="T601" s="15">
        <f>1059.36/12</f>
        <v>88.279999999999987</v>
      </c>
      <c r="U601" s="15"/>
      <c r="V601" s="16">
        <f>+(T601*12)/1.005-65</f>
        <v>989.08955223880594</v>
      </c>
      <c r="AB601" s="19"/>
      <c r="AC601" s="20"/>
      <c r="AD601" s="19"/>
      <c r="AE601" s="98"/>
    </row>
    <row r="602" spans="1:31" x14ac:dyDescent="0.3">
      <c r="A602" s="107">
        <v>602</v>
      </c>
      <c r="B602" s="46">
        <v>45629</v>
      </c>
      <c r="D602" s="13" t="s">
        <v>862</v>
      </c>
      <c r="E602" s="13" t="s">
        <v>51</v>
      </c>
      <c r="F602" s="13" t="s">
        <v>52</v>
      </c>
      <c r="G602" s="14" t="s">
        <v>396</v>
      </c>
      <c r="I602" s="14" t="s">
        <v>910</v>
      </c>
      <c r="K602" s="21"/>
      <c r="L602" s="21"/>
      <c r="Q602" s="14" t="s">
        <v>395</v>
      </c>
      <c r="R602" s="14" t="s">
        <v>62</v>
      </c>
      <c r="T602" s="15"/>
      <c r="U602" s="15"/>
      <c r="V602" s="16">
        <v>1362.57</v>
      </c>
      <c r="AB602" s="19"/>
      <c r="AC602" s="20"/>
      <c r="AD602" s="19"/>
      <c r="AE602" s="98"/>
    </row>
    <row r="603" spans="1:31" x14ac:dyDescent="0.3">
      <c r="A603" s="108">
        <v>603</v>
      </c>
      <c r="B603" s="46">
        <v>45629</v>
      </c>
      <c r="D603" s="13" t="s">
        <v>862</v>
      </c>
      <c r="E603" s="13" t="s">
        <v>186</v>
      </c>
      <c r="F603" s="13" t="s">
        <v>52</v>
      </c>
      <c r="G603" s="14" t="s">
        <v>819</v>
      </c>
      <c r="I603" s="14" t="s">
        <v>911</v>
      </c>
      <c r="K603" s="21"/>
      <c r="L603" s="21"/>
      <c r="Q603" s="14" t="s">
        <v>3</v>
      </c>
      <c r="R603" s="14" t="s">
        <v>64</v>
      </c>
      <c r="T603" s="15"/>
      <c r="U603" s="15"/>
      <c r="V603" s="16">
        <v>0</v>
      </c>
      <c r="AB603" s="19"/>
      <c r="AC603" s="20"/>
      <c r="AD603" s="19"/>
      <c r="AE603" s="98"/>
    </row>
    <row r="604" spans="1:31" x14ac:dyDescent="0.3">
      <c r="A604" s="105">
        <v>604</v>
      </c>
      <c r="B604" s="46">
        <v>45630</v>
      </c>
      <c r="D604" s="13" t="s">
        <v>862</v>
      </c>
      <c r="E604" s="13" t="s">
        <v>51</v>
      </c>
      <c r="F604" s="13" t="s">
        <v>66</v>
      </c>
      <c r="G604" s="14" t="s">
        <v>15</v>
      </c>
      <c r="I604" s="14" t="s">
        <v>894</v>
      </c>
      <c r="K604" s="21"/>
      <c r="L604" s="21"/>
      <c r="Q604" s="14" t="s">
        <v>586</v>
      </c>
      <c r="R604" s="14" t="s">
        <v>89</v>
      </c>
      <c r="T604" s="15">
        <v>0</v>
      </c>
      <c r="U604" s="15">
        <v>2793.05</v>
      </c>
      <c r="V604" s="16">
        <f>+Tabla1[[#This Row],[PAGO ANUAL]]/1.005-100</f>
        <v>2679.1542288557221</v>
      </c>
      <c r="AB604" s="19"/>
      <c r="AC604" s="20"/>
      <c r="AD604" s="19"/>
      <c r="AE604" s="98"/>
    </row>
    <row r="605" spans="1:31" x14ac:dyDescent="0.3">
      <c r="A605" s="107">
        <v>605</v>
      </c>
      <c r="B605" s="46">
        <v>45630</v>
      </c>
      <c r="D605" s="13" t="s">
        <v>862</v>
      </c>
      <c r="E605" s="13" t="s">
        <v>51</v>
      </c>
      <c r="F605" s="13" t="s">
        <v>52</v>
      </c>
      <c r="G605" s="14" t="s">
        <v>912</v>
      </c>
      <c r="I605" s="14" t="s">
        <v>913</v>
      </c>
      <c r="K605" s="21"/>
      <c r="L605" s="21"/>
      <c r="Q605" s="14" t="s">
        <v>395</v>
      </c>
      <c r="R605" s="14" t="s">
        <v>914</v>
      </c>
      <c r="T605" s="15"/>
      <c r="U605" s="15"/>
      <c r="V605" s="16">
        <v>2400.16</v>
      </c>
      <c r="AB605" s="19"/>
      <c r="AC605" s="20"/>
      <c r="AD605" s="19"/>
      <c r="AE605" s="98"/>
    </row>
    <row r="606" spans="1:31" x14ac:dyDescent="0.3">
      <c r="A606" s="108">
        <v>606</v>
      </c>
      <c r="B606" s="46">
        <v>45631</v>
      </c>
      <c r="D606" s="13" t="s">
        <v>862</v>
      </c>
      <c r="E606" s="13" t="s">
        <v>51</v>
      </c>
      <c r="F606" s="13" t="s">
        <v>52</v>
      </c>
      <c r="G606" s="14" t="s">
        <v>860</v>
      </c>
      <c r="I606" s="14" t="s">
        <v>915</v>
      </c>
      <c r="K606" s="21"/>
      <c r="L606" s="21"/>
      <c r="Q606" s="14" t="s">
        <v>3</v>
      </c>
      <c r="R606" s="14" t="s">
        <v>64</v>
      </c>
      <c r="T606" s="15"/>
      <c r="U606" s="15"/>
      <c r="V606" s="16">
        <v>779.73</v>
      </c>
      <c r="AB606" s="19"/>
      <c r="AC606" s="20"/>
      <c r="AD606" s="19"/>
      <c r="AE606" s="98"/>
    </row>
    <row r="607" spans="1:31" x14ac:dyDescent="0.3">
      <c r="A607" s="105">
        <v>607</v>
      </c>
      <c r="B607" s="46">
        <v>45631</v>
      </c>
      <c r="D607" s="13" t="s">
        <v>862</v>
      </c>
      <c r="E607" s="13" t="s">
        <v>51</v>
      </c>
      <c r="F607" s="13" t="s">
        <v>52</v>
      </c>
      <c r="G607" s="14" t="s">
        <v>860</v>
      </c>
      <c r="I607" s="14" t="s">
        <v>435</v>
      </c>
      <c r="K607" s="21"/>
      <c r="L607" s="21"/>
      <c r="Q607" s="14" t="s">
        <v>3</v>
      </c>
      <c r="R607" s="14" t="s">
        <v>64</v>
      </c>
      <c r="T607" s="15"/>
      <c r="U607" s="15"/>
      <c r="V607" s="16">
        <v>360.08</v>
      </c>
      <c r="AB607" s="19"/>
      <c r="AC607" s="20"/>
      <c r="AD607" s="19"/>
      <c r="AE607" s="98"/>
    </row>
    <row r="608" spans="1:31" x14ac:dyDescent="0.3">
      <c r="A608" s="107">
        <v>608</v>
      </c>
      <c r="B608" s="46">
        <v>45631</v>
      </c>
      <c r="D608" s="13" t="s">
        <v>862</v>
      </c>
      <c r="E608" s="13" t="s">
        <v>186</v>
      </c>
      <c r="F608" s="13" t="s">
        <v>52</v>
      </c>
      <c r="G608" s="14" t="s">
        <v>819</v>
      </c>
      <c r="I608" s="14" t="s">
        <v>916</v>
      </c>
      <c r="K608" s="21"/>
      <c r="L608" s="21"/>
      <c r="Q608" s="14" t="s">
        <v>307</v>
      </c>
      <c r="T608" s="15"/>
      <c r="U608" s="15"/>
      <c r="V608" s="16">
        <v>0</v>
      </c>
      <c r="AB608" s="19"/>
      <c r="AC608" s="20"/>
      <c r="AD608" s="19"/>
      <c r="AE608" s="98"/>
    </row>
    <row r="609" spans="1:31" x14ac:dyDescent="0.3">
      <c r="A609" s="108">
        <v>609</v>
      </c>
      <c r="B609" s="46">
        <v>45631</v>
      </c>
      <c r="D609" s="13" t="s">
        <v>862</v>
      </c>
      <c r="E609" s="13" t="s">
        <v>186</v>
      </c>
      <c r="F609" s="13" t="s">
        <v>52</v>
      </c>
      <c r="G609" s="14" t="s">
        <v>819</v>
      </c>
      <c r="I609" s="14" t="s">
        <v>917</v>
      </c>
      <c r="K609" s="21"/>
      <c r="L609" s="21"/>
      <c r="Q609" s="14" t="s">
        <v>307</v>
      </c>
      <c r="T609" s="15"/>
      <c r="U609" s="15"/>
      <c r="V609" s="16">
        <v>0</v>
      </c>
      <c r="AB609" s="19"/>
      <c r="AC609" s="20"/>
      <c r="AD609" s="19"/>
      <c r="AE609" s="98"/>
    </row>
    <row r="610" spans="1:31" x14ac:dyDescent="0.3">
      <c r="A610" s="105">
        <v>610</v>
      </c>
      <c r="B610" s="46">
        <v>45631</v>
      </c>
      <c r="D610" s="13" t="s">
        <v>862</v>
      </c>
      <c r="E610" s="13" t="s">
        <v>186</v>
      </c>
      <c r="F610" s="13" t="s">
        <v>52</v>
      </c>
      <c r="G610" s="14" t="s">
        <v>819</v>
      </c>
      <c r="I610" s="14" t="s">
        <v>918</v>
      </c>
      <c r="K610" s="21"/>
      <c r="L610" s="21"/>
      <c r="Q610" s="14" t="s">
        <v>307</v>
      </c>
      <c r="T610" s="15"/>
      <c r="U610" s="15"/>
      <c r="V610" s="16">
        <v>0</v>
      </c>
      <c r="AB610" s="19"/>
      <c r="AC610" s="20"/>
      <c r="AD610" s="19"/>
      <c r="AE610" s="98"/>
    </row>
    <row r="611" spans="1:31" x14ac:dyDescent="0.3">
      <c r="A611" s="107">
        <v>611</v>
      </c>
      <c r="B611" s="46">
        <v>45631</v>
      </c>
      <c r="D611" s="13" t="s">
        <v>862</v>
      </c>
      <c r="E611" s="13" t="s">
        <v>186</v>
      </c>
      <c r="F611" s="13" t="s">
        <v>52</v>
      </c>
      <c r="G611" s="14" t="s">
        <v>819</v>
      </c>
      <c r="I611" s="14" t="s">
        <v>911</v>
      </c>
      <c r="K611" s="21"/>
      <c r="L611" s="21"/>
      <c r="Q611" s="14" t="s">
        <v>307</v>
      </c>
      <c r="T611" s="15"/>
      <c r="U611" s="15"/>
      <c r="V611" s="16">
        <v>0</v>
      </c>
      <c r="AB611" s="19"/>
      <c r="AC611" s="20"/>
      <c r="AD611" s="19"/>
      <c r="AE611" s="98"/>
    </row>
    <row r="612" spans="1:31" x14ac:dyDescent="0.3">
      <c r="A612" s="108">
        <v>612</v>
      </c>
      <c r="B612" s="46">
        <v>45631</v>
      </c>
      <c r="D612" s="13" t="s">
        <v>862</v>
      </c>
      <c r="E612" s="13" t="s">
        <v>186</v>
      </c>
      <c r="F612" s="13" t="s">
        <v>52</v>
      </c>
      <c r="G612" s="14" t="s">
        <v>819</v>
      </c>
      <c r="I612" s="14" t="s">
        <v>919</v>
      </c>
      <c r="K612" s="21"/>
      <c r="L612" s="21"/>
      <c r="Q612" s="14" t="s">
        <v>307</v>
      </c>
      <c r="T612" s="15"/>
      <c r="U612" s="15"/>
      <c r="V612" s="16">
        <v>0</v>
      </c>
      <c r="AB612" s="19"/>
      <c r="AC612" s="20"/>
      <c r="AD612" s="19"/>
      <c r="AE612" s="98"/>
    </row>
    <row r="613" spans="1:31" x14ac:dyDescent="0.3">
      <c r="A613" s="105">
        <v>613</v>
      </c>
      <c r="B613" s="46">
        <v>45632</v>
      </c>
      <c r="C613" s="46">
        <v>45636</v>
      </c>
      <c r="D613" s="13" t="s">
        <v>862</v>
      </c>
      <c r="E613" s="13" t="s">
        <v>51</v>
      </c>
      <c r="F613" s="13" t="s">
        <v>66</v>
      </c>
      <c r="G613" s="14" t="s">
        <v>790</v>
      </c>
      <c r="H613" s="14">
        <v>35595</v>
      </c>
      <c r="I613" s="14" t="s">
        <v>865</v>
      </c>
      <c r="K613" s="21">
        <v>931902530</v>
      </c>
      <c r="L613" s="21"/>
      <c r="Q613" s="14" t="s">
        <v>477</v>
      </c>
      <c r="R613" s="14" t="s">
        <v>824</v>
      </c>
      <c r="T613" s="15">
        <v>66.489999999999995</v>
      </c>
      <c r="U613" s="15"/>
      <c r="V613" s="16">
        <f>+Tabla1[[#This Row],[PAGO MENSUAL]]*12/1.09</f>
        <v>731.99999999999989</v>
      </c>
      <c r="AB613" s="19"/>
      <c r="AC613" s="20"/>
      <c r="AD613" s="19"/>
      <c r="AE613" s="98"/>
    </row>
    <row r="614" spans="1:31" x14ac:dyDescent="0.3">
      <c r="A614" s="107">
        <v>614</v>
      </c>
      <c r="B614" s="46">
        <v>45632</v>
      </c>
      <c r="D614" s="13" t="s">
        <v>862</v>
      </c>
      <c r="E614" s="13" t="s">
        <v>51</v>
      </c>
      <c r="F614" s="13" t="s">
        <v>66</v>
      </c>
      <c r="G614" s="14" t="s">
        <v>12</v>
      </c>
      <c r="I614" s="14" t="s">
        <v>889</v>
      </c>
      <c r="K614" s="21"/>
      <c r="L614" s="21"/>
      <c r="Q614" s="14" t="s">
        <v>148</v>
      </c>
      <c r="R614" s="14" t="s">
        <v>512</v>
      </c>
      <c r="T614" s="15">
        <v>84.29</v>
      </c>
      <c r="U614" s="15"/>
      <c r="V614" s="16">
        <f>+T614*12/(1.005)</f>
        <v>1006.44776119403</v>
      </c>
      <c r="AB614" s="19"/>
      <c r="AC614" s="20"/>
      <c r="AD614" s="19"/>
      <c r="AE614" s="98"/>
    </row>
    <row r="615" spans="1:31" x14ac:dyDescent="0.3">
      <c r="A615" s="108">
        <v>615</v>
      </c>
      <c r="B615" s="46">
        <v>45632</v>
      </c>
      <c r="D615" s="13" t="s">
        <v>862</v>
      </c>
      <c r="E615" s="13" t="s">
        <v>51</v>
      </c>
      <c r="F615" s="13" t="s">
        <v>66</v>
      </c>
      <c r="G615" s="14" t="s">
        <v>175</v>
      </c>
      <c r="I615" s="14" t="s">
        <v>890</v>
      </c>
      <c r="K615" s="21"/>
      <c r="L615" s="21"/>
      <c r="Q615" s="14" t="s">
        <v>407</v>
      </c>
      <c r="R615" s="14" t="s">
        <v>627</v>
      </c>
      <c r="T615" s="15">
        <v>53.09</v>
      </c>
      <c r="U615" s="15"/>
      <c r="V615" s="16">
        <f>+T615*12/(1.005)</f>
        <v>633.91044776119418</v>
      </c>
      <c r="AB615" s="19"/>
      <c r="AC615" s="20"/>
      <c r="AD615" s="19"/>
      <c r="AE615" s="98"/>
    </row>
    <row r="616" spans="1:31" x14ac:dyDescent="0.3">
      <c r="A616" s="105">
        <v>616</v>
      </c>
      <c r="B616" s="46">
        <v>45632</v>
      </c>
      <c r="D616" s="13" t="s">
        <v>862</v>
      </c>
      <c r="E616" s="13" t="s">
        <v>51</v>
      </c>
      <c r="F616" s="13" t="s">
        <v>66</v>
      </c>
      <c r="G616" s="14" t="s">
        <v>175</v>
      </c>
      <c r="I616" s="14" t="s">
        <v>891</v>
      </c>
      <c r="K616" s="21"/>
      <c r="L616" s="21"/>
      <c r="Q616" s="14" t="s">
        <v>407</v>
      </c>
      <c r="R616" s="14" t="s">
        <v>627</v>
      </c>
      <c r="T616" s="15">
        <v>68.8</v>
      </c>
      <c r="U616" s="15"/>
      <c r="V616" s="16">
        <f>+T616*12/(1.005)</f>
        <v>821.49253731343288</v>
      </c>
      <c r="AB616" s="19"/>
      <c r="AC616" s="20"/>
      <c r="AD616" s="19"/>
      <c r="AE616" s="98"/>
    </row>
    <row r="617" spans="1:31" x14ac:dyDescent="0.3">
      <c r="A617" s="107">
        <v>617</v>
      </c>
      <c r="B617" s="46">
        <v>45632</v>
      </c>
      <c r="D617" s="13" t="s">
        <v>862</v>
      </c>
      <c r="E617" s="13" t="s">
        <v>51</v>
      </c>
      <c r="F617" s="13" t="s">
        <v>66</v>
      </c>
      <c r="G617" s="14" t="s">
        <v>175</v>
      </c>
      <c r="I617" s="14" t="s">
        <v>892</v>
      </c>
      <c r="K617" s="21"/>
      <c r="L617" s="21"/>
      <c r="Q617" s="14" t="s">
        <v>407</v>
      </c>
      <c r="R617" s="14" t="s">
        <v>627</v>
      </c>
      <c r="T617" s="15">
        <v>41.76</v>
      </c>
      <c r="U617" s="15"/>
      <c r="V617" s="16">
        <f>+T617*12/(1.005)</f>
        <v>498.62686567164184</v>
      </c>
      <c r="AB617" s="19"/>
      <c r="AC617" s="20"/>
      <c r="AD617" s="19"/>
      <c r="AE617" s="98"/>
    </row>
    <row r="618" spans="1:31" x14ac:dyDescent="0.3">
      <c r="A618" s="108">
        <v>618</v>
      </c>
      <c r="B618" s="46">
        <v>45632</v>
      </c>
      <c r="D618" s="13" t="s">
        <v>862</v>
      </c>
      <c r="E618" s="13" t="s">
        <v>51</v>
      </c>
      <c r="F618" s="13" t="s">
        <v>52</v>
      </c>
      <c r="G618" s="14" t="s">
        <v>466</v>
      </c>
      <c r="I618" s="14" t="s">
        <v>920</v>
      </c>
      <c r="K618" s="21"/>
      <c r="L618" s="21"/>
      <c r="Q618" s="14" t="s">
        <v>921</v>
      </c>
      <c r="T618" s="15"/>
      <c r="U618" s="15"/>
      <c r="V618" s="16">
        <v>982.54</v>
      </c>
      <c r="AB618" s="19"/>
      <c r="AC618" s="20"/>
      <c r="AD618" s="19"/>
      <c r="AE618" s="98"/>
    </row>
    <row r="619" spans="1:31" x14ac:dyDescent="0.3">
      <c r="A619" s="105">
        <v>619</v>
      </c>
      <c r="B619" s="46">
        <v>45635</v>
      </c>
      <c r="D619" s="13" t="s">
        <v>862</v>
      </c>
      <c r="E619" s="13" t="s">
        <v>51</v>
      </c>
      <c r="F619" s="13" t="s">
        <v>66</v>
      </c>
      <c r="G619" s="14" t="s">
        <v>790</v>
      </c>
      <c r="I619" s="14" t="s">
        <v>888</v>
      </c>
      <c r="K619" s="21"/>
      <c r="L619" s="21"/>
      <c r="Q619" s="14" t="s">
        <v>5</v>
      </c>
      <c r="R619" s="14" t="s">
        <v>169</v>
      </c>
      <c r="T619" s="15">
        <v>75.91</v>
      </c>
      <c r="U619" s="15"/>
      <c r="V619" s="16">
        <f>+T619*12/(1.005)</f>
        <v>906.38805970149258</v>
      </c>
      <c r="AB619" s="19"/>
      <c r="AC619" s="20"/>
      <c r="AD619" s="19"/>
      <c r="AE619" s="98"/>
    </row>
    <row r="620" spans="1:31" x14ac:dyDescent="0.3">
      <c r="A620" s="107">
        <v>620</v>
      </c>
      <c r="B620" s="46">
        <v>45636</v>
      </c>
      <c r="C620" s="46">
        <v>45636</v>
      </c>
      <c r="D620" s="13" t="s">
        <v>862</v>
      </c>
      <c r="E620" s="13" t="s">
        <v>51</v>
      </c>
      <c r="F620" s="13" t="s">
        <v>66</v>
      </c>
      <c r="G620" s="14" t="s">
        <v>13</v>
      </c>
      <c r="H620" s="14">
        <v>4305339</v>
      </c>
      <c r="I620" s="14" t="s">
        <v>863</v>
      </c>
      <c r="K620" s="21">
        <v>915789796</v>
      </c>
      <c r="L620" s="21"/>
      <c r="Q620" s="14" t="s">
        <v>395</v>
      </c>
      <c r="R620" s="14" t="s">
        <v>683</v>
      </c>
      <c r="T620" s="15">
        <v>13.83</v>
      </c>
      <c r="U620" s="15"/>
      <c r="V620" s="16">
        <f>+Tabla1[[#This Row],[PAGO MENSUAL]]*12</f>
        <v>165.96</v>
      </c>
      <c r="AB620" s="19"/>
      <c r="AC620" s="20"/>
      <c r="AD620" s="19"/>
      <c r="AE620" s="98"/>
    </row>
    <row r="621" spans="1:31" x14ac:dyDescent="0.3">
      <c r="A621" s="108">
        <v>621</v>
      </c>
      <c r="B621" s="46">
        <v>45636</v>
      </c>
      <c r="C621" s="46">
        <v>45636</v>
      </c>
      <c r="D621" s="13" t="s">
        <v>862</v>
      </c>
      <c r="E621" s="13" t="s">
        <v>51</v>
      </c>
      <c r="F621" s="13" t="s">
        <v>66</v>
      </c>
      <c r="G621" s="14" t="s">
        <v>11</v>
      </c>
      <c r="H621" s="14">
        <v>35632</v>
      </c>
      <c r="I621" s="14" t="s">
        <v>866</v>
      </c>
      <c r="K621" s="21"/>
      <c r="L621" s="21"/>
      <c r="Q621" s="14" t="s">
        <v>477</v>
      </c>
      <c r="R621" s="14" t="s">
        <v>824</v>
      </c>
      <c r="T621" s="15">
        <v>80.08</v>
      </c>
      <c r="U621" s="15"/>
      <c r="V621" s="16">
        <f>+Tabla1[[#This Row],[PAGO MENSUAL]]*12/1.09</f>
        <v>881.61467889908249</v>
      </c>
      <c r="AB621" s="19"/>
      <c r="AC621" s="20"/>
      <c r="AD621" s="19"/>
      <c r="AE621" s="98"/>
    </row>
    <row r="622" spans="1:31" x14ac:dyDescent="0.3">
      <c r="A622" s="105">
        <v>622</v>
      </c>
      <c r="B622" s="46">
        <v>45636</v>
      </c>
      <c r="D622" s="13" t="s">
        <v>862</v>
      </c>
      <c r="E622" s="13" t="s">
        <v>51</v>
      </c>
      <c r="F622" s="13" t="s">
        <v>52</v>
      </c>
      <c r="G622" s="14" t="s">
        <v>912</v>
      </c>
      <c r="I622" s="14" t="s">
        <v>922</v>
      </c>
      <c r="K622" s="21"/>
      <c r="L622" s="21"/>
      <c r="Q622" s="14" t="s">
        <v>395</v>
      </c>
      <c r="R622" s="14" t="s">
        <v>62</v>
      </c>
      <c r="T622" s="15"/>
      <c r="U622" s="15"/>
      <c r="V622" s="16">
        <v>477.58</v>
      </c>
      <c r="AB622" s="19"/>
      <c r="AC622" s="20"/>
      <c r="AD622" s="19"/>
      <c r="AE622" s="98"/>
    </row>
    <row r="623" spans="1:31" x14ac:dyDescent="0.3">
      <c r="A623" s="107">
        <v>623</v>
      </c>
      <c r="B623" s="46">
        <v>45636</v>
      </c>
      <c r="D623" s="13" t="s">
        <v>862</v>
      </c>
      <c r="E623" s="13" t="s">
        <v>51</v>
      </c>
      <c r="F623" s="13" t="s">
        <v>52</v>
      </c>
      <c r="G623" s="14" t="s">
        <v>483</v>
      </c>
      <c r="I623" s="14" t="s">
        <v>923</v>
      </c>
      <c r="K623" s="21"/>
      <c r="L623" s="21"/>
      <c r="Q623" s="14" t="s">
        <v>395</v>
      </c>
      <c r="R623" s="14" t="s">
        <v>924</v>
      </c>
      <c r="T623" s="15"/>
      <c r="U623" s="15"/>
      <c r="V623" s="16">
        <v>829.81</v>
      </c>
      <c r="AB623" s="19"/>
      <c r="AC623" s="20"/>
      <c r="AD623" s="19"/>
      <c r="AE623" s="17" t="s">
        <v>951</v>
      </c>
    </row>
    <row r="624" spans="1:31" x14ac:dyDescent="0.3">
      <c r="A624" s="108">
        <v>624</v>
      </c>
      <c r="B624" s="46">
        <v>45636</v>
      </c>
      <c r="D624" s="13" t="s">
        <v>862</v>
      </c>
      <c r="E624" s="13" t="s">
        <v>51</v>
      </c>
      <c r="F624" s="13" t="s">
        <v>52</v>
      </c>
      <c r="G624" s="14" t="s">
        <v>459</v>
      </c>
      <c r="I624" s="14" t="s">
        <v>925</v>
      </c>
      <c r="K624" s="21"/>
      <c r="L624" s="21"/>
      <c r="Q624" s="14" t="s">
        <v>395</v>
      </c>
      <c r="R624" s="14" t="s">
        <v>80</v>
      </c>
      <c r="T624" s="15"/>
      <c r="U624" s="15"/>
      <c r="V624" s="16">
        <v>2722.89</v>
      </c>
      <c r="AB624" s="19"/>
      <c r="AC624" s="20"/>
      <c r="AD624" s="19"/>
      <c r="AE624" s="98"/>
    </row>
    <row r="625" spans="1:31" x14ac:dyDescent="0.3">
      <c r="A625" s="105">
        <v>625</v>
      </c>
      <c r="B625" s="46">
        <v>45637</v>
      </c>
      <c r="C625" s="46">
        <v>45646</v>
      </c>
      <c r="D625" s="13" t="s">
        <v>862</v>
      </c>
      <c r="E625" s="13" t="s">
        <v>51</v>
      </c>
      <c r="F625" s="13" t="s">
        <v>66</v>
      </c>
      <c r="G625" s="14" t="s">
        <v>16</v>
      </c>
      <c r="H625" s="14">
        <v>35641</v>
      </c>
      <c r="I625" s="14" t="s">
        <v>867</v>
      </c>
      <c r="K625" s="21"/>
      <c r="L625" s="21"/>
      <c r="Q625" s="14" t="s">
        <v>477</v>
      </c>
      <c r="R625" s="14" t="s">
        <v>358</v>
      </c>
      <c r="T625" s="15">
        <v>48.2</v>
      </c>
      <c r="U625" s="15"/>
      <c r="V625" s="16">
        <f>+Tabla1[[#This Row],[PAGO MENSUAL]]*12/1.09</f>
        <v>530.64220183486248</v>
      </c>
      <c r="AB625" s="19"/>
      <c r="AC625" s="20"/>
      <c r="AD625" s="19"/>
      <c r="AE625" s="17" t="s">
        <v>951</v>
      </c>
    </row>
    <row r="626" spans="1:31" x14ac:dyDescent="0.3">
      <c r="A626" s="107">
        <v>626</v>
      </c>
      <c r="B626" s="46">
        <v>45637</v>
      </c>
      <c r="C626" s="46">
        <v>45642</v>
      </c>
      <c r="D626" s="13" t="s">
        <v>862</v>
      </c>
      <c r="E626" s="13" t="s">
        <v>51</v>
      </c>
      <c r="F626" s="13" t="s">
        <v>66</v>
      </c>
      <c r="G626" s="14" t="s">
        <v>16</v>
      </c>
      <c r="I626" s="14" t="s">
        <v>885</v>
      </c>
      <c r="K626" s="21"/>
      <c r="L626" s="21"/>
      <c r="Q626" s="14" t="s">
        <v>148</v>
      </c>
      <c r="R626" s="14" t="s">
        <v>512</v>
      </c>
      <c r="T626" s="15">
        <v>196.18</v>
      </c>
      <c r="U626" s="15"/>
      <c r="V626" s="16">
        <f>Tabla1[[#This Row],[PAGO MENSUAL]]*12/(1.005)</f>
        <v>2342.4477611940301</v>
      </c>
      <c r="AB626" s="19"/>
      <c r="AC626" s="20"/>
      <c r="AD626" s="19"/>
      <c r="AE626" s="98"/>
    </row>
    <row r="627" spans="1:31" x14ac:dyDescent="0.3">
      <c r="A627" s="108">
        <v>627</v>
      </c>
      <c r="B627" s="46">
        <v>45637</v>
      </c>
      <c r="D627" s="13" t="s">
        <v>862</v>
      </c>
      <c r="E627" s="13" t="s">
        <v>51</v>
      </c>
      <c r="F627" s="13" t="s">
        <v>66</v>
      </c>
      <c r="G627" s="14" t="s">
        <v>12</v>
      </c>
      <c r="I627" s="14" t="s">
        <v>887</v>
      </c>
      <c r="K627" s="21"/>
      <c r="L627" s="21"/>
      <c r="Q627" s="14" t="s">
        <v>407</v>
      </c>
      <c r="R627" s="14" t="s">
        <v>408</v>
      </c>
      <c r="T627" s="15">
        <v>50.25</v>
      </c>
      <c r="U627" s="15"/>
      <c r="V627" s="16">
        <f>Tabla1[[#This Row],[PAGO MENSUAL]]*12/(1.005)</f>
        <v>600.00000000000011</v>
      </c>
      <c r="AB627" s="19"/>
      <c r="AC627" s="20"/>
      <c r="AD627" s="19"/>
      <c r="AE627" s="98"/>
    </row>
    <row r="628" spans="1:31" x14ac:dyDescent="0.3">
      <c r="A628" s="105">
        <v>628</v>
      </c>
      <c r="B628" s="46">
        <v>45637</v>
      </c>
      <c r="D628" s="13" t="s">
        <v>862</v>
      </c>
      <c r="E628" s="13" t="s">
        <v>51</v>
      </c>
      <c r="F628" s="13" t="s">
        <v>52</v>
      </c>
      <c r="G628" s="14" t="s">
        <v>912</v>
      </c>
      <c r="I628" s="14" t="s">
        <v>926</v>
      </c>
      <c r="K628" s="21"/>
      <c r="L628" s="21"/>
      <c r="Q628" s="14" t="s">
        <v>395</v>
      </c>
      <c r="R628" s="14" t="s">
        <v>927</v>
      </c>
      <c r="T628" s="15"/>
      <c r="U628" s="15"/>
      <c r="V628" s="16">
        <v>1231.23</v>
      </c>
      <c r="AB628" s="19"/>
      <c r="AC628" s="20"/>
      <c r="AD628" s="19"/>
      <c r="AE628" s="98"/>
    </row>
    <row r="629" spans="1:31" x14ac:dyDescent="0.3">
      <c r="A629" s="107">
        <v>629</v>
      </c>
      <c r="B629" s="46">
        <v>45642</v>
      </c>
      <c r="D629" s="13" t="s">
        <v>862</v>
      </c>
      <c r="E629" s="13" t="s">
        <v>65</v>
      </c>
      <c r="F629" s="13" t="s">
        <v>66</v>
      </c>
      <c r="G629" s="14" t="s">
        <v>14</v>
      </c>
      <c r="I629" s="14" t="s">
        <v>905</v>
      </c>
      <c r="K629" s="21"/>
      <c r="L629" s="21"/>
      <c r="Q629" s="14" t="s">
        <v>395</v>
      </c>
      <c r="R629" s="14" t="s">
        <v>277</v>
      </c>
      <c r="T629" s="15">
        <v>140.58000000000001</v>
      </c>
      <c r="U629" s="15"/>
      <c r="V629" s="16">
        <f>+Tabla1[[#This Row],[PAGO MENSUAL]]*12</f>
        <v>1686.96</v>
      </c>
      <c r="AB629" s="19"/>
      <c r="AC629" s="20"/>
      <c r="AD629" s="19"/>
      <c r="AE629" s="98"/>
    </row>
    <row r="630" spans="1:31" x14ac:dyDescent="0.3">
      <c r="A630" s="108">
        <v>630</v>
      </c>
      <c r="B630" s="46">
        <v>45642</v>
      </c>
      <c r="D630" s="13" t="s">
        <v>862</v>
      </c>
      <c r="E630" s="13" t="s">
        <v>51</v>
      </c>
      <c r="F630" s="13" t="s">
        <v>66</v>
      </c>
      <c r="G630" s="14" t="s">
        <v>14</v>
      </c>
      <c r="I630" s="14" t="s">
        <v>906</v>
      </c>
      <c r="K630" s="21"/>
      <c r="L630" s="21"/>
      <c r="Q630" s="14" t="s">
        <v>4</v>
      </c>
      <c r="R630" s="14" t="s">
        <v>909</v>
      </c>
      <c r="T630" s="15">
        <v>0</v>
      </c>
      <c r="U630" s="15"/>
      <c r="V630" s="16">
        <v>174.9</v>
      </c>
      <c r="AB630" s="19"/>
      <c r="AC630" s="20"/>
      <c r="AD630" s="19"/>
      <c r="AE630" s="98"/>
    </row>
    <row r="631" spans="1:31" x14ac:dyDescent="0.3">
      <c r="A631" s="105">
        <v>631</v>
      </c>
      <c r="B631" s="46">
        <v>45642</v>
      </c>
      <c r="D631" s="13" t="s">
        <v>862</v>
      </c>
      <c r="E631" s="13" t="s">
        <v>51</v>
      </c>
      <c r="F631" s="13" t="s">
        <v>66</v>
      </c>
      <c r="G631" s="14" t="s">
        <v>14</v>
      </c>
      <c r="I631" s="14" t="s">
        <v>907</v>
      </c>
      <c r="K631" s="21"/>
      <c r="L631" s="21"/>
      <c r="Q631" s="14" t="s">
        <v>395</v>
      </c>
      <c r="R631" s="14" t="s">
        <v>902</v>
      </c>
      <c r="T631" s="15">
        <v>71.88</v>
      </c>
      <c r="U631" s="15"/>
      <c r="V631" s="16">
        <f>+Tabla1[[#This Row],[PAGO MENSUAL]]*12</f>
        <v>862.56</v>
      </c>
      <c r="AB631" s="19"/>
      <c r="AC631" s="20"/>
      <c r="AD631" s="19"/>
      <c r="AE631" s="98"/>
    </row>
    <row r="632" spans="1:31" x14ac:dyDescent="0.3">
      <c r="A632" s="107">
        <v>632</v>
      </c>
      <c r="B632" s="46">
        <v>45642</v>
      </c>
      <c r="D632" s="13" t="s">
        <v>862</v>
      </c>
      <c r="E632" s="13" t="s">
        <v>51</v>
      </c>
      <c r="F632" s="13" t="s">
        <v>66</v>
      </c>
      <c r="G632" s="14" t="s">
        <v>14</v>
      </c>
      <c r="I632" s="14" t="s">
        <v>908</v>
      </c>
      <c r="K632" s="21"/>
      <c r="L632" s="21"/>
      <c r="Q632" s="14" t="s">
        <v>407</v>
      </c>
      <c r="R632" s="14" t="s">
        <v>408</v>
      </c>
      <c r="T632" s="15">
        <v>80.77</v>
      </c>
      <c r="U632" s="15"/>
      <c r="V632" s="16">
        <f>Tabla1[[#This Row],[PAGO MENSUAL]]*12/(1.005)</f>
        <v>964.4179104477613</v>
      </c>
      <c r="AB632" s="19"/>
      <c r="AC632" s="20"/>
      <c r="AD632" s="19"/>
      <c r="AE632" s="98"/>
    </row>
    <row r="633" spans="1:31" x14ac:dyDescent="0.3">
      <c r="A633" s="108">
        <v>633</v>
      </c>
      <c r="B633" s="46">
        <v>45663</v>
      </c>
      <c r="D633" s="13" t="s">
        <v>50</v>
      </c>
      <c r="E633" s="13" t="s">
        <v>51</v>
      </c>
      <c r="F633" s="13" t="s">
        <v>52</v>
      </c>
      <c r="G633" s="14" t="s">
        <v>566</v>
      </c>
      <c r="H633" s="14">
        <v>4306535</v>
      </c>
      <c r="I633" s="14" t="s">
        <v>965</v>
      </c>
      <c r="K633" s="21"/>
      <c r="L633" s="21"/>
      <c r="Q633" s="14" t="s">
        <v>6</v>
      </c>
      <c r="T633" s="15"/>
      <c r="U633" s="15"/>
      <c r="V633" s="16">
        <v>2430.13</v>
      </c>
      <c r="AB633" s="19"/>
      <c r="AC633" s="20"/>
      <c r="AD633" s="19"/>
      <c r="AE633" s="98"/>
    </row>
    <row r="634" spans="1:31" x14ac:dyDescent="0.3">
      <c r="A634" s="105">
        <v>634</v>
      </c>
      <c r="B634" s="46">
        <v>45663</v>
      </c>
      <c r="D634" s="13" t="s">
        <v>50</v>
      </c>
      <c r="E634" s="13" t="s">
        <v>51</v>
      </c>
      <c r="F634" s="13" t="s">
        <v>52</v>
      </c>
      <c r="G634" s="14" t="s">
        <v>566</v>
      </c>
      <c r="H634" s="14">
        <v>4306536</v>
      </c>
      <c r="I634" s="14" t="s">
        <v>966</v>
      </c>
      <c r="K634" s="21"/>
      <c r="L634" s="21"/>
      <c r="Q634" s="14" t="s">
        <v>6</v>
      </c>
      <c r="T634" s="15"/>
      <c r="U634" s="15"/>
      <c r="V634" s="16">
        <v>1015.36</v>
      </c>
      <c r="X634" s="14" t="s">
        <v>73</v>
      </c>
      <c r="AB634" s="19"/>
      <c r="AC634" s="20"/>
      <c r="AD634" s="19"/>
      <c r="AE634" s="98"/>
    </row>
    <row r="635" spans="1:31" x14ac:dyDescent="0.3">
      <c r="A635" s="107">
        <v>635</v>
      </c>
      <c r="B635" s="46">
        <v>45663</v>
      </c>
      <c r="D635" s="13" t="s">
        <v>50</v>
      </c>
      <c r="E635" s="13" t="s">
        <v>51</v>
      </c>
      <c r="F635" s="13" t="s">
        <v>967</v>
      </c>
      <c r="G635" s="14" t="s">
        <v>396</v>
      </c>
      <c r="H635" s="14">
        <v>4306684</v>
      </c>
      <c r="I635" s="14" t="s">
        <v>953</v>
      </c>
      <c r="K635" s="21"/>
      <c r="L635" s="21"/>
      <c r="Q635" s="14" t="s">
        <v>6</v>
      </c>
      <c r="T635" s="15"/>
      <c r="U635" s="15"/>
      <c r="V635" s="16">
        <v>1785.25</v>
      </c>
      <c r="X635" s="14" t="s">
        <v>73</v>
      </c>
      <c r="AB635" s="19"/>
      <c r="AC635" s="20"/>
      <c r="AD635" s="19"/>
      <c r="AE635" s="98"/>
    </row>
    <row r="636" spans="1:31" x14ac:dyDescent="0.3">
      <c r="A636" s="108">
        <v>636</v>
      </c>
      <c r="B636" s="46">
        <v>45664</v>
      </c>
      <c r="C636" s="46">
        <v>45664</v>
      </c>
      <c r="D636" s="13" t="s">
        <v>50</v>
      </c>
      <c r="E636" s="13" t="s">
        <v>51</v>
      </c>
      <c r="F636" s="13" t="s">
        <v>959</v>
      </c>
      <c r="G636" s="14" t="s">
        <v>930</v>
      </c>
      <c r="I636" s="14" t="s">
        <v>960</v>
      </c>
      <c r="K636" s="21"/>
      <c r="L636" s="21"/>
      <c r="M636" s="14" t="s">
        <v>88</v>
      </c>
      <c r="O636" s="14" t="s">
        <v>961</v>
      </c>
      <c r="Q636" s="14" t="s">
        <v>132</v>
      </c>
      <c r="R636" s="14" t="s">
        <v>962</v>
      </c>
      <c r="T636" s="15"/>
      <c r="U636" s="15"/>
      <c r="V636" s="16">
        <v>45</v>
      </c>
      <c r="X636" s="14" t="s">
        <v>73</v>
      </c>
      <c r="Y636" s="14" t="s">
        <v>74</v>
      </c>
      <c r="Z636" s="14" t="s">
        <v>74</v>
      </c>
      <c r="AB636" s="19"/>
      <c r="AC636" s="20"/>
      <c r="AD636" s="19"/>
      <c r="AE636" s="98"/>
    </row>
    <row r="637" spans="1:31" x14ac:dyDescent="0.3">
      <c r="A637" s="105">
        <v>637</v>
      </c>
      <c r="B637" s="46">
        <v>45665</v>
      </c>
      <c r="D637" s="13" t="s">
        <v>50</v>
      </c>
      <c r="E637" s="13" t="s">
        <v>51</v>
      </c>
      <c r="F637" s="13" t="s">
        <v>66</v>
      </c>
      <c r="G637" s="14" t="s">
        <v>13</v>
      </c>
      <c r="I637" s="14" t="s">
        <v>1021</v>
      </c>
      <c r="K637" s="21"/>
      <c r="L637" s="21"/>
      <c r="Q637" s="14" t="s">
        <v>307</v>
      </c>
      <c r="R637" s="14" t="s">
        <v>232</v>
      </c>
      <c r="T637" s="15">
        <v>84.15</v>
      </c>
      <c r="U637" s="15"/>
      <c r="V637" s="16">
        <f>+Tabla1[[#This Row],[PAGO MENSUAL]]*12</f>
        <v>1009.8000000000001</v>
      </c>
      <c r="X637" s="14" t="s">
        <v>73</v>
      </c>
      <c r="AB637" s="19"/>
      <c r="AC637" s="20"/>
      <c r="AD637" s="19"/>
      <c r="AE637" s="98"/>
    </row>
    <row r="638" spans="1:31" x14ac:dyDescent="0.3">
      <c r="A638" s="107">
        <v>638</v>
      </c>
      <c r="B638" s="46">
        <v>45665</v>
      </c>
      <c r="D638" s="13" t="s">
        <v>50</v>
      </c>
      <c r="E638" s="13" t="s">
        <v>51</v>
      </c>
      <c r="F638" s="13" t="s">
        <v>66</v>
      </c>
      <c r="G638" s="14" t="s">
        <v>13</v>
      </c>
      <c r="I638" s="14" t="s">
        <v>1021</v>
      </c>
      <c r="K638" s="21"/>
      <c r="L638" s="21"/>
      <c r="Q638" s="14" t="s">
        <v>3</v>
      </c>
      <c r="R638" s="14" t="s">
        <v>64</v>
      </c>
      <c r="T638" s="15">
        <v>24.57</v>
      </c>
      <c r="U638" s="15"/>
      <c r="V638" s="16">
        <f>+Tabla1[[#This Row],[PAGO MENSUAL]]*12-65</f>
        <v>229.84000000000003</v>
      </c>
      <c r="X638" s="14" t="s">
        <v>73</v>
      </c>
      <c r="AB638" s="19"/>
      <c r="AC638" s="20"/>
      <c r="AD638" s="19"/>
      <c r="AE638" s="98"/>
    </row>
    <row r="639" spans="1:31" x14ac:dyDescent="0.3">
      <c r="A639" s="108">
        <v>639</v>
      </c>
      <c r="B639" s="46">
        <v>45670</v>
      </c>
      <c r="D639" s="13" t="s">
        <v>50</v>
      </c>
      <c r="E639" s="13" t="s">
        <v>51</v>
      </c>
      <c r="F639" s="13" t="s">
        <v>1006</v>
      </c>
      <c r="G639" s="14" t="s">
        <v>1007</v>
      </c>
      <c r="H639" s="14">
        <v>35903</v>
      </c>
      <c r="I639" s="14" t="s">
        <v>1008</v>
      </c>
      <c r="K639" s="21"/>
      <c r="L639" s="21"/>
      <c r="Q639" s="14" t="s">
        <v>477</v>
      </c>
      <c r="R639" s="14" t="s">
        <v>358</v>
      </c>
      <c r="T639" s="16">
        <f>55.72*1.005</f>
        <v>55.998599999999996</v>
      </c>
      <c r="U639" s="15"/>
      <c r="V639" s="16">
        <f>+Tabla1[[#This Row],[PAGO MENSUAL]]*12</f>
        <v>671.9831999999999</v>
      </c>
      <c r="X639" s="14" t="s">
        <v>73</v>
      </c>
      <c r="AB639" s="19"/>
      <c r="AC639" s="20"/>
      <c r="AD639" s="19"/>
      <c r="AE639" s="98"/>
    </row>
    <row r="640" spans="1:31" x14ac:dyDescent="0.3">
      <c r="A640" s="105">
        <v>640</v>
      </c>
      <c r="B640" s="46">
        <v>45670</v>
      </c>
      <c r="D640" s="13" t="s">
        <v>50</v>
      </c>
      <c r="E640" s="13" t="s">
        <v>51</v>
      </c>
      <c r="F640" s="13" t="s">
        <v>1006</v>
      </c>
      <c r="G640" s="14" t="s">
        <v>1007</v>
      </c>
      <c r="H640" s="14">
        <v>35904</v>
      </c>
      <c r="I640" s="14" t="s">
        <v>1008</v>
      </c>
      <c r="K640" s="21"/>
      <c r="L640" s="21"/>
      <c r="Q640" s="14" t="s">
        <v>477</v>
      </c>
      <c r="R640" s="14" t="s">
        <v>777</v>
      </c>
      <c r="T640" s="16">
        <f>256.09*1.005</f>
        <v>257.37044999999995</v>
      </c>
      <c r="U640" s="15"/>
      <c r="V640" s="16">
        <f>+Tabla1[[#This Row],[PAGO MENSUAL]]*12</f>
        <v>3088.4453999999996</v>
      </c>
      <c r="X640" s="14" t="s">
        <v>73</v>
      </c>
      <c r="AB640" s="19"/>
      <c r="AC640" s="20"/>
      <c r="AD640" s="19"/>
      <c r="AE640" s="98"/>
    </row>
    <row r="641" spans="1:31" x14ac:dyDescent="0.3">
      <c r="A641" s="107">
        <v>641</v>
      </c>
      <c r="B641" s="46">
        <v>45670</v>
      </c>
      <c r="C641" s="46">
        <v>45670</v>
      </c>
      <c r="D641" s="13" t="s">
        <v>50</v>
      </c>
      <c r="E641" s="13" t="s">
        <v>51</v>
      </c>
      <c r="F641" s="13" t="s">
        <v>66</v>
      </c>
      <c r="G641" s="14" t="s">
        <v>15</v>
      </c>
      <c r="H641" s="14">
        <v>4307174</v>
      </c>
      <c r="I641" s="14" t="s">
        <v>964</v>
      </c>
      <c r="K641" s="21">
        <v>916778749</v>
      </c>
      <c r="L641" s="21"/>
      <c r="M641" s="14" t="s">
        <v>700</v>
      </c>
      <c r="N641" s="14" t="s">
        <v>615</v>
      </c>
      <c r="Q641" s="14" t="s">
        <v>395</v>
      </c>
      <c r="R641" s="14" t="s">
        <v>122</v>
      </c>
      <c r="T641" s="15">
        <v>80.48</v>
      </c>
      <c r="U641" s="15"/>
      <c r="V641" s="16">
        <f>(Tabla1[[#This Row],[PAGO MENSUAL]]*12)</f>
        <v>965.76</v>
      </c>
      <c r="X641" s="14" t="s">
        <v>73</v>
      </c>
      <c r="AB641" s="19"/>
      <c r="AC641" s="20"/>
      <c r="AD641" s="19"/>
      <c r="AE641" s="98"/>
    </row>
    <row r="642" spans="1:31" x14ac:dyDescent="0.3">
      <c r="A642" s="108">
        <v>642</v>
      </c>
      <c r="B642" s="46">
        <v>45672</v>
      </c>
      <c r="D642" s="13" t="s">
        <v>50</v>
      </c>
      <c r="E642" s="13" t="s">
        <v>51</v>
      </c>
      <c r="F642" s="13" t="s">
        <v>52</v>
      </c>
      <c r="G642" s="14" t="s">
        <v>483</v>
      </c>
      <c r="H642" s="14">
        <v>4306646</v>
      </c>
      <c r="I642" s="14" t="s">
        <v>968</v>
      </c>
      <c r="K642" s="21"/>
      <c r="L642" s="21"/>
      <c r="Q642" s="14" t="s">
        <v>6</v>
      </c>
      <c r="T642" s="15"/>
      <c r="U642" s="15"/>
      <c r="V642" s="16">
        <v>2356.46</v>
      </c>
      <c r="X642" s="14" t="s">
        <v>73</v>
      </c>
      <c r="AB642" s="19"/>
      <c r="AC642" s="20"/>
      <c r="AD642" s="19"/>
      <c r="AE642" s="98"/>
    </row>
    <row r="643" spans="1:31" x14ac:dyDescent="0.3">
      <c r="A643" s="105">
        <v>643</v>
      </c>
      <c r="B643" s="46">
        <v>45672</v>
      </c>
      <c r="D643" s="13" t="s">
        <v>50</v>
      </c>
      <c r="E643" s="13" t="s">
        <v>51</v>
      </c>
      <c r="F643" s="13" t="s">
        <v>967</v>
      </c>
      <c r="G643" s="14" t="s">
        <v>1607</v>
      </c>
      <c r="H643" s="14" t="s">
        <v>957</v>
      </c>
      <c r="I643" s="14" t="s">
        <v>958</v>
      </c>
      <c r="K643" s="21"/>
      <c r="L643" s="21"/>
      <c r="Q643" s="14" t="s">
        <v>3</v>
      </c>
      <c r="T643" s="15"/>
      <c r="U643" s="15"/>
      <c r="V643" s="16">
        <v>425.1</v>
      </c>
      <c r="X643" s="14" t="s">
        <v>73</v>
      </c>
      <c r="AB643" s="19"/>
      <c r="AC643" s="20"/>
      <c r="AD643" s="19"/>
      <c r="AE643" s="98"/>
    </row>
    <row r="644" spans="1:31" x14ac:dyDescent="0.3">
      <c r="A644" s="107">
        <v>644</v>
      </c>
      <c r="B644" s="46">
        <v>45672</v>
      </c>
      <c r="D644" s="13" t="s">
        <v>50</v>
      </c>
      <c r="E644" s="13" t="s">
        <v>51</v>
      </c>
      <c r="F644" s="13" t="s">
        <v>52</v>
      </c>
      <c r="G644" s="14" t="s">
        <v>820</v>
      </c>
      <c r="H644" s="14">
        <v>16578</v>
      </c>
      <c r="I644" s="14" t="s">
        <v>969</v>
      </c>
      <c r="K644" s="21"/>
      <c r="L644" s="21"/>
      <c r="Q644" s="14" t="s">
        <v>307</v>
      </c>
      <c r="T644" s="15"/>
      <c r="U644" s="15"/>
      <c r="V644" s="16">
        <v>585.30999999999995</v>
      </c>
      <c r="X644" s="14" t="s">
        <v>73</v>
      </c>
      <c r="AB644" s="19"/>
      <c r="AC644" s="20"/>
      <c r="AD644" s="19"/>
      <c r="AE644" s="98"/>
    </row>
    <row r="645" spans="1:31" x14ac:dyDescent="0.3">
      <c r="A645" s="108">
        <v>645</v>
      </c>
      <c r="B645" s="46">
        <v>45672</v>
      </c>
      <c r="D645" s="13" t="s">
        <v>50</v>
      </c>
      <c r="E645" s="13" t="s">
        <v>51</v>
      </c>
      <c r="F645" s="13" t="s">
        <v>967</v>
      </c>
      <c r="G645" s="14" t="s">
        <v>396</v>
      </c>
      <c r="H645" s="14">
        <v>16616</v>
      </c>
      <c r="I645" s="14" t="s">
        <v>963</v>
      </c>
      <c r="K645" s="21"/>
      <c r="L645" s="21"/>
      <c r="Q645" s="14" t="s">
        <v>307</v>
      </c>
      <c r="T645" s="15"/>
      <c r="U645" s="15"/>
      <c r="V645" s="16">
        <v>761.53</v>
      </c>
      <c r="X645" s="14" t="s">
        <v>73</v>
      </c>
      <c r="AB645" s="19"/>
      <c r="AC645" s="20"/>
      <c r="AD645" s="19"/>
      <c r="AE645" s="98"/>
    </row>
    <row r="646" spans="1:31" x14ac:dyDescent="0.3">
      <c r="A646" s="105">
        <v>646</v>
      </c>
      <c r="B646" s="46">
        <v>45672</v>
      </c>
      <c r="D646" s="13" t="s">
        <v>50</v>
      </c>
      <c r="E646" s="13" t="s">
        <v>51</v>
      </c>
      <c r="F646" s="13" t="s">
        <v>967</v>
      </c>
      <c r="G646" s="14" t="s">
        <v>396</v>
      </c>
      <c r="H646" s="14">
        <v>4307231</v>
      </c>
      <c r="I646" s="14" t="s">
        <v>970</v>
      </c>
      <c r="K646" s="21"/>
      <c r="L646" s="21"/>
      <c r="Q646" s="14" t="s">
        <v>6</v>
      </c>
      <c r="T646" s="15"/>
      <c r="U646" s="15"/>
      <c r="V646" s="16">
        <v>538.59</v>
      </c>
      <c r="X646" s="14" t="s">
        <v>73</v>
      </c>
      <c r="AB646" s="19"/>
      <c r="AC646" s="20"/>
      <c r="AD646" s="19"/>
      <c r="AE646" s="98"/>
    </row>
    <row r="647" spans="1:31" x14ac:dyDescent="0.3">
      <c r="A647" s="107">
        <v>647</v>
      </c>
      <c r="B647" s="46">
        <v>45672</v>
      </c>
      <c r="D647" s="13" t="s">
        <v>50</v>
      </c>
      <c r="E647" s="13" t="s">
        <v>51</v>
      </c>
      <c r="F647" s="13" t="s">
        <v>66</v>
      </c>
      <c r="G647" s="14" t="s">
        <v>20</v>
      </c>
      <c r="H647" s="14" t="s">
        <v>1004</v>
      </c>
      <c r="I647" s="14" t="s">
        <v>1005</v>
      </c>
      <c r="K647" s="21"/>
      <c r="L647" s="21"/>
      <c r="Q647" s="14" t="s">
        <v>3</v>
      </c>
      <c r="T647" s="15">
        <v>334.68</v>
      </c>
      <c r="U647" s="15"/>
      <c r="V647" s="16">
        <f>+Tabla1[[#This Row],[PAGO MENSUAL]]*12</f>
        <v>4016.16</v>
      </c>
      <c r="X647" s="14" t="s">
        <v>73</v>
      </c>
      <c r="AB647" s="19"/>
      <c r="AC647" s="20"/>
      <c r="AD647" s="19"/>
      <c r="AE647" s="98"/>
    </row>
    <row r="648" spans="1:31" x14ac:dyDescent="0.3">
      <c r="A648" s="108">
        <v>648</v>
      </c>
      <c r="B648" s="46">
        <v>45673</v>
      </c>
      <c r="D648" s="13" t="s">
        <v>50</v>
      </c>
      <c r="E648" s="13" t="s">
        <v>51</v>
      </c>
      <c r="F648" s="13" t="s">
        <v>66</v>
      </c>
      <c r="G648" s="14" t="s">
        <v>790</v>
      </c>
      <c r="H648" s="14">
        <v>35926</v>
      </c>
      <c r="I648" s="14" t="s">
        <v>1009</v>
      </c>
      <c r="K648" s="21"/>
      <c r="L648" s="21"/>
      <c r="Q648" s="14" t="s">
        <v>477</v>
      </c>
      <c r="T648" s="15">
        <f>238.03*1.005</f>
        <v>239.22014999999999</v>
      </c>
      <c r="U648" s="15"/>
      <c r="V648" s="16">
        <f>+Tabla1[[#This Row],[PAGO MENSUAL]]*12</f>
        <v>2870.6417999999999</v>
      </c>
      <c r="X648" s="14" t="s">
        <v>73</v>
      </c>
      <c r="AB648" s="19"/>
      <c r="AC648" s="20"/>
      <c r="AD648" s="19"/>
      <c r="AE648" s="98"/>
    </row>
    <row r="649" spans="1:31" x14ac:dyDescent="0.3">
      <c r="A649" s="105">
        <v>649</v>
      </c>
      <c r="B649" s="46">
        <v>45673</v>
      </c>
      <c r="D649" s="13" t="s">
        <v>50</v>
      </c>
      <c r="E649" s="13" t="s">
        <v>51</v>
      </c>
      <c r="F649" s="13" t="s">
        <v>967</v>
      </c>
      <c r="G649" s="14" t="s">
        <v>396</v>
      </c>
      <c r="H649" s="14">
        <v>4307144</v>
      </c>
      <c r="I649" s="14" t="s">
        <v>971</v>
      </c>
      <c r="K649" s="21"/>
      <c r="L649" s="21"/>
      <c r="Q649" s="14" t="s">
        <v>6</v>
      </c>
      <c r="T649" s="15"/>
      <c r="U649" s="15"/>
      <c r="V649" s="16">
        <v>549.58000000000004</v>
      </c>
      <c r="X649" s="14" t="s">
        <v>73</v>
      </c>
      <c r="AB649" s="19"/>
      <c r="AC649" s="20"/>
      <c r="AD649" s="19"/>
      <c r="AE649" s="98"/>
    </row>
    <row r="650" spans="1:31" x14ac:dyDescent="0.3">
      <c r="A650" s="107">
        <v>650</v>
      </c>
      <c r="B650" s="46">
        <v>45673</v>
      </c>
      <c r="D650" s="13" t="s">
        <v>50</v>
      </c>
      <c r="E650" s="13" t="s">
        <v>51</v>
      </c>
      <c r="F650" s="13" t="s">
        <v>967</v>
      </c>
      <c r="G650" s="14" t="s">
        <v>1607</v>
      </c>
      <c r="H650" s="14" t="s">
        <v>972</v>
      </c>
      <c r="I650" s="14" t="s">
        <v>973</v>
      </c>
      <c r="K650" s="21"/>
      <c r="L650" s="21"/>
      <c r="Q650" s="14" t="s">
        <v>3</v>
      </c>
      <c r="T650" s="15"/>
      <c r="U650" s="15"/>
      <c r="V650" s="16">
        <v>749.86</v>
      </c>
      <c r="X650" s="14" t="s">
        <v>73</v>
      </c>
      <c r="AB650" s="19"/>
      <c r="AC650" s="20"/>
      <c r="AD650" s="19"/>
      <c r="AE650" s="98"/>
    </row>
    <row r="651" spans="1:31" x14ac:dyDescent="0.3">
      <c r="A651" s="108">
        <v>651</v>
      </c>
      <c r="B651" s="46">
        <v>45673</v>
      </c>
      <c r="D651" s="13" t="s">
        <v>50</v>
      </c>
      <c r="E651" s="13" t="s">
        <v>51</v>
      </c>
      <c r="F651" s="13" t="s">
        <v>967</v>
      </c>
      <c r="G651" s="14" t="s">
        <v>1607</v>
      </c>
      <c r="H651" s="14">
        <v>16618</v>
      </c>
      <c r="I651" s="14" t="s">
        <v>974</v>
      </c>
      <c r="K651" s="21"/>
      <c r="L651" s="21"/>
      <c r="Q651" s="14" t="s">
        <v>307</v>
      </c>
      <c r="T651" s="15"/>
      <c r="U651" s="15"/>
      <c r="V651" s="16">
        <v>1116.72</v>
      </c>
      <c r="X651" s="14" t="s">
        <v>73</v>
      </c>
      <c r="AB651" s="19"/>
      <c r="AC651" s="20"/>
      <c r="AD651" s="19"/>
      <c r="AE651" s="98"/>
    </row>
    <row r="652" spans="1:31" x14ac:dyDescent="0.3">
      <c r="A652" s="105">
        <v>652</v>
      </c>
      <c r="B652" s="46">
        <v>45673</v>
      </c>
      <c r="D652" s="13" t="s">
        <v>50</v>
      </c>
      <c r="E652" s="13" t="s">
        <v>51</v>
      </c>
      <c r="F652" s="13" t="s">
        <v>52</v>
      </c>
      <c r="G652" s="14" t="s">
        <v>820</v>
      </c>
      <c r="H652" s="14">
        <v>4307153</v>
      </c>
      <c r="I652" s="14" t="s">
        <v>975</v>
      </c>
      <c r="K652" s="21"/>
      <c r="L652" s="21"/>
      <c r="Q652" s="14" t="s">
        <v>6</v>
      </c>
      <c r="T652" s="15"/>
      <c r="U652" s="15"/>
      <c r="V652" s="16">
        <v>821.21</v>
      </c>
      <c r="X652" s="14" t="s">
        <v>73</v>
      </c>
      <c r="AB652" s="19"/>
      <c r="AC652" s="20"/>
      <c r="AD652" s="19"/>
      <c r="AE652" s="98"/>
    </row>
    <row r="653" spans="1:31" x14ac:dyDescent="0.3">
      <c r="A653" s="107">
        <v>653</v>
      </c>
      <c r="B653" s="46">
        <v>45673</v>
      </c>
      <c r="D653" s="13" t="s">
        <v>50</v>
      </c>
      <c r="E653" s="13" t="s">
        <v>51</v>
      </c>
      <c r="F653" s="13" t="s">
        <v>52</v>
      </c>
      <c r="G653" s="14" t="s">
        <v>566</v>
      </c>
      <c r="H653" s="14">
        <v>4307618</v>
      </c>
      <c r="I653" s="14" t="s">
        <v>976</v>
      </c>
      <c r="K653" s="21"/>
      <c r="L653" s="21"/>
      <c r="Q653" s="14" t="s">
        <v>6</v>
      </c>
      <c r="T653" s="15"/>
      <c r="U653" s="15"/>
      <c r="V653" s="16">
        <v>681.51</v>
      </c>
      <c r="X653" s="14" t="s">
        <v>73</v>
      </c>
      <c r="AB653" s="19"/>
      <c r="AC653" s="20"/>
      <c r="AD653" s="19"/>
      <c r="AE653" s="98"/>
    </row>
    <row r="654" spans="1:31" x14ac:dyDescent="0.3">
      <c r="A654" s="108">
        <v>654</v>
      </c>
      <c r="B654" s="46">
        <v>45673</v>
      </c>
      <c r="D654" s="13" t="s">
        <v>50</v>
      </c>
      <c r="E654" s="13" t="s">
        <v>51</v>
      </c>
      <c r="F654" s="13" t="s">
        <v>52</v>
      </c>
      <c r="G654" s="14" t="s">
        <v>820</v>
      </c>
      <c r="H654" s="14">
        <v>4307594</v>
      </c>
      <c r="I654" s="14" t="s">
        <v>977</v>
      </c>
      <c r="K654" s="21"/>
      <c r="L654" s="21"/>
      <c r="Q654" s="14" t="s">
        <v>6</v>
      </c>
      <c r="T654" s="15"/>
      <c r="U654" s="15"/>
      <c r="V654" s="16">
        <v>717.81</v>
      </c>
      <c r="X654" s="14" t="s">
        <v>73</v>
      </c>
      <c r="AB654" s="19"/>
      <c r="AC654" s="20"/>
      <c r="AD654" s="19"/>
      <c r="AE654" s="98"/>
    </row>
    <row r="655" spans="1:31" x14ac:dyDescent="0.3">
      <c r="A655" s="105">
        <v>655</v>
      </c>
      <c r="B655" s="46">
        <v>45673</v>
      </c>
      <c r="D655" s="13" t="s">
        <v>50</v>
      </c>
      <c r="E655" s="13" t="s">
        <v>51</v>
      </c>
      <c r="F655" s="13" t="s">
        <v>52</v>
      </c>
      <c r="G655" s="14" t="s">
        <v>912</v>
      </c>
      <c r="H655" s="14">
        <v>4307621</v>
      </c>
      <c r="I655" s="14" t="s">
        <v>978</v>
      </c>
      <c r="K655" s="21"/>
      <c r="L655" s="21"/>
      <c r="Q655" s="14" t="s">
        <v>6</v>
      </c>
      <c r="T655" s="15"/>
      <c r="U655" s="15"/>
      <c r="V655" s="16">
        <v>904.07</v>
      </c>
      <c r="X655" s="14" t="s">
        <v>73</v>
      </c>
      <c r="AB655" s="19"/>
      <c r="AC655" s="20"/>
      <c r="AD655" s="19"/>
      <c r="AE655" s="98"/>
    </row>
    <row r="656" spans="1:31" x14ac:dyDescent="0.3">
      <c r="A656" s="107">
        <v>656</v>
      </c>
      <c r="B656" s="46">
        <v>45673</v>
      </c>
      <c r="D656" s="13" t="s">
        <v>50</v>
      </c>
      <c r="E656" s="13" t="s">
        <v>51</v>
      </c>
      <c r="F656" s="13" t="s">
        <v>52</v>
      </c>
      <c r="G656" s="14" t="s">
        <v>912</v>
      </c>
      <c r="H656" s="14">
        <v>4307493</v>
      </c>
      <c r="I656" s="14" t="s">
        <v>979</v>
      </c>
      <c r="K656" s="21"/>
      <c r="L656" s="21"/>
      <c r="Q656" s="14" t="s">
        <v>6</v>
      </c>
      <c r="T656" s="15"/>
      <c r="U656" s="15"/>
      <c r="V656" s="16">
        <v>3164.32</v>
      </c>
      <c r="X656" s="14" t="s">
        <v>73</v>
      </c>
      <c r="AB656" s="19"/>
      <c r="AC656" s="20"/>
      <c r="AD656" s="19"/>
      <c r="AE656" s="98"/>
    </row>
    <row r="657" spans="1:31" x14ac:dyDescent="0.3">
      <c r="A657" s="108">
        <v>657</v>
      </c>
      <c r="B657" s="46">
        <v>45673</v>
      </c>
      <c r="D657" s="13" t="s">
        <v>50</v>
      </c>
      <c r="E657" s="13" t="s">
        <v>51</v>
      </c>
      <c r="F657" s="13" t="s">
        <v>967</v>
      </c>
      <c r="G657" s="14" t="s">
        <v>396</v>
      </c>
      <c r="I657" s="14" t="s">
        <v>980</v>
      </c>
      <c r="K657" s="21"/>
      <c r="L657" s="21"/>
      <c r="Q657" s="14" t="s">
        <v>307</v>
      </c>
      <c r="T657" s="15"/>
      <c r="U657" s="15"/>
      <c r="V657" s="16">
        <v>3391.78</v>
      </c>
      <c r="X657" s="14" t="s">
        <v>73</v>
      </c>
      <c r="AB657" s="19"/>
      <c r="AC657" s="20"/>
      <c r="AD657" s="19"/>
      <c r="AE657" s="98"/>
    </row>
    <row r="658" spans="1:31" x14ac:dyDescent="0.3">
      <c r="A658" s="105">
        <v>658</v>
      </c>
      <c r="B658" s="46">
        <v>45673</v>
      </c>
      <c r="D658" s="13" t="s">
        <v>50</v>
      </c>
      <c r="E658" s="13" t="s">
        <v>51</v>
      </c>
      <c r="F658" s="13" t="s">
        <v>967</v>
      </c>
      <c r="G658" s="14" t="s">
        <v>1607</v>
      </c>
      <c r="I658" s="14" t="s">
        <v>981</v>
      </c>
      <c r="K658" s="21"/>
      <c r="L658" s="21"/>
      <c r="Q658" s="14" t="s">
        <v>307</v>
      </c>
      <c r="T658" s="15"/>
      <c r="U658" s="15"/>
      <c r="V658" s="16">
        <v>653.6</v>
      </c>
      <c r="X658" s="14" t="s">
        <v>73</v>
      </c>
      <c r="AB658" s="19"/>
      <c r="AC658" s="20"/>
      <c r="AD658" s="19"/>
      <c r="AE658" s="98"/>
    </row>
    <row r="659" spans="1:31" x14ac:dyDescent="0.3">
      <c r="A659" s="107">
        <v>659</v>
      </c>
      <c r="B659" s="46">
        <v>45674</v>
      </c>
      <c r="C659" s="46">
        <v>45689</v>
      </c>
      <c r="D659" s="13" t="s">
        <v>50</v>
      </c>
      <c r="E659" s="13" t="s">
        <v>51</v>
      </c>
      <c r="F659" s="13" t="s">
        <v>66</v>
      </c>
      <c r="G659" s="14" t="s">
        <v>18</v>
      </c>
      <c r="H659" s="14">
        <v>16635</v>
      </c>
      <c r="I659" s="14" t="s">
        <v>1027</v>
      </c>
      <c r="K659" s="21"/>
      <c r="L659" s="21"/>
      <c r="Q659" s="14" t="s">
        <v>307</v>
      </c>
      <c r="R659" s="14" t="s">
        <v>295</v>
      </c>
      <c r="T659" s="15">
        <v>115.15</v>
      </c>
      <c r="U659" s="15"/>
      <c r="V659" s="16">
        <f>+Tabla1[[#This Row],[PAGO MENSUAL]]*12</f>
        <v>1381.8000000000002</v>
      </c>
      <c r="W659" s="17" t="s">
        <v>1029</v>
      </c>
      <c r="X659" s="14" t="s">
        <v>73</v>
      </c>
      <c r="AB659" s="19"/>
      <c r="AC659" s="20"/>
      <c r="AD659" s="19"/>
      <c r="AE659" s="98"/>
    </row>
    <row r="660" spans="1:31" x14ac:dyDescent="0.3">
      <c r="A660" s="108">
        <v>660</v>
      </c>
      <c r="B660" s="46">
        <v>45677</v>
      </c>
      <c r="D660" s="13" t="s">
        <v>50</v>
      </c>
      <c r="E660" s="13" t="s">
        <v>51</v>
      </c>
      <c r="F660" s="13" t="s">
        <v>1006</v>
      </c>
      <c r="G660" s="14" t="s">
        <v>1007</v>
      </c>
      <c r="H660" s="14">
        <v>35960</v>
      </c>
      <c r="I660" s="14" t="s">
        <v>1013</v>
      </c>
      <c r="K660" s="21"/>
      <c r="L660" s="21"/>
      <c r="Q660" s="14" t="s">
        <v>477</v>
      </c>
      <c r="R660" s="14" t="s">
        <v>421</v>
      </c>
      <c r="T660" s="15">
        <f>233*1.005</f>
        <v>234.16499999999996</v>
      </c>
      <c r="U660" s="15"/>
      <c r="V660" s="16">
        <f>+Tabla1[[#This Row],[PAGO MENSUAL]]*12</f>
        <v>2809.9799999999996</v>
      </c>
      <c r="W660" s="17" t="s">
        <v>1048</v>
      </c>
      <c r="X660" s="14" t="s">
        <v>73</v>
      </c>
      <c r="AB660" s="19"/>
      <c r="AC660" s="20"/>
      <c r="AD660" s="19"/>
      <c r="AE660" s="98"/>
    </row>
    <row r="661" spans="1:31" x14ac:dyDescent="0.3">
      <c r="A661" s="105">
        <v>661</v>
      </c>
      <c r="B661" s="46">
        <v>45677</v>
      </c>
      <c r="D661" s="13" t="s">
        <v>50</v>
      </c>
      <c r="E661" s="13" t="s">
        <v>51</v>
      </c>
      <c r="F661" s="13" t="s">
        <v>66</v>
      </c>
      <c r="G661" s="14" t="s">
        <v>1023</v>
      </c>
      <c r="H661" s="14">
        <v>4307757</v>
      </c>
      <c r="I661" s="14" t="s">
        <v>1022</v>
      </c>
      <c r="K661" s="21"/>
      <c r="L661" s="21"/>
      <c r="Q661" s="14" t="s">
        <v>395</v>
      </c>
      <c r="R661" s="14" t="s">
        <v>203</v>
      </c>
      <c r="T661" s="15">
        <v>126.43</v>
      </c>
      <c r="U661" s="15"/>
      <c r="V661" s="16">
        <f>+Tabla1[[#This Row],[PAGO MENSUAL]]*12</f>
        <v>1517.16</v>
      </c>
      <c r="X661" s="14" t="s">
        <v>73</v>
      </c>
      <c r="AB661" s="19"/>
      <c r="AC661" s="20"/>
      <c r="AD661" s="19"/>
      <c r="AE661" s="98"/>
    </row>
    <row r="662" spans="1:31" x14ac:dyDescent="0.3">
      <c r="A662" s="107">
        <v>662</v>
      </c>
      <c r="B662" s="46">
        <v>45677</v>
      </c>
      <c r="D662" s="13" t="s">
        <v>50</v>
      </c>
      <c r="E662" s="13" t="s">
        <v>51</v>
      </c>
      <c r="F662" s="13" t="s">
        <v>66</v>
      </c>
      <c r="G662" s="14" t="s">
        <v>13</v>
      </c>
      <c r="H662" s="14">
        <v>4307812</v>
      </c>
      <c r="I662" s="14" t="s">
        <v>1024</v>
      </c>
      <c r="K662" s="21"/>
      <c r="L662" s="21"/>
      <c r="Q662" s="14" t="s">
        <v>395</v>
      </c>
      <c r="R662" s="14" t="s">
        <v>654</v>
      </c>
      <c r="T662" s="15">
        <v>124</v>
      </c>
      <c r="U662" s="15"/>
      <c r="V662" s="16">
        <f>+Tabla1[[#This Row],[PAGO MENSUAL]]*12</f>
        <v>1488</v>
      </c>
      <c r="X662" s="14" t="s">
        <v>73</v>
      </c>
      <c r="AB662" s="19"/>
      <c r="AC662" s="20"/>
      <c r="AD662" s="19"/>
      <c r="AE662" s="98"/>
    </row>
    <row r="663" spans="1:31" x14ac:dyDescent="0.3">
      <c r="A663" s="108">
        <v>663</v>
      </c>
      <c r="B663" s="46">
        <v>45679</v>
      </c>
      <c r="D663" s="13" t="s">
        <v>50</v>
      </c>
      <c r="E663" s="13" t="s">
        <v>51</v>
      </c>
      <c r="F663" s="13" t="s">
        <v>66</v>
      </c>
      <c r="G663" s="14" t="s">
        <v>790</v>
      </c>
      <c r="H663" s="14">
        <v>35968</v>
      </c>
      <c r="I663" s="14" t="s">
        <v>1010</v>
      </c>
      <c r="J663" s="14" t="s">
        <v>1028</v>
      </c>
      <c r="K663" s="21"/>
      <c r="L663" s="21"/>
      <c r="Q663" s="14" t="s">
        <v>477</v>
      </c>
      <c r="R663" s="14" t="s">
        <v>421</v>
      </c>
      <c r="T663" s="15">
        <f>113.32*1.005</f>
        <v>113.88659999999999</v>
      </c>
      <c r="U663" s="15"/>
      <c r="V663" s="16">
        <f>+Tabla1[[#This Row],[PAGO MENSUAL]]*12</f>
        <v>1366.6391999999998</v>
      </c>
      <c r="X663" s="14" t="s">
        <v>73</v>
      </c>
      <c r="AB663" s="19"/>
      <c r="AC663" s="20"/>
      <c r="AD663" s="19"/>
      <c r="AE663" s="98"/>
    </row>
    <row r="664" spans="1:31" x14ac:dyDescent="0.3">
      <c r="A664" s="105">
        <v>664</v>
      </c>
      <c r="B664" s="46">
        <v>45679</v>
      </c>
      <c r="D664" s="13" t="s">
        <v>50</v>
      </c>
      <c r="E664" s="13" t="s">
        <v>51</v>
      </c>
      <c r="F664" s="13" t="s">
        <v>967</v>
      </c>
      <c r="G664" s="14" t="s">
        <v>396</v>
      </c>
      <c r="H664" s="14">
        <v>16631</v>
      </c>
      <c r="I664" s="14" t="s">
        <v>982</v>
      </c>
      <c r="K664" s="21"/>
      <c r="L664" s="21"/>
      <c r="Q664" s="14" t="s">
        <v>307</v>
      </c>
      <c r="T664" s="15"/>
      <c r="U664" s="15"/>
      <c r="V664" s="16">
        <v>1573.21</v>
      </c>
      <c r="X664" s="14" t="s">
        <v>73</v>
      </c>
      <c r="AB664" s="19"/>
      <c r="AC664" s="20"/>
      <c r="AD664" s="19"/>
      <c r="AE664" s="98"/>
    </row>
    <row r="665" spans="1:31" x14ac:dyDescent="0.3">
      <c r="A665" s="107">
        <v>665</v>
      </c>
      <c r="B665" s="46">
        <v>45680</v>
      </c>
      <c r="D665" s="13" t="s">
        <v>50</v>
      </c>
      <c r="E665" s="13" t="s">
        <v>51</v>
      </c>
      <c r="F665" s="13" t="s">
        <v>1012</v>
      </c>
      <c r="G665" s="14" t="s">
        <v>14</v>
      </c>
      <c r="H665" s="14">
        <v>35973</v>
      </c>
      <c r="I665" s="14" t="s">
        <v>1011</v>
      </c>
      <c r="K665" s="21"/>
      <c r="L665" s="21"/>
      <c r="Q665" s="14" t="s">
        <v>477</v>
      </c>
      <c r="R665" s="14" t="s">
        <v>143</v>
      </c>
      <c r="T665" s="15">
        <f>172.38*1.005</f>
        <v>173.24189999999999</v>
      </c>
      <c r="U665" s="15"/>
      <c r="V665" s="16">
        <f>+Tabla1[[#This Row],[PAGO MENSUAL]]*12</f>
        <v>2078.9027999999998</v>
      </c>
      <c r="X665" s="14" t="s">
        <v>73</v>
      </c>
      <c r="AB665" s="19"/>
      <c r="AC665" s="20"/>
      <c r="AD665" s="19"/>
      <c r="AE665" s="98"/>
    </row>
    <row r="666" spans="1:31" x14ac:dyDescent="0.3">
      <c r="A666" s="108">
        <v>666</v>
      </c>
      <c r="B666" s="46">
        <v>45680</v>
      </c>
      <c r="D666" s="13" t="s">
        <v>50</v>
      </c>
      <c r="E666" s="13" t="s">
        <v>51</v>
      </c>
      <c r="F666" s="13" t="s">
        <v>52</v>
      </c>
      <c r="G666" s="14" t="s">
        <v>583</v>
      </c>
      <c r="H666" s="14" t="s">
        <v>983</v>
      </c>
      <c r="I666" s="14" t="s">
        <v>984</v>
      </c>
      <c r="K666" s="21"/>
      <c r="L666" s="21"/>
      <c r="Q666" s="14" t="s">
        <v>3</v>
      </c>
      <c r="T666" s="15"/>
      <c r="U666" s="15"/>
      <c r="V666" s="16">
        <v>456.71</v>
      </c>
      <c r="X666" s="14" t="s">
        <v>73</v>
      </c>
      <c r="AB666" s="19"/>
      <c r="AC666" s="20"/>
      <c r="AD666" s="19"/>
      <c r="AE666" s="98"/>
    </row>
    <row r="667" spans="1:31" x14ac:dyDescent="0.3">
      <c r="A667" s="105">
        <v>667</v>
      </c>
      <c r="B667" s="46">
        <v>45680</v>
      </c>
      <c r="D667" s="13" t="s">
        <v>50</v>
      </c>
      <c r="E667" s="13" t="s">
        <v>51</v>
      </c>
      <c r="F667" s="13" t="s">
        <v>967</v>
      </c>
      <c r="G667" s="14" t="s">
        <v>396</v>
      </c>
      <c r="H667" s="14">
        <v>4307645</v>
      </c>
      <c r="I667" s="14" t="s">
        <v>985</v>
      </c>
      <c r="K667" s="21"/>
      <c r="L667" s="21"/>
      <c r="Q667" s="14" t="s">
        <v>6</v>
      </c>
      <c r="T667" s="15"/>
      <c r="U667" s="15"/>
      <c r="V667" s="16">
        <v>890.94</v>
      </c>
      <c r="X667" s="14" t="s">
        <v>73</v>
      </c>
      <c r="AB667" s="19"/>
      <c r="AC667" s="20"/>
      <c r="AD667" s="19"/>
      <c r="AE667" s="98"/>
    </row>
    <row r="668" spans="1:31" x14ac:dyDescent="0.3">
      <c r="A668" s="107">
        <v>668</v>
      </c>
      <c r="B668" s="46">
        <v>45681</v>
      </c>
      <c r="D668" s="13" t="s">
        <v>50</v>
      </c>
      <c r="E668" s="13" t="s">
        <v>51</v>
      </c>
      <c r="F668" s="13" t="s">
        <v>52</v>
      </c>
      <c r="G668" s="14" t="s">
        <v>819</v>
      </c>
      <c r="H668" s="14" t="s">
        <v>986</v>
      </c>
      <c r="I668" s="14" t="s">
        <v>987</v>
      </c>
      <c r="K668" s="21"/>
      <c r="L668" s="21"/>
      <c r="Q668" s="14" t="s">
        <v>748</v>
      </c>
      <c r="T668" s="15"/>
      <c r="U668" s="15"/>
      <c r="V668" s="16">
        <v>4497.5600000000004</v>
      </c>
      <c r="X668" s="14" t="s">
        <v>73</v>
      </c>
      <c r="AB668" s="19"/>
      <c r="AC668" s="20"/>
      <c r="AD668" s="19"/>
      <c r="AE668" s="98"/>
    </row>
    <row r="669" spans="1:31" x14ac:dyDescent="0.3">
      <c r="A669" s="108">
        <v>669</v>
      </c>
      <c r="B669" s="46">
        <v>45681</v>
      </c>
      <c r="D669" s="13" t="s">
        <v>50</v>
      </c>
      <c r="E669" s="13" t="s">
        <v>51</v>
      </c>
      <c r="F669" s="13" t="s">
        <v>52</v>
      </c>
      <c r="G669" s="14" t="s">
        <v>912</v>
      </c>
      <c r="I669" s="14" t="s">
        <v>988</v>
      </c>
      <c r="K669" s="21"/>
      <c r="L669" s="21"/>
      <c r="Q669" s="14" t="s">
        <v>586</v>
      </c>
      <c r="T669" s="15"/>
      <c r="U669" s="15"/>
      <c r="V669" s="16">
        <v>2070.39</v>
      </c>
      <c r="X669" s="14" t="s">
        <v>73</v>
      </c>
      <c r="AB669" s="19"/>
      <c r="AC669" s="20"/>
      <c r="AD669" s="19"/>
      <c r="AE669" s="98"/>
    </row>
    <row r="670" spans="1:31" x14ac:dyDescent="0.3">
      <c r="A670" s="105">
        <v>670</v>
      </c>
      <c r="B670" s="46">
        <v>45681</v>
      </c>
      <c r="D670" s="13" t="s">
        <v>50</v>
      </c>
      <c r="E670" s="13" t="s">
        <v>51</v>
      </c>
      <c r="F670" s="13" t="s">
        <v>967</v>
      </c>
      <c r="G670" s="14" t="s">
        <v>1607</v>
      </c>
      <c r="H670" s="14">
        <v>35938</v>
      </c>
      <c r="I670" s="14" t="s">
        <v>989</v>
      </c>
      <c r="K670" s="21"/>
      <c r="L670" s="21"/>
      <c r="Q670" s="14" t="s">
        <v>477</v>
      </c>
      <c r="T670" s="15"/>
      <c r="U670" s="15"/>
      <c r="V670" s="16">
        <v>767.26</v>
      </c>
      <c r="X670" s="14" t="s">
        <v>73</v>
      </c>
      <c r="AB670" s="19"/>
      <c r="AC670" s="20"/>
      <c r="AD670" s="19"/>
      <c r="AE670" s="98"/>
    </row>
    <row r="671" spans="1:31" x14ac:dyDescent="0.3">
      <c r="A671" s="107">
        <v>671</v>
      </c>
      <c r="B671" s="46">
        <v>45681</v>
      </c>
      <c r="D671" s="13" t="s">
        <v>50</v>
      </c>
      <c r="E671" s="13" t="s">
        <v>51</v>
      </c>
      <c r="F671" s="13" t="s">
        <v>52</v>
      </c>
      <c r="G671" s="14" t="s">
        <v>466</v>
      </c>
      <c r="H671" s="14" t="s">
        <v>990</v>
      </c>
      <c r="I671" s="14" t="s">
        <v>991</v>
      </c>
      <c r="K671" s="21"/>
      <c r="L671" s="21"/>
      <c r="Q671" s="14" t="s">
        <v>3</v>
      </c>
      <c r="T671" s="15"/>
      <c r="U671" s="15"/>
      <c r="V671" s="16">
        <v>602.74</v>
      </c>
      <c r="X671" s="14" t="s">
        <v>73</v>
      </c>
      <c r="AB671" s="19"/>
      <c r="AC671" s="20"/>
      <c r="AD671" s="19"/>
      <c r="AE671" s="98"/>
    </row>
    <row r="672" spans="1:31" x14ac:dyDescent="0.3">
      <c r="A672" s="108">
        <v>672</v>
      </c>
      <c r="B672" s="46">
        <v>45681</v>
      </c>
      <c r="D672" s="13" t="s">
        <v>50</v>
      </c>
      <c r="E672" s="13" t="s">
        <v>51</v>
      </c>
      <c r="F672" s="13" t="s">
        <v>52</v>
      </c>
      <c r="G672" s="14" t="s">
        <v>609</v>
      </c>
      <c r="H672" s="14">
        <v>4306919</v>
      </c>
      <c r="I672" s="14" t="s">
        <v>992</v>
      </c>
      <c r="K672" s="21"/>
      <c r="L672" s="21"/>
      <c r="Q672" s="14" t="s">
        <v>6</v>
      </c>
      <c r="T672" s="15"/>
      <c r="U672" s="15"/>
      <c r="V672" s="16">
        <v>671.13</v>
      </c>
      <c r="X672" s="14" t="s">
        <v>73</v>
      </c>
      <c r="AB672" s="19"/>
      <c r="AC672" s="20"/>
      <c r="AD672" s="19"/>
      <c r="AE672" s="98"/>
    </row>
    <row r="673" spans="1:31" x14ac:dyDescent="0.3">
      <c r="A673" s="105">
        <v>673</v>
      </c>
      <c r="B673" s="46">
        <v>45681</v>
      </c>
      <c r="D673" s="13" t="s">
        <v>50</v>
      </c>
      <c r="E673" s="13" t="s">
        <v>51</v>
      </c>
      <c r="F673" s="13" t="s">
        <v>993</v>
      </c>
      <c r="G673" s="14" t="s">
        <v>994</v>
      </c>
      <c r="H673" s="14">
        <v>4308118</v>
      </c>
      <c r="I673" s="14" t="s">
        <v>995</v>
      </c>
      <c r="K673" s="21"/>
      <c r="L673" s="21"/>
      <c r="Q673" s="14" t="s">
        <v>6</v>
      </c>
      <c r="T673" s="15"/>
      <c r="U673" s="15"/>
      <c r="V673" s="16">
        <v>2443.86</v>
      </c>
      <c r="X673" s="14" t="s">
        <v>73</v>
      </c>
      <c r="AB673" s="19"/>
      <c r="AC673" s="20"/>
      <c r="AD673" s="19"/>
      <c r="AE673" s="98"/>
    </row>
    <row r="674" spans="1:31" x14ac:dyDescent="0.3">
      <c r="A674" s="107">
        <v>674</v>
      </c>
      <c r="B674" s="46">
        <v>45681</v>
      </c>
      <c r="D674" s="13" t="s">
        <v>50</v>
      </c>
      <c r="E674" s="13" t="s">
        <v>51</v>
      </c>
      <c r="F674" s="13" t="s">
        <v>993</v>
      </c>
      <c r="G674" s="14" t="s">
        <v>994</v>
      </c>
      <c r="H674" s="14">
        <v>4308157</v>
      </c>
      <c r="I674" s="14" t="s">
        <v>996</v>
      </c>
      <c r="K674" s="21"/>
      <c r="L674" s="21"/>
      <c r="Q674" s="14" t="s">
        <v>6</v>
      </c>
      <c r="T674" s="15"/>
      <c r="U674" s="15"/>
      <c r="V674" s="16">
        <v>2417.71</v>
      </c>
      <c r="X674" s="14" t="s">
        <v>73</v>
      </c>
      <c r="AB674" s="19"/>
      <c r="AC674" s="20"/>
      <c r="AD674" s="19"/>
      <c r="AE674" s="98"/>
    </row>
    <row r="675" spans="1:31" x14ac:dyDescent="0.3">
      <c r="A675" s="108">
        <v>675</v>
      </c>
      <c r="B675" s="46">
        <v>45682</v>
      </c>
      <c r="D675" s="13" t="s">
        <v>50</v>
      </c>
      <c r="E675" s="13" t="s">
        <v>51</v>
      </c>
      <c r="F675" s="13" t="s">
        <v>52</v>
      </c>
      <c r="G675" s="14" t="s">
        <v>609</v>
      </c>
      <c r="H675" s="14">
        <v>4308299</v>
      </c>
      <c r="I675" s="14" t="s">
        <v>997</v>
      </c>
      <c r="K675" s="21"/>
      <c r="L675" s="21"/>
      <c r="Q675" s="14" t="s">
        <v>6</v>
      </c>
      <c r="T675" s="15"/>
      <c r="U675" s="15"/>
      <c r="V675" s="16">
        <v>605.57000000000005</v>
      </c>
      <c r="X675" s="14" t="s">
        <v>73</v>
      </c>
      <c r="AB675" s="19"/>
      <c r="AC675" s="20"/>
      <c r="AD675" s="19"/>
      <c r="AE675" s="98"/>
    </row>
    <row r="676" spans="1:31" x14ac:dyDescent="0.3">
      <c r="A676" s="105">
        <v>676</v>
      </c>
      <c r="B676" s="46">
        <v>45682</v>
      </c>
      <c r="D676" s="13" t="s">
        <v>50</v>
      </c>
      <c r="E676" s="13" t="s">
        <v>51</v>
      </c>
      <c r="F676" s="13" t="s">
        <v>52</v>
      </c>
      <c r="G676" s="14" t="s">
        <v>609</v>
      </c>
      <c r="H676" s="14">
        <v>4308206</v>
      </c>
      <c r="I676" s="14" t="s">
        <v>998</v>
      </c>
      <c r="K676" s="21"/>
      <c r="L676" s="21"/>
      <c r="Q676" s="14" t="s">
        <v>6</v>
      </c>
      <c r="T676" s="15"/>
      <c r="U676" s="15"/>
      <c r="V676" s="16">
        <v>1003.42</v>
      </c>
      <c r="X676" s="14" t="s">
        <v>73</v>
      </c>
      <c r="AB676" s="19"/>
      <c r="AC676" s="20"/>
      <c r="AD676" s="19"/>
      <c r="AE676" s="98"/>
    </row>
    <row r="677" spans="1:31" x14ac:dyDescent="0.3">
      <c r="A677" s="107">
        <v>677</v>
      </c>
      <c r="B677" s="46">
        <v>45682</v>
      </c>
      <c r="D677" s="13" t="s">
        <v>50</v>
      </c>
      <c r="E677" s="13" t="s">
        <v>51</v>
      </c>
      <c r="F677" s="13" t="s">
        <v>52</v>
      </c>
      <c r="G677" s="14" t="s">
        <v>820</v>
      </c>
      <c r="H677" s="14">
        <v>16634</v>
      </c>
      <c r="I677" s="14" t="s">
        <v>1093</v>
      </c>
      <c r="K677" s="21"/>
      <c r="L677" s="21"/>
      <c r="Q677" s="14" t="s">
        <v>307</v>
      </c>
      <c r="T677" s="15"/>
      <c r="U677" s="15"/>
      <c r="V677" s="16">
        <v>852.04</v>
      </c>
      <c r="X677" s="14" t="s">
        <v>73</v>
      </c>
      <c r="AB677" s="19"/>
      <c r="AC677" s="20"/>
      <c r="AD677" s="19"/>
      <c r="AE677" s="98"/>
    </row>
    <row r="678" spans="1:31" x14ac:dyDescent="0.3">
      <c r="A678" s="108">
        <v>678</v>
      </c>
      <c r="B678" s="46">
        <v>45682</v>
      </c>
      <c r="C678" s="46">
        <v>45691</v>
      </c>
      <c r="D678" s="13" t="s">
        <v>50</v>
      </c>
      <c r="E678" s="13" t="s">
        <v>51</v>
      </c>
      <c r="F678" s="13" t="s">
        <v>66</v>
      </c>
      <c r="G678" s="14" t="s">
        <v>330</v>
      </c>
      <c r="I678" s="14" t="s">
        <v>1032</v>
      </c>
      <c r="K678" s="21"/>
      <c r="L678" s="21"/>
      <c r="Q678" s="14" t="s">
        <v>586</v>
      </c>
      <c r="R678" s="14" t="s">
        <v>1031</v>
      </c>
      <c r="T678" s="15"/>
      <c r="U678" s="15"/>
      <c r="V678" s="16">
        <v>4216.17</v>
      </c>
      <c r="X678" s="14" t="s">
        <v>73</v>
      </c>
      <c r="AB678" s="19"/>
      <c r="AC678" s="20"/>
      <c r="AD678" s="19"/>
      <c r="AE678" s="98"/>
    </row>
    <row r="679" spans="1:31" x14ac:dyDescent="0.3">
      <c r="A679" s="105">
        <v>679</v>
      </c>
      <c r="B679" s="46">
        <v>45685</v>
      </c>
      <c r="D679" s="13" t="s">
        <v>50</v>
      </c>
      <c r="E679" s="13" t="s">
        <v>51</v>
      </c>
      <c r="F679" s="13" t="s">
        <v>66</v>
      </c>
      <c r="G679" s="14" t="s">
        <v>240</v>
      </c>
      <c r="H679" s="14">
        <v>36013</v>
      </c>
      <c r="I679" s="14" t="s">
        <v>1030</v>
      </c>
      <c r="K679" s="21"/>
      <c r="L679" s="21"/>
      <c r="Q679" s="14" t="s">
        <v>477</v>
      </c>
      <c r="R679" s="14" t="s">
        <v>200</v>
      </c>
      <c r="T679" s="15">
        <f>104.57*1.005</f>
        <v>105.09284999999998</v>
      </c>
      <c r="U679" s="15"/>
      <c r="V679" s="16">
        <f>+Tabla1[[#This Row],[PAGO MENSUAL]]*12</f>
        <v>1261.1141999999998</v>
      </c>
      <c r="X679" s="14" t="s">
        <v>73</v>
      </c>
      <c r="AB679" s="19"/>
      <c r="AC679" s="20"/>
      <c r="AD679" s="19"/>
      <c r="AE679" s="98"/>
    </row>
    <row r="680" spans="1:31" x14ac:dyDescent="0.3">
      <c r="A680" s="107">
        <v>680</v>
      </c>
      <c r="B680" s="46">
        <v>45685</v>
      </c>
      <c r="D680" s="13" t="s">
        <v>50</v>
      </c>
      <c r="E680" s="13" t="s">
        <v>51</v>
      </c>
      <c r="F680" s="13" t="s">
        <v>1012</v>
      </c>
      <c r="G680" s="14" t="s">
        <v>14</v>
      </c>
      <c r="H680" s="14">
        <v>4308385</v>
      </c>
      <c r="I680" s="14" t="s">
        <v>1025</v>
      </c>
      <c r="K680" s="21"/>
      <c r="L680" s="21"/>
      <c r="Q680" s="14" t="s">
        <v>395</v>
      </c>
      <c r="R680" s="14" t="s">
        <v>1026</v>
      </c>
      <c r="T680" s="15">
        <v>71.77</v>
      </c>
      <c r="U680" s="15"/>
      <c r="V680" s="16">
        <f>+Tabla1[[#This Row],[PAGO MENSUAL]]*12</f>
        <v>861.24</v>
      </c>
      <c r="X680" s="14" t="s">
        <v>73</v>
      </c>
      <c r="AB680" s="19"/>
      <c r="AC680" s="20"/>
      <c r="AD680" s="19"/>
      <c r="AE680" s="98"/>
    </row>
    <row r="681" spans="1:31" x14ac:dyDescent="0.3">
      <c r="A681" s="108">
        <v>681</v>
      </c>
      <c r="B681" s="46">
        <v>45686</v>
      </c>
      <c r="D681" s="13" t="s">
        <v>50</v>
      </c>
      <c r="E681" s="13" t="s">
        <v>51</v>
      </c>
      <c r="F681" s="13" t="s">
        <v>66</v>
      </c>
      <c r="G681" s="14" t="s">
        <v>790</v>
      </c>
      <c r="H681" s="14">
        <v>36029</v>
      </c>
      <c r="I681" s="14" t="s">
        <v>1014</v>
      </c>
      <c r="K681" s="21"/>
      <c r="L681" s="21"/>
      <c r="Q681" s="14" t="s">
        <v>477</v>
      </c>
      <c r="R681" s="14" t="s">
        <v>143</v>
      </c>
      <c r="T681" s="15">
        <f>112.02*1.005</f>
        <v>112.58009999999999</v>
      </c>
      <c r="U681" s="15"/>
      <c r="V681" s="16">
        <f>+Tabla1[[#This Row],[PAGO MENSUAL]]*12</f>
        <v>1350.9611999999997</v>
      </c>
      <c r="X681" s="14" t="s">
        <v>73</v>
      </c>
      <c r="AB681" s="19"/>
      <c r="AC681" s="20"/>
      <c r="AD681" s="19"/>
      <c r="AE681" s="98"/>
    </row>
    <row r="682" spans="1:31" x14ac:dyDescent="0.3">
      <c r="A682" s="105">
        <v>682</v>
      </c>
      <c r="B682" s="46">
        <v>45686</v>
      </c>
      <c r="D682" s="13" t="s">
        <v>50</v>
      </c>
      <c r="E682" s="13" t="s">
        <v>51</v>
      </c>
      <c r="F682" s="13" t="s">
        <v>1006</v>
      </c>
      <c r="G682" s="14" t="s">
        <v>1007</v>
      </c>
      <c r="I682" s="14" t="s">
        <v>1015</v>
      </c>
      <c r="K682" s="21"/>
      <c r="L682" s="21"/>
      <c r="Q682" s="14" t="s">
        <v>477</v>
      </c>
      <c r="R682" s="14" t="s">
        <v>1016</v>
      </c>
      <c r="T682" s="15">
        <v>58.35</v>
      </c>
      <c r="U682" s="15"/>
      <c r="V682" s="16">
        <f>+Tabla1[[#This Row],[PAGO MENSUAL]]*12</f>
        <v>700.2</v>
      </c>
      <c r="X682" s="14" t="s">
        <v>73</v>
      </c>
      <c r="AB682" s="19"/>
      <c r="AC682" s="20"/>
      <c r="AD682" s="19"/>
      <c r="AE682" s="98"/>
    </row>
    <row r="683" spans="1:31" x14ac:dyDescent="0.3">
      <c r="A683" s="107">
        <v>683</v>
      </c>
      <c r="B683" s="46">
        <v>45686</v>
      </c>
      <c r="D683" s="13" t="s">
        <v>50</v>
      </c>
      <c r="E683" s="13" t="s">
        <v>51</v>
      </c>
      <c r="F683" s="13" t="s">
        <v>52</v>
      </c>
      <c r="G683" s="14" t="s">
        <v>566</v>
      </c>
      <c r="H683" s="14">
        <v>4308562</v>
      </c>
      <c r="I683" s="14" t="s">
        <v>999</v>
      </c>
      <c r="K683" s="21"/>
      <c r="L683" s="21"/>
      <c r="Q683" s="14" t="s">
        <v>6</v>
      </c>
      <c r="T683" s="15"/>
      <c r="U683" s="15"/>
      <c r="V683" s="16">
        <v>1296.06</v>
      </c>
      <c r="X683" s="14" t="s">
        <v>73</v>
      </c>
      <c r="AB683" s="19"/>
      <c r="AC683" s="20"/>
      <c r="AD683" s="19"/>
      <c r="AE683" s="98"/>
    </row>
    <row r="684" spans="1:31" x14ac:dyDescent="0.3">
      <c r="A684" s="108">
        <v>684</v>
      </c>
      <c r="B684" s="46">
        <v>45686</v>
      </c>
      <c r="D684" s="13" t="s">
        <v>50</v>
      </c>
      <c r="E684" s="13" t="s">
        <v>51</v>
      </c>
      <c r="F684" s="13" t="s">
        <v>52</v>
      </c>
      <c r="G684" s="14" t="s">
        <v>569</v>
      </c>
      <c r="H684" s="14">
        <v>47991</v>
      </c>
      <c r="I684" s="14" t="s">
        <v>1000</v>
      </c>
      <c r="K684" s="21"/>
      <c r="L684" s="21"/>
      <c r="Q684" s="14" t="s">
        <v>748</v>
      </c>
      <c r="T684" s="15"/>
      <c r="U684" s="15"/>
      <c r="V684" s="16">
        <v>4497.4399999999996</v>
      </c>
      <c r="X684" s="14" t="s">
        <v>73</v>
      </c>
      <c r="AB684" s="19"/>
      <c r="AC684" s="20"/>
      <c r="AD684" s="19"/>
      <c r="AE684" s="98"/>
    </row>
    <row r="685" spans="1:31" x14ac:dyDescent="0.3">
      <c r="A685" s="105">
        <v>685</v>
      </c>
      <c r="B685" s="46">
        <v>45686</v>
      </c>
      <c r="D685" s="13" t="s">
        <v>50</v>
      </c>
      <c r="E685" s="13" t="s">
        <v>51</v>
      </c>
      <c r="F685" s="13" t="s">
        <v>52</v>
      </c>
      <c r="G685" s="14" t="s">
        <v>912</v>
      </c>
      <c r="H685" s="14">
        <v>4308484</v>
      </c>
      <c r="I685" s="14" t="s">
        <v>1001</v>
      </c>
      <c r="K685" s="21"/>
      <c r="L685" s="21"/>
      <c r="Q685" s="14" t="s">
        <v>6</v>
      </c>
      <c r="T685" s="15"/>
      <c r="U685" s="15"/>
      <c r="V685" s="16">
        <v>1206.6300000000001</v>
      </c>
      <c r="X685" s="14" t="s">
        <v>73</v>
      </c>
      <c r="AB685" s="19"/>
      <c r="AC685" s="20"/>
      <c r="AD685" s="19"/>
      <c r="AE685" s="98"/>
    </row>
    <row r="686" spans="1:31" x14ac:dyDescent="0.3">
      <c r="A686" s="107">
        <v>686</v>
      </c>
      <c r="B686" s="46">
        <v>45686</v>
      </c>
      <c r="C686" s="46">
        <v>45689</v>
      </c>
      <c r="D686" s="13" t="s">
        <v>50</v>
      </c>
      <c r="E686" s="13" t="s">
        <v>51</v>
      </c>
      <c r="F686" s="13" t="s">
        <v>66</v>
      </c>
      <c r="G686" s="14" t="s">
        <v>790</v>
      </c>
      <c r="H686" s="14">
        <v>16639</v>
      </c>
      <c r="I686" s="14" t="s">
        <v>1010</v>
      </c>
      <c r="K686" s="21"/>
      <c r="L686" s="21"/>
      <c r="Q686" s="14" t="s">
        <v>307</v>
      </c>
      <c r="R686" s="14" t="s">
        <v>295</v>
      </c>
      <c r="T686" s="15">
        <v>145.03</v>
      </c>
      <c r="U686" s="15"/>
      <c r="V686" s="16">
        <f>+Tabla1[[#This Row],[PAGO MENSUAL]]*12</f>
        <v>1740.3600000000001</v>
      </c>
      <c r="W686" s="17" t="s">
        <v>1029</v>
      </c>
      <c r="X686" s="14" t="s">
        <v>73</v>
      </c>
      <c r="AB686" s="19"/>
      <c r="AC686" s="20"/>
      <c r="AD686" s="19"/>
      <c r="AE686" s="98"/>
    </row>
    <row r="687" spans="1:31" x14ac:dyDescent="0.3">
      <c r="A687" s="108">
        <v>687</v>
      </c>
      <c r="B687" s="46">
        <v>45687</v>
      </c>
      <c r="D687" s="13" t="s">
        <v>50</v>
      </c>
      <c r="E687" s="13" t="s">
        <v>51</v>
      </c>
      <c r="F687" s="13" t="s">
        <v>967</v>
      </c>
      <c r="G687" s="14" t="s">
        <v>1607</v>
      </c>
      <c r="H687" s="14">
        <v>4308742</v>
      </c>
      <c r="I687" s="14" t="s">
        <v>1002</v>
      </c>
      <c r="K687" s="21"/>
      <c r="L687" s="21"/>
      <c r="Q687" s="14" t="s">
        <v>6</v>
      </c>
      <c r="T687" s="15"/>
      <c r="U687" s="15"/>
      <c r="V687" s="16">
        <v>1481.25</v>
      </c>
      <c r="X687" s="14" t="s">
        <v>73</v>
      </c>
      <c r="AB687" s="19"/>
      <c r="AC687" s="20"/>
      <c r="AD687" s="19"/>
      <c r="AE687" s="98"/>
    </row>
    <row r="688" spans="1:31" x14ac:dyDescent="0.3">
      <c r="A688" s="105">
        <v>688</v>
      </c>
      <c r="B688" s="46">
        <v>45687</v>
      </c>
      <c r="D688" s="13" t="s">
        <v>50</v>
      </c>
      <c r="E688" s="13" t="s">
        <v>51</v>
      </c>
      <c r="F688" s="13" t="s">
        <v>967</v>
      </c>
      <c r="G688" s="14" t="s">
        <v>396</v>
      </c>
      <c r="H688" s="14">
        <v>4307093</v>
      </c>
      <c r="I688" s="14" t="s">
        <v>1003</v>
      </c>
      <c r="K688" s="21"/>
      <c r="L688" s="21"/>
      <c r="Q688" s="14" t="s">
        <v>6</v>
      </c>
      <c r="T688" s="15"/>
      <c r="U688" s="15"/>
      <c r="V688" s="16">
        <v>690.47</v>
      </c>
      <c r="X688" s="14" t="s">
        <v>73</v>
      </c>
      <c r="AB688" s="19"/>
      <c r="AC688" s="20"/>
      <c r="AD688" s="19"/>
      <c r="AE688" s="98"/>
    </row>
    <row r="689" spans="1:31" x14ac:dyDescent="0.3">
      <c r="A689" s="107">
        <v>689</v>
      </c>
      <c r="B689" s="46">
        <v>45687</v>
      </c>
      <c r="C689" s="46">
        <v>45688</v>
      </c>
      <c r="D689" s="13" t="s">
        <v>50</v>
      </c>
      <c r="E689" s="13" t="s">
        <v>51</v>
      </c>
      <c r="F689" s="13" t="s">
        <v>66</v>
      </c>
      <c r="G689" s="14" t="s">
        <v>145</v>
      </c>
      <c r="H689" s="14">
        <v>4308908</v>
      </c>
      <c r="I689" s="14" t="s">
        <v>1035</v>
      </c>
      <c r="K689" s="21"/>
      <c r="L689" s="21"/>
      <c r="Q689" s="14" t="s">
        <v>6</v>
      </c>
      <c r="R689" s="14" t="s">
        <v>902</v>
      </c>
      <c r="T689" s="15">
        <v>102.33</v>
      </c>
      <c r="U689" s="15"/>
      <c r="V689" s="16">
        <f>+Tabla1[[#This Row],[PAGO MENSUAL]]*12</f>
        <v>1227.96</v>
      </c>
      <c r="X689" s="14" t="s">
        <v>73</v>
      </c>
      <c r="AB689" s="19"/>
      <c r="AC689" s="20"/>
      <c r="AD689" s="19"/>
      <c r="AE689" s="98"/>
    </row>
    <row r="690" spans="1:31" x14ac:dyDescent="0.3">
      <c r="A690" s="108">
        <v>690</v>
      </c>
      <c r="B690" s="46">
        <v>45687</v>
      </c>
      <c r="C690" s="46">
        <v>45692</v>
      </c>
      <c r="D690" s="13" t="s">
        <v>50</v>
      </c>
      <c r="E690" s="13" t="s">
        <v>51</v>
      </c>
      <c r="F690" s="13" t="s">
        <v>1012</v>
      </c>
      <c r="G690" s="14" t="s">
        <v>14</v>
      </c>
      <c r="I690" s="14" t="s">
        <v>1036</v>
      </c>
      <c r="K690" s="21"/>
      <c r="L690" s="21"/>
      <c r="Q690" s="14" t="s">
        <v>6</v>
      </c>
      <c r="R690" s="14" t="s">
        <v>314</v>
      </c>
      <c r="T690" s="15">
        <v>89.75</v>
      </c>
      <c r="U690" s="15"/>
      <c r="V690" s="16">
        <f>+Tabla1[[#This Row],[PAGO MENSUAL]]*12</f>
        <v>1077</v>
      </c>
      <c r="W690" s="17" t="s">
        <v>1037</v>
      </c>
      <c r="X690" s="14" t="s">
        <v>1067</v>
      </c>
      <c r="AB690" s="19"/>
      <c r="AC690" s="20"/>
      <c r="AD690" s="19"/>
      <c r="AE690" s="98"/>
    </row>
    <row r="691" spans="1:31" x14ac:dyDescent="0.3">
      <c r="A691" s="105">
        <v>691</v>
      </c>
      <c r="B691" s="46">
        <v>45688</v>
      </c>
      <c r="D691" s="13" t="s">
        <v>50</v>
      </c>
      <c r="E691" s="13" t="s">
        <v>51</v>
      </c>
      <c r="F691" s="13" t="s">
        <v>1006</v>
      </c>
      <c r="G691" s="14" t="s">
        <v>1007</v>
      </c>
      <c r="I691" s="14" t="s">
        <v>1017</v>
      </c>
      <c r="K691" s="21"/>
      <c r="L691" s="21"/>
      <c r="Q691" s="14" t="s">
        <v>477</v>
      </c>
      <c r="R691" s="14" t="s">
        <v>1016</v>
      </c>
      <c r="T691" s="15"/>
      <c r="U691" s="15"/>
      <c r="V691" s="16">
        <f>+Tabla1[[#This Row],[PAGO MENSUAL]]*12</f>
        <v>0</v>
      </c>
      <c r="X691" s="14" t="s">
        <v>1067</v>
      </c>
      <c r="AB691" s="19"/>
      <c r="AC691" s="20"/>
      <c r="AD691" s="19"/>
      <c r="AE691" s="98"/>
    </row>
    <row r="692" spans="1:31" x14ac:dyDescent="0.3">
      <c r="A692" s="107">
        <v>692</v>
      </c>
      <c r="B692" s="46">
        <v>45688</v>
      </c>
      <c r="D692" s="13" t="s">
        <v>50</v>
      </c>
      <c r="E692" s="13" t="s">
        <v>51</v>
      </c>
      <c r="F692" s="13" t="s">
        <v>1006</v>
      </c>
      <c r="G692" s="14" t="s">
        <v>1007</v>
      </c>
      <c r="I692" s="14" t="s">
        <v>1018</v>
      </c>
      <c r="K692" s="21"/>
      <c r="L692" s="21"/>
      <c r="Q692" s="14" t="s">
        <v>477</v>
      </c>
      <c r="R692" s="14" t="s">
        <v>1016</v>
      </c>
      <c r="T692" s="15"/>
      <c r="U692" s="15"/>
      <c r="V692" s="16">
        <f>+Tabla1[[#This Row],[PAGO MENSUAL]]*12</f>
        <v>0</v>
      </c>
      <c r="X692" s="14" t="s">
        <v>1067</v>
      </c>
      <c r="AB692" s="19"/>
      <c r="AC692" s="20"/>
      <c r="AD692" s="19"/>
      <c r="AE692" s="98"/>
    </row>
    <row r="693" spans="1:31" x14ac:dyDescent="0.3">
      <c r="A693" s="108">
        <v>693</v>
      </c>
      <c r="B693" s="46">
        <v>45688</v>
      </c>
      <c r="D693" s="13" t="s">
        <v>50</v>
      </c>
      <c r="E693" s="13" t="s">
        <v>51</v>
      </c>
      <c r="F693" s="13" t="s">
        <v>1012</v>
      </c>
      <c r="G693" s="14" t="s">
        <v>14</v>
      </c>
      <c r="H693" s="14">
        <v>36108</v>
      </c>
      <c r="I693" s="14" t="s">
        <v>1078</v>
      </c>
      <c r="J693" s="14" t="s">
        <v>1019</v>
      </c>
      <c r="K693" s="21"/>
      <c r="L693" s="21"/>
      <c r="Q693" s="14" t="s">
        <v>477</v>
      </c>
      <c r="R693" s="14" t="s">
        <v>1016</v>
      </c>
      <c r="T693" s="15">
        <v>104.7</v>
      </c>
      <c r="U693" s="15"/>
      <c r="V693" s="16">
        <f>+Tabla1[[#This Row],[PAGO MENSUAL]]*12</f>
        <v>1256.4000000000001</v>
      </c>
      <c r="X693" s="14" t="s">
        <v>1067</v>
      </c>
      <c r="AB693" s="19"/>
      <c r="AC693" s="20"/>
      <c r="AD693" s="19"/>
      <c r="AE693" s="98"/>
    </row>
    <row r="694" spans="1:31" x14ac:dyDescent="0.3">
      <c r="A694" s="105">
        <v>694</v>
      </c>
      <c r="B694" s="46">
        <v>45688</v>
      </c>
      <c r="D694" s="13" t="s">
        <v>50</v>
      </c>
      <c r="E694" s="13" t="s">
        <v>51</v>
      </c>
      <c r="F694" s="13" t="s">
        <v>66</v>
      </c>
      <c r="G694" s="14" t="s">
        <v>18</v>
      </c>
      <c r="H694" s="14">
        <v>48145</v>
      </c>
      <c r="I694" s="14" t="s">
        <v>1020</v>
      </c>
      <c r="K694" s="21"/>
      <c r="L694" s="21"/>
      <c r="Q694" s="14" t="s">
        <v>748</v>
      </c>
      <c r="R694" s="14" t="s">
        <v>64</v>
      </c>
      <c r="T694" s="16">
        <f>1336.61/12</f>
        <v>111.38416666666666</v>
      </c>
      <c r="U694" s="15"/>
      <c r="V694" s="16">
        <f>+Tabla1[[#This Row],[PAGO MENSUAL]]*12</f>
        <v>1336.61</v>
      </c>
      <c r="X694" s="14" t="s">
        <v>1067</v>
      </c>
      <c r="AB694" s="19"/>
      <c r="AC694" s="20"/>
      <c r="AD694" s="19"/>
      <c r="AE694" s="98"/>
    </row>
    <row r="695" spans="1:31" x14ac:dyDescent="0.3">
      <c r="A695" s="107">
        <v>695</v>
      </c>
      <c r="B695" s="46">
        <v>45688</v>
      </c>
      <c r="C695" s="46">
        <v>45689</v>
      </c>
      <c r="D695" s="13" t="s">
        <v>50</v>
      </c>
      <c r="E695" s="13" t="s">
        <v>51</v>
      </c>
      <c r="F695" s="13" t="s">
        <v>66</v>
      </c>
      <c r="G695" s="14" t="s">
        <v>18</v>
      </c>
      <c r="H695" s="14">
        <v>16668</v>
      </c>
      <c r="I695" s="14" t="s">
        <v>1033</v>
      </c>
      <c r="K695" s="21"/>
      <c r="L695" s="21"/>
      <c r="Q695" s="14" t="s">
        <v>307</v>
      </c>
      <c r="R695" s="14" t="s">
        <v>232</v>
      </c>
      <c r="T695" s="15">
        <v>166.17</v>
      </c>
      <c r="U695" s="15"/>
      <c r="V695" s="16">
        <f>+Tabla1[[#This Row],[PAGO MENSUAL]]*12</f>
        <v>1994.04</v>
      </c>
      <c r="X695" s="14" t="s">
        <v>1067</v>
      </c>
      <c r="AB695" s="19"/>
      <c r="AC695" s="20"/>
      <c r="AD695" s="19"/>
      <c r="AE695" s="98"/>
    </row>
    <row r="696" spans="1:31" x14ac:dyDescent="0.3">
      <c r="A696" s="108">
        <v>696</v>
      </c>
      <c r="B696" s="46">
        <v>45688</v>
      </c>
      <c r="C696" s="46">
        <v>45658</v>
      </c>
      <c r="D696" s="13" t="s">
        <v>50</v>
      </c>
      <c r="E696" s="13" t="s">
        <v>51</v>
      </c>
      <c r="F696" s="13" t="s">
        <v>66</v>
      </c>
      <c r="G696" s="14" t="s">
        <v>18</v>
      </c>
      <c r="H696" s="14">
        <v>16655</v>
      </c>
      <c r="I696" s="14" t="s">
        <v>1034</v>
      </c>
      <c r="K696" s="21"/>
      <c r="L696" s="21"/>
      <c r="Q696" s="14" t="s">
        <v>307</v>
      </c>
      <c r="R696" s="14" t="s">
        <v>177</v>
      </c>
      <c r="T696" s="15">
        <v>71.36</v>
      </c>
      <c r="U696" s="15"/>
      <c r="V696" s="16">
        <f>+Tabla1[[#This Row],[PAGO MENSUAL]]*12</f>
        <v>856.31999999999994</v>
      </c>
      <c r="X696" s="14" t="s">
        <v>1067</v>
      </c>
      <c r="AB696" s="19"/>
      <c r="AC696" s="20"/>
      <c r="AD696" s="19"/>
      <c r="AE696" s="98"/>
    </row>
    <row r="697" spans="1:31" x14ac:dyDescent="0.3">
      <c r="A697" s="105">
        <v>697</v>
      </c>
      <c r="B697" s="46">
        <v>45688</v>
      </c>
      <c r="C697" s="46">
        <v>45688</v>
      </c>
      <c r="D697" s="13" t="s">
        <v>50</v>
      </c>
      <c r="E697" s="13" t="s">
        <v>51</v>
      </c>
      <c r="F697" s="13" t="s">
        <v>1012</v>
      </c>
      <c r="G697" s="14" t="s">
        <v>14</v>
      </c>
      <c r="H697" s="14">
        <v>4309114</v>
      </c>
      <c r="I697" s="14" t="s">
        <v>524</v>
      </c>
      <c r="K697" s="21"/>
      <c r="L697" s="21"/>
      <c r="Q697" s="14" t="s">
        <v>6</v>
      </c>
      <c r="R697" s="14" t="s">
        <v>350</v>
      </c>
      <c r="T697" s="15">
        <v>68.180000000000007</v>
      </c>
      <c r="U697" s="15"/>
      <c r="V697" s="16">
        <f>+Tabla1[[#This Row],[PAGO MENSUAL]]*12</f>
        <v>818.16000000000008</v>
      </c>
      <c r="X697" s="14" t="s">
        <v>1067</v>
      </c>
      <c r="AB697" s="19"/>
      <c r="AC697" s="20"/>
      <c r="AD697" s="19"/>
      <c r="AE697" s="98"/>
    </row>
    <row r="698" spans="1:31" x14ac:dyDescent="0.3">
      <c r="A698" s="107">
        <v>698</v>
      </c>
      <c r="B698" s="46">
        <v>45688</v>
      </c>
      <c r="D698" s="13" t="s">
        <v>50</v>
      </c>
      <c r="E698" s="13" t="s">
        <v>51</v>
      </c>
      <c r="F698" s="13" t="s">
        <v>52</v>
      </c>
      <c r="G698" s="14" t="s">
        <v>609</v>
      </c>
      <c r="H698" s="14">
        <v>43008696</v>
      </c>
      <c r="I698" s="14" t="s">
        <v>1054</v>
      </c>
      <c r="K698" s="21"/>
      <c r="L698" s="21"/>
      <c r="Q698" s="14" t="s">
        <v>6</v>
      </c>
      <c r="R698" s="14" t="s">
        <v>277</v>
      </c>
      <c r="T698" s="15">
        <v>61.82</v>
      </c>
      <c r="U698" s="15"/>
      <c r="V698" s="16">
        <f>+Tabla1[[#This Row],[PAGO MENSUAL]]*12</f>
        <v>741.84</v>
      </c>
      <c r="X698" s="14" t="s">
        <v>1067</v>
      </c>
      <c r="AB698" s="19"/>
      <c r="AC698" s="20"/>
      <c r="AD698" s="19"/>
      <c r="AE698" s="98"/>
    </row>
    <row r="699" spans="1:31" x14ac:dyDescent="0.3">
      <c r="A699" s="108">
        <v>699</v>
      </c>
      <c r="B699" s="46">
        <v>45688</v>
      </c>
      <c r="C699" s="90"/>
      <c r="D699" s="13" t="s">
        <v>50</v>
      </c>
      <c r="E699" s="13" t="s">
        <v>51</v>
      </c>
      <c r="F699" s="13" t="s">
        <v>993</v>
      </c>
      <c r="G699" s="14" t="s">
        <v>459</v>
      </c>
      <c r="H699" s="91">
        <v>16644</v>
      </c>
      <c r="I699" s="14" t="s">
        <v>1055</v>
      </c>
      <c r="J699" s="91"/>
      <c r="K699" s="92"/>
      <c r="L699" s="92"/>
      <c r="M699" s="91"/>
      <c r="N699" s="91"/>
      <c r="O699" s="91"/>
      <c r="P699" s="91"/>
      <c r="Q699" s="14" t="s">
        <v>307</v>
      </c>
      <c r="R699" s="14" t="s">
        <v>169</v>
      </c>
      <c r="S699" s="91"/>
      <c r="T699" s="93">
        <v>128.15</v>
      </c>
      <c r="U699" s="93"/>
      <c r="V699" s="16">
        <f>+Tabla1[[#This Row],[PAGO MENSUAL]]*12</f>
        <v>1537.8000000000002</v>
      </c>
      <c r="W699" s="94"/>
      <c r="X699" s="14" t="s">
        <v>1067</v>
      </c>
      <c r="Z699" s="91"/>
      <c r="AA699" s="95"/>
      <c r="AB699" s="96"/>
      <c r="AC699" s="97"/>
      <c r="AD699" s="96"/>
      <c r="AE699" s="98"/>
    </row>
    <row r="700" spans="1:31" x14ac:dyDescent="0.3">
      <c r="A700" s="105">
        <v>700</v>
      </c>
      <c r="B700" s="46">
        <v>45688</v>
      </c>
      <c r="C700" s="90"/>
      <c r="D700" s="13" t="s">
        <v>50</v>
      </c>
      <c r="E700" s="13" t="s">
        <v>51</v>
      </c>
      <c r="F700" s="13" t="s">
        <v>967</v>
      </c>
      <c r="G700" s="14" t="s">
        <v>1607</v>
      </c>
      <c r="H700" s="91">
        <v>16645</v>
      </c>
      <c r="I700" s="14" t="s">
        <v>1056</v>
      </c>
      <c r="J700" s="91"/>
      <c r="K700" s="92"/>
      <c r="L700" s="92"/>
      <c r="M700" s="91"/>
      <c r="N700" s="91"/>
      <c r="O700" s="91"/>
      <c r="P700" s="91"/>
      <c r="Q700" s="14" t="s">
        <v>307</v>
      </c>
      <c r="R700" s="14" t="s">
        <v>177</v>
      </c>
      <c r="S700" s="91"/>
      <c r="T700" s="93">
        <v>34.17</v>
      </c>
      <c r="U700" s="93"/>
      <c r="V700" s="16">
        <f>+Tabla1[[#This Row],[PAGO MENSUAL]]*12</f>
        <v>410.04</v>
      </c>
      <c r="W700" s="94"/>
      <c r="X700" s="14" t="s">
        <v>1067</v>
      </c>
      <c r="Z700" s="91"/>
      <c r="AA700" s="95"/>
      <c r="AB700" s="96"/>
      <c r="AC700" s="97"/>
      <c r="AD700" s="96"/>
      <c r="AE700" s="98"/>
    </row>
    <row r="701" spans="1:31" x14ac:dyDescent="0.3">
      <c r="A701" s="107">
        <v>701</v>
      </c>
      <c r="B701" s="46">
        <v>45688</v>
      </c>
      <c r="C701" s="90"/>
      <c r="D701" s="13" t="s">
        <v>50</v>
      </c>
      <c r="E701" s="13" t="s">
        <v>51</v>
      </c>
      <c r="F701" s="13" t="s">
        <v>52</v>
      </c>
      <c r="G701" s="14" t="s">
        <v>483</v>
      </c>
      <c r="H701" s="91">
        <v>4308825</v>
      </c>
      <c r="I701" s="14" t="s">
        <v>1057</v>
      </c>
      <c r="J701" s="91"/>
      <c r="K701" s="92"/>
      <c r="L701" s="92"/>
      <c r="M701" s="91"/>
      <c r="N701" s="91"/>
      <c r="O701" s="91"/>
      <c r="P701" s="91"/>
      <c r="Q701" s="14" t="s">
        <v>6</v>
      </c>
      <c r="R701" s="14" t="s">
        <v>1058</v>
      </c>
      <c r="S701" s="91"/>
      <c r="T701" s="93">
        <v>635</v>
      </c>
      <c r="U701" s="93"/>
      <c r="V701" s="16">
        <f>+Tabla1[[#This Row],[PAGO MENSUAL]]*12</f>
        <v>7620</v>
      </c>
      <c r="W701" s="94"/>
      <c r="X701" s="14" t="s">
        <v>1067</v>
      </c>
      <c r="Z701" s="91"/>
      <c r="AA701" s="95"/>
      <c r="AB701" s="96"/>
      <c r="AC701" s="97"/>
      <c r="AD701" s="96"/>
      <c r="AE701" s="98"/>
    </row>
    <row r="702" spans="1:31" x14ac:dyDescent="0.3">
      <c r="A702" s="107">
        <v>702</v>
      </c>
      <c r="B702" s="46">
        <v>45688</v>
      </c>
      <c r="C702" s="90"/>
      <c r="D702" s="13" t="s">
        <v>50</v>
      </c>
      <c r="E702" s="13" t="s">
        <v>51</v>
      </c>
      <c r="F702" s="13" t="s">
        <v>967</v>
      </c>
      <c r="G702" s="14" t="s">
        <v>1607</v>
      </c>
      <c r="H702" s="91">
        <v>4308865</v>
      </c>
      <c r="I702" s="14" t="s">
        <v>1059</v>
      </c>
      <c r="J702" s="91"/>
      <c r="K702" s="92"/>
      <c r="L702" s="92"/>
      <c r="M702" s="91"/>
      <c r="N702" s="91"/>
      <c r="O702" s="91"/>
      <c r="P702" s="91"/>
      <c r="Q702" s="14" t="s">
        <v>6</v>
      </c>
      <c r="R702" s="14" t="s">
        <v>902</v>
      </c>
      <c r="S702" s="91"/>
      <c r="T702" s="93">
        <v>42.37</v>
      </c>
      <c r="U702" s="93"/>
      <c r="V702" s="16">
        <f>+Tabla1[[#This Row],[PAGO MENSUAL]]*12</f>
        <v>508.43999999999994</v>
      </c>
      <c r="W702" s="94"/>
      <c r="X702" s="14" t="s">
        <v>1067</v>
      </c>
      <c r="Z702" s="91"/>
      <c r="AA702" s="95"/>
      <c r="AB702" s="96"/>
      <c r="AC702" s="97"/>
      <c r="AD702" s="96"/>
      <c r="AE702" s="98"/>
    </row>
    <row r="703" spans="1:31" x14ac:dyDescent="0.3">
      <c r="A703" s="108">
        <v>703</v>
      </c>
      <c r="B703" s="46">
        <v>45688</v>
      </c>
      <c r="C703" s="90"/>
      <c r="D703" s="13" t="s">
        <v>50</v>
      </c>
      <c r="E703" s="13" t="s">
        <v>51</v>
      </c>
      <c r="F703" s="13" t="s">
        <v>52</v>
      </c>
      <c r="G703" s="14" t="s">
        <v>583</v>
      </c>
      <c r="H703" s="91">
        <v>4309068</v>
      </c>
      <c r="I703" s="14" t="s">
        <v>1060</v>
      </c>
      <c r="J703" s="91"/>
      <c r="K703" s="92"/>
      <c r="L703" s="92"/>
      <c r="M703" s="91"/>
      <c r="N703" s="91"/>
      <c r="O703" s="91"/>
      <c r="P703" s="91"/>
      <c r="Q703" s="14" t="s">
        <v>6</v>
      </c>
      <c r="R703" s="14" t="s">
        <v>902</v>
      </c>
      <c r="S703" s="91"/>
      <c r="T703" s="93">
        <v>208.61</v>
      </c>
      <c r="U703" s="93"/>
      <c r="V703" s="16">
        <f>+Tabla1[[#This Row],[PAGO MENSUAL]]*12</f>
        <v>2503.3200000000002</v>
      </c>
      <c r="W703" s="94"/>
      <c r="X703" s="14" t="s">
        <v>1067</v>
      </c>
      <c r="Z703" s="91"/>
      <c r="AA703" s="95"/>
      <c r="AB703" s="96"/>
      <c r="AC703" s="97"/>
      <c r="AD703" s="96"/>
      <c r="AE703" s="98"/>
    </row>
    <row r="704" spans="1:31" x14ac:dyDescent="0.3">
      <c r="A704" s="105">
        <v>704</v>
      </c>
      <c r="B704" s="46">
        <v>45688</v>
      </c>
      <c r="C704" s="90"/>
      <c r="D704" s="13" t="s">
        <v>50</v>
      </c>
      <c r="E704" s="13" t="s">
        <v>51</v>
      </c>
      <c r="F704" s="13" t="s">
        <v>967</v>
      </c>
      <c r="G704" s="14" t="s">
        <v>1607</v>
      </c>
      <c r="H704" s="91">
        <v>25305061</v>
      </c>
      <c r="I704" s="14" t="s">
        <v>1061</v>
      </c>
      <c r="J704" s="91"/>
      <c r="K704" s="92"/>
      <c r="L704" s="92"/>
      <c r="M704" s="91"/>
      <c r="N704" s="91"/>
      <c r="O704" s="91"/>
      <c r="P704" s="91"/>
      <c r="Q704" s="14" t="s">
        <v>455</v>
      </c>
      <c r="R704" s="14" t="s">
        <v>456</v>
      </c>
      <c r="S704" s="91"/>
      <c r="T704" s="93">
        <v>194.6</v>
      </c>
      <c r="U704" s="93"/>
      <c r="V704" s="16">
        <f>+Tabla1[[#This Row],[PAGO MENSUAL]]*12</f>
        <v>2335.1999999999998</v>
      </c>
      <c r="W704" s="17" t="s">
        <v>1062</v>
      </c>
      <c r="X704" s="14" t="s">
        <v>73</v>
      </c>
      <c r="Z704" s="91"/>
      <c r="AA704" s="95"/>
      <c r="AB704" s="96"/>
      <c r="AC704" s="97"/>
      <c r="AD704" s="96"/>
      <c r="AE704" s="98"/>
    </row>
    <row r="705" spans="1:31" x14ac:dyDescent="0.3">
      <c r="A705" s="107">
        <v>705</v>
      </c>
      <c r="B705" s="46">
        <v>45688</v>
      </c>
      <c r="C705" s="46">
        <v>45702</v>
      </c>
      <c r="D705" s="13" t="s">
        <v>50</v>
      </c>
      <c r="E705" s="13" t="s">
        <v>51</v>
      </c>
      <c r="F705" s="13" t="s">
        <v>66</v>
      </c>
      <c r="G705" s="14" t="s">
        <v>790</v>
      </c>
      <c r="H705" s="14">
        <v>16680</v>
      </c>
      <c r="I705" s="14" t="s">
        <v>1065</v>
      </c>
      <c r="K705" s="21"/>
      <c r="L705" s="21"/>
      <c r="Q705" s="14" t="s">
        <v>307</v>
      </c>
      <c r="R705" s="14" t="s">
        <v>177</v>
      </c>
      <c r="T705" s="15">
        <v>200.13</v>
      </c>
      <c r="U705" s="15"/>
      <c r="V705" s="16">
        <f>+Tabla1[[#This Row],[PAGO MENSUAL]]*12</f>
        <v>2401.56</v>
      </c>
      <c r="W705" s="17" t="s">
        <v>1066</v>
      </c>
      <c r="X705" s="14" t="s">
        <v>1042</v>
      </c>
      <c r="Y705" s="14" t="s">
        <v>74</v>
      </c>
      <c r="Z705" s="14" t="s">
        <v>74</v>
      </c>
      <c r="AB705" s="19"/>
      <c r="AC705" s="20"/>
      <c r="AD705" s="19"/>
      <c r="AE705" s="98"/>
    </row>
    <row r="706" spans="1:31" x14ac:dyDescent="0.3">
      <c r="A706" s="108">
        <v>706</v>
      </c>
      <c r="B706" s="46">
        <v>45691</v>
      </c>
      <c r="C706" s="46">
        <v>45704</v>
      </c>
      <c r="D706" s="13" t="s">
        <v>137</v>
      </c>
      <c r="E706" s="13" t="s">
        <v>51</v>
      </c>
      <c r="F706" s="13" t="s">
        <v>66</v>
      </c>
      <c r="G706" s="14" t="s">
        <v>175</v>
      </c>
      <c r="H706" s="14" t="s">
        <v>1075</v>
      </c>
      <c r="I706" s="14" t="s">
        <v>1039</v>
      </c>
      <c r="K706" s="21"/>
      <c r="L706" s="21"/>
      <c r="Q706" s="14" t="s">
        <v>3</v>
      </c>
      <c r="R706" s="14" t="s">
        <v>64</v>
      </c>
      <c r="T706" s="15">
        <v>55.34</v>
      </c>
      <c r="U706" s="15"/>
      <c r="V706" s="16">
        <f>+Tabla1[[#This Row],[PAGO MENSUAL]]*12-65</f>
        <v>599.08000000000004</v>
      </c>
      <c r="W706" s="17" t="s">
        <v>1040</v>
      </c>
      <c r="X706" s="14" t="s">
        <v>1042</v>
      </c>
      <c r="Y706" s="14" t="s">
        <v>74</v>
      </c>
      <c r="Z706" s="14" t="s">
        <v>74</v>
      </c>
      <c r="AB706" s="19"/>
      <c r="AC706" s="20"/>
      <c r="AD706" s="19"/>
      <c r="AE706" s="98"/>
    </row>
    <row r="707" spans="1:31" x14ac:dyDescent="0.3">
      <c r="A707" s="105">
        <v>707</v>
      </c>
      <c r="B707" s="46">
        <v>45691</v>
      </c>
      <c r="C707" s="46">
        <v>45702</v>
      </c>
      <c r="D707" s="13" t="s">
        <v>137</v>
      </c>
      <c r="E707" s="13" t="s">
        <v>51</v>
      </c>
      <c r="F707" s="13" t="s">
        <v>66</v>
      </c>
      <c r="G707" s="14" t="s">
        <v>175</v>
      </c>
      <c r="H707" s="14">
        <v>16693</v>
      </c>
      <c r="I707" s="14" t="s">
        <v>1039</v>
      </c>
      <c r="K707" s="21"/>
      <c r="L707" s="21"/>
      <c r="Q707" s="14" t="s">
        <v>307</v>
      </c>
      <c r="R707" s="14" t="s">
        <v>177</v>
      </c>
      <c r="S707" s="14" t="s">
        <v>71</v>
      </c>
      <c r="T707" s="15">
        <v>64.45</v>
      </c>
      <c r="U707" s="15"/>
      <c r="V707" s="16">
        <f>+Tabla1[[#This Row],[PAGO MENSUAL]]*12</f>
        <v>773.40000000000009</v>
      </c>
      <c r="W707" s="17" t="s">
        <v>1041</v>
      </c>
      <c r="X707" s="14" t="s">
        <v>1042</v>
      </c>
      <c r="Y707" s="14" t="s">
        <v>74</v>
      </c>
      <c r="Z707" s="14" t="s">
        <v>74</v>
      </c>
      <c r="AB707" s="19"/>
      <c r="AC707" s="20"/>
      <c r="AD707" s="19"/>
      <c r="AE707" s="98"/>
    </row>
    <row r="708" spans="1:31" x14ac:dyDescent="0.3">
      <c r="A708" s="107">
        <v>708</v>
      </c>
      <c r="B708" s="46">
        <v>45691</v>
      </c>
      <c r="C708" s="46">
        <v>45698</v>
      </c>
      <c r="D708" s="13" t="s">
        <v>137</v>
      </c>
      <c r="E708" s="13" t="s">
        <v>51</v>
      </c>
      <c r="F708" s="13" t="s">
        <v>1006</v>
      </c>
      <c r="G708" s="14" t="s">
        <v>1007</v>
      </c>
      <c r="H708" s="14">
        <v>36088</v>
      </c>
      <c r="I708" s="14" t="s">
        <v>1051</v>
      </c>
      <c r="K708" s="21"/>
      <c r="L708" s="21"/>
      <c r="Q708" s="14" t="s">
        <v>477</v>
      </c>
      <c r="T708" s="15">
        <v>68.739999999999995</v>
      </c>
      <c r="U708" s="15"/>
      <c r="V708" s="16">
        <f>+Tabla1[[#This Row],[PAGO MENSUAL]]*12</f>
        <v>824.87999999999988</v>
      </c>
      <c r="X708" s="14" t="s">
        <v>1067</v>
      </c>
      <c r="AB708" s="19"/>
      <c r="AC708" s="20"/>
      <c r="AD708" s="19"/>
      <c r="AE708" s="98"/>
    </row>
    <row r="709" spans="1:31" x14ac:dyDescent="0.3">
      <c r="A709" s="107">
        <v>709</v>
      </c>
      <c r="B709" s="46">
        <v>45693</v>
      </c>
      <c r="C709" s="46">
        <v>45702</v>
      </c>
      <c r="D709" s="13" t="s">
        <v>137</v>
      </c>
      <c r="E709" s="13" t="s">
        <v>51</v>
      </c>
      <c r="F709" s="13" t="s">
        <v>66</v>
      </c>
      <c r="G709" s="14" t="s">
        <v>175</v>
      </c>
      <c r="H709" s="14">
        <v>16690</v>
      </c>
      <c r="I709" s="14" t="s">
        <v>1052</v>
      </c>
      <c r="K709" s="21">
        <v>202028965</v>
      </c>
      <c r="L709" s="21"/>
      <c r="M709" s="14" t="s">
        <v>700</v>
      </c>
      <c r="N709" s="14" t="s">
        <v>70</v>
      </c>
      <c r="Q709" s="14" t="s">
        <v>5</v>
      </c>
      <c r="R709" s="14" t="s">
        <v>295</v>
      </c>
      <c r="T709" s="15">
        <v>209.28</v>
      </c>
      <c r="U709" s="15"/>
      <c r="V709" s="16">
        <f>+Tabla1[[#This Row],[PAGO MENSUAL]]*12</f>
        <v>2511.36</v>
      </c>
      <c r="W709" s="17" t="s">
        <v>1041</v>
      </c>
      <c r="X709" s="14" t="s">
        <v>1042</v>
      </c>
      <c r="Y709" s="14" t="s">
        <v>74</v>
      </c>
      <c r="Z709" s="14" t="s">
        <v>74</v>
      </c>
      <c r="AB709" s="19"/>
      <c r="AC709" s="20"/>
      <c r="AD709" s="19"/>
      <c r="AE709" s="98" t="s">
        <v>1089</v>
      </c>
    </row>
    <row r="710" spans="1:31" x14ac:dyDescent="0.3">
      <c r="A710" s="108">
        <v>710</v>
      </c>
      <c r="B710" s="46">
        <v>45693</v>
      </c>
      <c r="D710" s="13" t="s">
        <v>137</v>
      </c>
      <c r="E710" s="13" t="s">
        <v>51</v>
      </c>
      <c r="F710" s="13" t="s">
        <v>66</v>
      </c>
      <c r="G710" s="14" t="s">
        <v>13</v>
      </c>
      <c r="I710" s="14" t="s">
        <v>1043</v>
      </c>
      <c r="K710" s="21"/>
      <c r="L710" s="21"/>
      <c r="Q710" s="14" t="s">
        <v>307</v>
      </c>
      <c r="R710" s="14" t="s">
        <v>177</v>
      </c>
      <c r="T710" s="15">
        <v>56.75</v>
      </c>
      <c r="U710" s="15"/>
      <c r="V710" s="16">
        <f>+Tabla1[[#This Row],[PAGO MENSUAL]]*12</f>
        <v>681</v>
      </c>
      <c r="W710" s="17" t="s">
        <v>1041</v>
      </c>
      <c r="X710" s="14" t="s">
        <v>1042</v>
      </c>
      <c r="AB710" s="19"/>
      <c r="AC710" s="20"/>
      <c r="AD710" s="19"/>
      <c r="AE710" s="98"/>
    </row>
    <row r="711" spans="1:31" x14ac:dyDescent="0.3">
      <c r="A711" s="105">
        <v>711</v>
      </c>
      <c r="B711" s="46">
        <v>45693</v>
      </c>
      <c r="D711" s="13" t="s">
        <v>137</v>
      </c>
      <c r="E711" s="13" t="s">
        <v>51</v>
      </c>
      <c r="F711" s="13" t="s">
        <v>66</v>
      </c>
      <c r="G711" s="14" t="s">
        <v>13</v>
      </c>
      <c r="H711" s="14" t="s">
        <v>1045</v>
      </c>
      <c r="I711" s="14" t="s">
        <v>1043</v>
      </c>
      <c r="K711" s="21"/>
      <c r="L711" s="21"/>
      <c r="Q711" s="14" t="s">
        <v>3</v>
      </c>
      <c r="R711" s="14" t="s">
        <v>64</v>
      </c>
      <c r="T711" s="15">
        <f>215.76/12</f>
        <v>17.98</v>
      </c>
      <c r="U711" s="15"/>
      <c r="V711" s="16">
        <f>+Tabla1[[#This Row],[PAGO MENSUAL]]*12</f>
        <v>215.76</v>
      </c>
      <c r="W711" s="17" t="s">
        <v>1044</v>
      </c>
      <c r="X711" s="14" t="s">
        <v>1042</v>
      </c>
      <c r="AB711" s="19"/>
      <c r="AC711" s="20"/>
      <c r="AD711" s="19"/>
      <c r="AE711" s="98"/>
    </row>
    <row r="712" spans="1:31" x14ac:dyDescent="0.3">
      <c r="A712" s="107">
        <v>712</v>
      </c>
      <c r="B712" s="46">
        <v>45693</v>
      </c>
      <c r="D712" s="13" t="s">
        <v>137</v>
      </c>
      <c r="E712" s="13" t="s">
        <v>51</v>
      </c>
      <c r="F712" s="13" t="s">
        <v>66</v>
      </c>
      <c r="G712" s="14" t="s">
        <v>18</v>
      </c>
      <c r="H712" s="14">
        <v>4309315</v>
      </c>
      <c r="I712" s="14" t="s">
        <v>1046</v>
      </c>
      <c r="K712" s="21"/>
      <c r="L712" s="21"/>
      <c r="Q712" s="14" t="s">
        <v>6</v>
      </c>
      <c r="R712" s="14" t="s">
        <v>122</v>
      </c>
      <c r="T712" s="15">
        <v>153.81</v>
      </c>
      <c r="U712" s="15"/>
      <c r="V712" s="16">
        <f>+Tabla1[[#This Row],[PAGO MENSUAL]]*12</f>
        <v>1845.72</v>
      </c>
      <c r="W712" s="17" t="s">
        <v>1047</v>
      </c>
      <c r="X712" s="14" t="s">
        <v>1067</v>
      </c>
      <c r="Y712" s="14" t="s">
        <v>74</v>
      </c>
      <c r="Z712" s="14" t="s">
        <v>74</v>
      </c>
      <c r="AB712" s="19"/>
      <c r="AC712" s="20"/>
      <c r="AD712" s="19"/>
      <c r="AE712" s="98"/>
    </row>
    <row r="713" spans="1:31" x14ac:dyDescent="0.3">
      <c r="A713" s="108">
        <v>713</v>
      </c>
      <c r="B713" s="46">
        <v>45695</v>
      </c>
      <c r="D713" s="13" t="s">
        <v>137</v>
      </c>
      <c r="E713" s="13" t="s">
        <v>51</v>
      </c>
      <c r="F713" s="13" t="s">
        <v>66</v>
      </c>
      <c r="G713" s="14" t="s">
        <v>1023</v>
      </c>
      <c r="H713" s="91">
        <v>4309421</v>
      </c>
      <c r="I713" s="14" t="s">
        <v>1049</v>
      </c>
      <c r="J713" s="91"/>
      <c r="K713" s="92"/>
      <c r="L713" s="92"/>
      <c r="M713" s="14" t="s">
        <v>700</v>
      </c>
      <c r="N713" s="91"/>
      <c r="O713" s="91"/>
      <c r="P713" s="91"/>
      <c r="Q713" s="14" t="s">
        <v>6</v>
      </c>
      <c r="R713" s="14" t="s">
        <v>203</v>
      </c>
      <c r="S713" s="91"/>
      <c r="T713" s="93">
        <v>365.01</v>
      </c>
      <c r="U713" s="93"/>
      <c r="V713" s="16">
        <f>+Tabla1[[#This Row],[PAGO MENSUAL]]*12</f>
        <v>4380.12</v>
      </c>
      <c r="W713" s="17" t="s">
        <v>1050</v>
      </c>
      <c r="X713" s="14" t="s">
        <v>1067</v>
      </c>
      <c r="Y713" s="14" t="s">
        <v>74</v>
      </c>
      <c r="Z713" s="14" t="s">
        <v>74</v>
      </c>
      <c r="AA713" s="95"/>
      <c r="AB713" s="96"/>
      <c r="AC713" s="97"/>
      <c r="AD713" s="96"/>
      <c r="AE713" s="98"/>
    </row>
    <row r="714" spans="1:31" x14ac:dyDescent="0.3">
      <c r="A714" s="105">
        <v>714</v>
      </c>
      <c r="B714" s="46">
        <v>45698</v>
      </c>
      <c r="D714" s="13" t="s">
        <v>137</v>
      </c>
      <c r="E714" s="13" t="s">
        <v>51</v>
      </c>
      <c r="F714" s="13" t="s">
        <v>967</v>
      </c>
      <c r="G714" s="14" t="s">
        <v>1607</v>
      </c>
      <c r="H714" s="91">
        <v>16700</v>
      </c>
      <c r="I714" s="14" t="s">
        <v>1053</v>
      </c>
      <c r="J714" s="91"/>
      <c r="K714" s="92"/>
      <c r="L714" s="92"/>
      <c r="M714" s="14" t="s">
        <v>700</v>
      </c>
      <c r="N714" s="14" t="s">
        <v>70</v>
      </c>
      <c r="O714" s="91"/>
      <c r="P714" s="91"/>
      <c r="Q714" s="14" t="s">
        <v>307</v>
      </c>
      <c r="R714" s="14" t="s">
        <v>318</v>
      </c>
      <c r="S714" s="91"/>
      <c r="T714" s="93">
        <v>69.180000000000007</v>
      </c>
      <c r="U714" s="93"/>
      <c r="V714" s="16">
        <f>+Tabla1[[#This Row],[PAGO MENSUAL]]*12</f>
        <v>830.16000000000008</v>
      </c>
      <c r="W714" s="17" t="s">
        <v>1066</v>
      </c>
      <c r="X714" s="14" t="s">
        <v>1067</v>
      </c>
      <c r="Z714" s="91"/>
      <c r="AA714" s="95"/>
      <c r="AB714" s="96"/>
      <c r="AC714" s="97"/>
      <c r="AD714" s="96"/>
      <c r="AE714" s="98"/>
    </row>
    <row r="715" spans="1:31" x14ac:dyDescent="0.3">
      <c r="A715" s="107">
        <v>715</v>
      </c>
      <c r="B715" s="46">
        <v>45698</v>
      </c>
      <c r="C715" s="46">
        <v>45704</v>
      </c>
      <c r="D715" s="13" t="s">
        <v>137</v>
      </c>
      <c r="E715" s="13" t="s">
        <v>51</v>
      </c>
      <c r="F715" s="13" t="s">
        <v>52</v>
      </c>
      <c r="G715" s="14" t="s">
        <v>860</v>
      </c>
      <c r="H715" s="14" t="s">
        <v>1084</v>
      </c>
      <c r="I715" s="14" t="s">
        <v>1069</v>
      </c>
      <c r="J715" s="91"/>
      <c r="K715" s="92"/>
      <c r="L715" s="92"/>
      <c r="M715" s="91"/>
      <c r="N715" s="91"/>
      <c r="O715" s="91"/>
      <c r="P715" s="91"/>
      <c r="Q715" s="14" t="s">
        <v>3</v>
      </c>
      <c r="R715" s="14" t="s">
        <v>64</v>
      </c>
      <c r="S715" s="91"/>
      <c r="T715" s="93">
        <v>332.34</v>
      </c>
      <c r="U715" s="93"/>
      <c r="V715" s="16">
        <f>+Tabla1[[#This Row],[PAGO MENSUAL]]*12</f>
        <v>3988.08</v>
      </c>
      <c r="W715" s="17" t="s">
        <v>1070</v>
      </c>
      <c r="X715" s="14" t="s">
        <v>1042</v>
      </c>
      <c r="Y715" s="14" t="s">
        <v>74</v>
      </c>
      <c r="Z715" s="14" t="s">
        <v>74</v>
      </c>
      <c r="AA715" s="95"/>
      <c r="AB715" s="96"/>
      <c r="AC715" s="97"/>
      <c r="AD715" s="96"/>
      <c r="AE715" s="98"/>
    </row>
    <row r="716" spans="1:31" x14ac:dyDescent="0.3">
      <c r="A716" s="107">
        <v>716</v>
      </c>
      <c r="B716" s="46">
        <v>45698</v>
      </c>
      <c r="D716" s="13" t="s">
        <v>137</v>
      </c>
      <c r="E716" s="13" t="s">
        <v>51</v>
      </c>
      <c r="F716" s="13" t="s">
        <v>66</v>
      </c>
      <c r="G716" s="14" t="s">
        <v>609</v>
      </c>
      <c r="I716" s="14" t="s">
        <v>1063</v>
      </c>
      <c r="K716" s="21"/>
      <c r="L716" s="21"/>
      <c r="Q716" s="14" t="s">
        <v>6</v>
      </c>
      <c r="R716" s="14" t="s">
        <v>350</v>
      </c>
      <c r="T716" s="15">
        <v>128.43</v>
      </c>
      <c r="U716" s="15"/>
      <c r="V716" s="16">
        <f>+Tabla1[[#This Row],[PAGO MENSUAL]]*12</f>
        <v>1541.16</v>
      </c>
      <c r="W716" s="17" t="s">
        <v>1050</v>
      </c>
      <c r="X716" s="14" t="s">
        <v>1042</v>
      </c>
      <c r="Y716" s="14" t="s">
        <v>74</v>
      </c>
      <c r="Z716" s="14" t="s">
        <v>74</v>
      </c>
      <c r="AB716" s="19"/>
      <c r="AC716" s="20"/>
      <c r="AD716" s="19"/>
      <c r="AE716" s="98"/>
    </row>
    <row r="717" spans="1:31" x14ac:dyDescent="0.3">
      <c r="A717" s="107">
        <v>717</v>
      </c>
      <c r="B717" s="46">
        <v>45698</v>
      </c>
      <c r="D717" s="13" t="s">
        <v>137</v>
      </c>
      <c r="E717" s="13" t="s">
        <v>51</v>
      </c>
      <c r="F717" s="13" t="s">
        <v>66</v>
      </c>
      <c r="G717" s="14" t="s">
        <v>175</v>
      </c>
      <c r="H717" s="14" t="s">
        <v>1076</v>
      </c>
      <c r="I717" s="14" t="s">
        <v>1064</v>
      </c>
      <c r="K717" s="21"/>
      <c r="L717" s="21"/>
      <c r="Q717" s="14" t="s">
        <v>3</v>
      </c>
      <c r="R717" s="14" t="s">
        <v>64</v>
      </c>
      <c r="T717" s="15">
        <f>763.8/12</f>
        <v>63.65</v>
      </c>
      <c r="U717" s="15"/>
      <c r="V717" s="16">
        <f>+Tabla1[[#This Row],[PAGO MENSUAL]]*12</f>
        <v>763.8</v>
      </c>
      <c r="W717" s="17" t="s">
        <v>1047</v>
      </c>
      <c r="X717" s="14" t="s">
        <v>1042</v>
      </c>
      <c r="AB717" s="19"/>
      <c r="AC717" s="20"/>
      <c r="AD717" s="19"/>
      <c r="AE717" s="98"/>
    </row>
    <row r="718" spans="1:31" x14ac:dyDescent="0.3">
      <c r="A718" s="108">
        <v>718</v>
      </c>
      <c r="B718" s="46">
        <v>45698</v>
      </c>
      <c r="C718" s="46">
        <v>45702</v>
      </c>
      <c r="D718" s="13" t="s">
        <v>137</v>
      </c>
      <c r="E718" s="13" t="s">
        <v>51</v>
      </c>
      <c r="F718" s="13" t="s">
        <v>967</v>
      </c>
      <c r="G718" s="14" t="s">
        <v>396</v>
      </c>
      <c r="H718" s="14">
        <v>16692</v>
      </c>
      <c r="I718" s="14" t="s">
        <v>1068</v>
      </c>
      <c r="K718" s="21">
        <v>930989488</v>
      </c>
      <c r="L718" s="21">
        <v>968435996</v>
      </c>
      <c r="Q718" s="14" t="s">
        <v>307</v>
      </c>
      <c r="R718" s="14" t="s">
        <v>232</v>
      </c>
      <c r="T718" s="15">
        <v>58.95</v>
      </c>
      <c r="U718" s="15"/>
      <c r="V718" s="16">
        <f>+Tabla1[[#This Row],[PAGO MENSUAL]]*12</f>
        <v>707.40000000000009</v>
      </c>
      <c r="W718" s="17" t="s">
        <v>1066</v>
      </c>
      <c r="X718" s="14" t="s">
        <v>1042</v>
      </c>
      <c r="AB718" s="19"/>
      <c r="AC718" s="20"/>
      <c r="AD718" s="19"/>
      <c r="AE718" s="98"/>
    </row>
    <row r="719" spans="1:31" x14ac:dyDescent="0.3">
      <c r="A719" s="105">
        <v>719</v>
      </c>
      <c r="B719" s="46">
        <v>45698</v>
      </c>
      <c r="D719" s="13" t="s">
        <v>137</v>
      </c>
      <c r="E719" s="13" t="s">
        <v>51</v>
      </c>
      <c r="F719" s="13" t="s">
        <v>66</v>
      </c>
      <c r="G719" s="14" t="s">
        <v>1023</v>
      </c>
      <c r="H719" s="14">
        <v>48337</v>
      </c>
      <c r="I719" s="14" t="s">
        <v>1094</v>
      </c>
      <c r="K719" s="21"/>
      <c r="L719" s="21"/>
      <c r="M719" s="14" t="s">
        <v>700</v>
      </c>
      <c r="N719" s="14" t="s">
        <v>70</v>
      </c>
      <c r="Q719" s="14" t="s">
        <v>748</v>
      </c>
      <c r="R719" s="14" t="s">
        <v>512</v>
      </c>
      <c r="T719" s="15">
        <f>1560.2/12</f>
        <v>130.01666666666668</v>
      </c>
      <c r="U719" s="15"/>
      <c r="V719" s="16">
        <f>+Tabla1[[#This Row],[PAGO MENSUAL]]*12</f>
        <v>1560.2000000000003</v>
      </c>
      <c r="W719" s="17" t="s">
        <v>1066</v>
      </c>
      <c r="X719" s="14" t="s">
        <v>1042</v>
      </c>
      <c r="Y719" s="14" t="s">
        <v>74</v>
      </c>
      <c r="Z719" s="14" t="s">
        <v>74</v>
      </c>
      <c r="AB719" s="19"/>
      <c r="AC719" s="20"/>
      <c r="AD719" s="19"/>
      <c r="AE719" s="98"/>
    </row>
    <row r="720" spans="1:31" x14ac:dyDescent="0.3">
      <c r="A720" s="107">
        <v>720</v>
      </c>
      <c r="B720" s="46">
        <v>45698</v>
      </c>
      <c r="D720" s="13" t="s">
        <v>137</v>
      </c>
      <c r="E720" s="13" t="s">
        <v>51</v>
      </c>
      <c r="F720" s="13" t="s">
        <v>66</v>
      </c>
      <c r="G720" s="14" t="s">
        <v>1023</v>
      </c>
      <c r="H720" s="14">
        <v>48288</v>
      </c>
      <c r="I720" s="14" t="s">
        <v>1095</v>
      </c>
      <c r="K720" s="21"/>
      <c r="L720" s="21"/>
      <c r="M720" s="14" t="s">
        <v>700</v>
      </c>
      <c r="N720" s="14" t="s">
        <v>70</v>
      </c>
      <c r="Q720" s="14" t="s">
        <v>748</v>
      </c>
      <c r="R720" s="14" t="s">
        <v>512</v>
      </c>
      <c r="T720" s="15">
        <v>251.25</v>
      </c>
      <c r="U720" s="15"/>
      <c r="V720" s="15">
        <f>+Tabla1[[#This Row],[PAGO MENSUAL]]*12</f>
        <v>3015</v>
      </c>
      <c r="W720" s="17" t="s">
        <v>1066</v>
      </c>
      <c r="X720" s="14" t="s">
        <v>1042</v>
      </c>
      <c r="Y720" s="14" t="s">
        <v>74</v>
      </c>
      <c r="Z720" s="14" t="s">
        <v>74</v>
      </c>
      <c r="AB720" s="19"/>
      <c r="AC720" s="20"/>
      <c r="AD720" s="19"/>
      <c r="AE720" s="98"/>
    </row>
    <row r="721" spans="1:31" x14ac:dyDescent="0.3">
      <c r="A721" s="108">
        <v>721</v>
      </c>
      <c r="B721" s="46">
        <v>45698</v>
      </c>
      <c r="D721" s="13" t="s">
        <v>137</v>
      </c>
      <c r="E721" s="13" t="s">
        <v>51</v>
      </c>
      <c r="F721" s="13" t="s">
        <v>66</v>
      </c>
      <c r="G721" s="14" t="s">
        <v>1023</v>
      </c>
      <c r="I721" s="14" t="s">
        <v>1096</v>
      </c>
      <c r="K721" s="21"/>
      <c r="L721" s="21"/>
      <c r="T721" s="15"/>
      <c r="U721" s="15"/>
      <c r="V721" s="15">
        <f>+Tabla1[[#This Row],[PAGO MENSUAL]]*12</f>
        <v>0</v>
      </c>
      <c r="X721" s="14" t="s">
        <v>1067</v>
      </c>
      <c r="AB721" s="19"/>
      <c r="AC721" s="20"/>
      <c r="AD721" s="19"/>
      <c r="AE721" s="98"/>
    </row>
    <row r="722" spans="1:31" x14ac:dyDescent="0.3">
      <c r="A722" s="105">
        <v>722</v>
      </c>
      <c r="B722" s="46">
        <v>45698</v>
      </c>
      <c r="D722" s="13" t="s">
        <v>137</v>
      </c>
      <c r="E722" s="13" t="s">
        <v>51</v>
      </c>
      <c r="F722" s="13" t="s">
        <v>66</v>
      </c>
      <c r="G722" s="14" t="s">
        <v>1023</v>
      </c>
      <c r="I722" s="14" t="s">
        <v>1097</v>
      </c>
      <c r="K722" s="21"/>
      <c r="L722" s="21"/>
      <c r="T722" s="15"/>
      <c r="U722" s="15"/>
      <c r="V722" s="15">
        <f>+Tabla1[[#This Row],[PAGO MENSUAL]]*12</f>
        <v>0</v>
      </c>
      <c r="X722" s="14" t="s">
        <v>1067</v>
      </c>
      <c r="AB722" s="19"/>
      <c r="AC722" s="20"/>
      <c r="AD722" s="19"/>
      <c r="AE722" s="98"/>
    </row>
    <row r="723" spans="1:31" x14ac:dyDescent="0.3">
      <c r="A723" s="107">
        <v>723</v>
      </c>
      <c r="B723" s="46">
        <v>45698</v>
      </c>
      <c r="C723" s="46">
        <v>45717</v>
      </c>
      <c r="D723" s="13" t="s">
        <v>137</v>
      </c>
      <c r="E723" s="13" t="s">
        <v>51</v>
      </c>
      <c r="F723" s="13" t="s">
        <v>66</v>
      </c>
      <c r="G723" s="14" t="s">
        <v>20</v>
      </c>
      <c r="H723" s="14">
        <v>16729</v>
      </c>
      <c r="I723" s="14" t="s">
        <v>1441</v>
      </c>
      <c r="K723" s="21"/>
      <c r="L723" s="21"/>
      <c r="M723" s="14" t="s">
        <v>88</v>
      </c>
      <c r="N723" s="14" t="s">
        <v>70</v>
      </c>
      <c r="Q723" s="14" t="s">
        <v>307</v>
      </c>
      <c r="R723" s="14" t="s">
        <v>177</v>
      </c>
      <c r="T723" s="15">
        <v>130.15</v>
      </c>
      <c r="U723" s="15"/>
      <c r="V723" s="15">
        <f>+Tabla1[[#This Row],[PAGO MENSUAL]]*12</f>
        <v>1561.8000000000002</v>
      </c>
      <c r="W723" s="17" t="s">
        <v>1066</v>
      </c>
      <c r="X723" s="14" t="s">
        <v>1042</v>
      </c>
      <c r="Y723" s="14" t="s">
        <v>74</v>
      </c>
      <c r="Z723" s="14" t="s">
        <v>74</v>
      </c>
      <c r="AB723" s="19"/>
      <c r="AC723" s="20"/>
      <c r="AD723" s="19"/>
      <c r="AE723" s="98"/>
    </row>
    <row r="724" spans="1:31" x14ac:dyDescent="0.3">
      <c r="A724" s="107">
        <v>724</v>
      </c>
      <c r="B724" s="46">
        <v>45701</v>
      </c>
      <c r="C724" s="46">
        <v>45717</v>
      </c>
      <c r="D724" s="13" t="s">
        <v>137</v>
      </c>
      <c r="E724" s="13" t="s">
        <v>51</v>
      </c>
      <c r="F724" s="13" t="s">
        <v>66</v>
      </c>
      <c r="G724" s="14" t="s">
        <v>790</v>
      </c>
      <c r="H724" s="14">
        <v>16699</v>
      </c>
      <c r="I724" s="14" t="s">
        <v>1071</v>
      </c>
      <c r="K724" s="21"/>
      <c r="L724" s="21"/>
      <c r="Q724" s="14" t="s">
        <v>307</v>
      </c>
      <c r="R724" s="14" t="s">
        <v>169</v>
      </c>
      <c r="T724" s="15">
        <v>51.23</v>
      </c>
      <c r="U724" s="15"/>
      <c r="V724" s="16">
        <f>+Tabla1[[#This Row],[PAGO MENSUAL]]*12</f>
        <v>614.76</v>
      </c>
      <c r="W724" s="17" t="s">
        <v>1066</v>
      </c>
      <c r="X724" s="14" t="s">
        <v>1067</v>
      </c>
      <c r="AB724" s="19"/>
      <c r="AC724" s="20"/>
      <c r="AD724" s="19"/>
      <c r="AE724" s="98"/>
    </row>
    <row r="725" spans="1:31" x14ac:dyDescent="0.3">
      <c r="A725" s="108">
        <v>725</v>
      </c>
      <c r="B725" s="46">
        <v>45701</v>
      </c>
      <c r="D725" s="13" t="s">
        <v>137</v>
      </c>
      <c r="E725" s="13" t="s">
        <v>51</v>
      </c>
      <c r="F725" s="13" t="s">
        <v>66</v>
      </c>
      <c r="G725" s="14" t="s">
        <v>158</v>
      </c>
      <c r="H725" s="14">
        <v>4309806</v>
      </c>
      <c r="I725" s="14" t="s">
        <v>1072</v>
      </c>
      <c r="K725" s="21"/>
      <c r="L725" s="21"/>
      <c r="Q725" s="14" t="s">
        <v>6</v>
      </c>
      <c r="R725" s="14" t="s">
        <v>277</v>
      </c>
      <c r="T725" s="15">
        <v>64.17</v>
      </c>
      <c r="U725" s="15"/>
      <c r="V725" s="16">
        <f>+Tabla1[[#This Row],[PAGO MENSUAL]]*12</f>
        <v>770.04</v>
      </c>
      <c r="W725" s="17" t="s">
        <v>1037</v>
      </c>
      <c r="X725" s="14" t="s">
        <v>1042</v>
      </c>
      <c r="Y725" s="14" t="s">
        <v>74</v>
      </c>
      <c r="Z725" s="14" t="s">
        <v>74</v>
      </c>
      <c r="AB725" s="19"/>
      <c r="AC725" s="20"/>
      <c r="AD725" s="19"/>
      <c r="AE725" s="98"/>
    </row>
    <row r="726" spans="1:31" x14ac:dyDescent="0.3">
      <c r="A726" s="105">
        <v>726</v>
      </c>
      <c r="B726" s="46">
        <v>45701</v>
      </c>
      <c r="D726" s="13" t="s">
        <v>137</v>
      </c>
      <c r="E726" s="13" t="s">
        <v>51</v>
      </c>
      <c r="F726" s="13" t="s">
        <v>52</v>
      </c>
      <c r="G726" s="14" t="s">
        <v>860</v>
      </c>
      <c r="H726" s="14">
        <v>4309760</v>
      </c>
      <c r="I726" s="14" t="s">
        <v>1079</v>
      </c>
      <c r="K726" s="21">
        <v>920469681</v>
      </c>
      <c r="L726" s="21">
        <v>980415136</v>
      </c>
      <c r="M726" s="14" t="s">
        <v>700</v>
      </c>
      <c r="N726" s="14" t="s">
        <v>70</v>
      </c>
      <c r="Q726" s="14" t="s">
        <v>6</v>
      </c>
      <c r="R726" s="14" t="s">
        <v>1081</v>
      </c>
      <c r="T726" s="15">
        <v>66.19</v>
      </c>
      <c r="U726" s="15"/>
      <c r="V726" s="16">
        <f>+Tabla1[[#This Row],[PAGO MENSUAL]]*12</f>
        <v>794.28</v>
      </c>
      <c r="W726" s="17" t="s">
        <v>1050</v>
      </c>
      <c r="X726" s="14" t="s">
        <v>1042</v>
      </c>
      <c r="Y726" s="14" t="s">
        <v>74</v>
      </c>
      <c r="Z726" s="14" t="s">
        <v>74</v>
      </c>
      <c r="AB726" s="19"/>
      <c r="AC726" s="20"/>
      <c r="AD726" s="19"/>
      <c r="AE726" s="18" t="s">
        <v>1080</v>
      </c>
    </row>
    <row r="727" spans="1:31" x14ac:dyDescent="0.3">
      <c r="A727" s="107">
        <v>727</v>
      </c>
      <c r="B727" s="46">
        <v>45701</v>
      </c>
      <c r="C727" s="46">
        <v>45717</v>
      </c>
      <c r="D727" s="13" t="s">
        <v>137</v>
      </c>
      <c r="E727" s="13" t="s">
        <v>51</v>
      </c>
      <c r="F727" s="13" t="s">
        <v>52</v>
      </c>
      <c r="G727" s="14" t="s">
        <v>483</v>
      </c>
      <c r="H727" s="14" t="s">
        <v>1401</v>
      </c>
      <c r="I727" s="14" t="s">
        <v>1402</v>
      </c>
      <c r="K727" s="21"/>
      <c r="L727" s="21"/>
      <c r="M727" s="14" t="s">
        <v>700</v>
      </c>
      <c r="N727" s="14" t="s">
        <v>70</v>
      </c>
      <c r="Q727" s="14" t="s">
        <v>3</v>
      </c>
      <c r="R727" s="14" t="s">
        <v>64</v>
      </c>
      <c r="T727" s="15">
        <v>307.5</v>
      </c>
      <c r="U727" s="15"/>
      <c r="V727" s="15">
        <f>+Tabla1[[#This Row],[PAGO MENSUAL]]*12</f>
        <v>3690</v>
      </c>
      <c r="W727" s="17" t="s">
        <v>1066</v>
      </c>
      <c r="X727" s="14" t="s">
        <v>1042</v>
      </c>
      <c r="Y727" s="14" t="s">
        <v>74</v>
      </c>
      <c r="Z727" s="14" t="s">
        <v>74</v>
      </c>
      <c r="AB727" s="19"/>
      <c r="AC727" s="20"/>
      <c r="AD727" s="19"/>
      <c r="AE727" s="98"/>
    </row>
    <row r="728" spans="1:31" x14ac:dyDescent="0.3">
      <c r="A728" s="108">
        <v>728</v>
      </c>
      <c r="B728" s="46">
        <v>45702</v>
      </c>
      <c r="D728" s="13" t="s">
        <v>137</v>
      </c>
      <c r="E728" s="13" t="s">
        <v>51</v>
      </c>
      <c r="F728" s="13" t="s">
        <v>52</v>
      </c>
      <c r="G728" s="14" t="s">
        <v>609</v>
      </c>
      <c r="H728" s="14">
        <v>4309907</v>
      </c>
      <c r="I728" s="14" t="s">
        <v>1073</v>
      </c>
      <c r="K728" s="21"/>
      <c r="L728" s="21"/>
      <c r="Q728" s="14" t="s">
        <v>6</v>
      </c>
      <c r="R728" s="14" t="s">
        <v>277</v>
      </c>
      <c r="T728" s="15">
        <v>155.6</v>
      </c>
      <c r="U728" s="15"/>
      <c r="V728" s="16">
        <f>+Tabla1[[#This Row],[PAGO MENSUAL]]*12</f>
        <v>1867.1999999999998</v>
      </c>
      <c r="W728" s="17" t="s">
        <v>1050</v>
      </c>
      <c r="X728" s="14" t="s">
        <v>1042</v>
      </c>
      <c r="AB728" s="19"/>
      <c r="AC728" s="20"/>
      <c r="AD728" s="19"/>
      <c r="AE728" s="98"/>
    </row>
    <row r="729" spans="1:31" x14ac:dyDescent="0.3">
      <c r="A729" s="105">
        <v>729</v>
      </c>
      <c r="B729" s="46">
        <v>45702</v>
      </c>
      <c r="D729" s="13" t="s">
        <v>137</v>
      </c>
      <c r="E729" s="13" t="s">
        <v>51</v>
      </c>
      <c r="F729" s="13" t="s">
        <v>967</v>
      </c>
      <c r="G729" s="14" t="s">
        <v>396</v>
      </c>
      <c r="H729" s="14">
        <v>4309832</v>
      </c>
      <c r="I729" s="14" t="s">
        <v>1074</v>
      </c>
      <c r="K729" s="21"/>
      <c r="L729" s="21"/>
      <c r="Q729" s="14" t="s">
        <v>6</v>
      </c>
      <c r="R729" s="14" t="s">
        <v>1026</v>
      </c>
      <c r="T729" s="15">
        <v>55.95</v>
      </c>
      <c r="U729" s="15"/>
      <c r="V729" s="16">
        <f>+Tabla1[[#This Row],[PAGO MENSUAL]]*12</f>
        <v>671.40000000000009</v>
      </c>
      <c r="W729" s="17" t="s">
        <v>1050</v>
      </c>
      <c r="X729" s="14" t="s">
        <v>1042</v>
      </c>
      <c r="AB729" s="19"/>
      <c r="AC729" s="20"/>
      <c r="AD729" s="19"/>
      <c r="AE729" s="98"/>
    </row>
    <row r="730" spans="1:31" x14ac:dyDescent="0.3">
      <c r="A730" s="107">
        <v>730</v>
      </c>
      <c r="B730" s="46">
        <v>45702</v>
      </c>
      <c r="D730" s="13" t="s">
        <v>137</v>
      </c>
      <c r="E730" s="13" t="s">
        <v>51</v>
      </c>
      <c r="F730" s="13" t="s">
        <v>1006</v>
      </c>
      <c r="G730" s="14" t="s">
        <v>11</v>
      </c>
      <c r="H730" s="103">
        <v>48476</v>
      </c>
      <c r="I730" s="14" t="s">
        <v>1102</v>
      </c>
      <c r="K730" s="21"/>
      <c r="L730" s="21"/>
      <c r="M730" s="14" t="s">
        <v>700</v>
      </c>
      <c r="N730" s="14" t="s">
        <v>70</v>
      </c>
      <c r="Q730" s="14" t="s">
        <v>748</v>
      </c>
      <c r="R730" s="14" t="s">
        <v>512</v>
      </c>
      <c r="T730" s="15">
        <f>2234.36/12</f>
        <v>186.19666666666669</v>
      </c>
      <c r="U730" s="15"/>
      <c r="V730" s="15">
        <f>+Tabla1[[#This Row],[PAGO MENSUAL]]*12</f>
        <v>2234.36</v>
      </c>
      <c r="W730" s="17" t="s">
        <v>1066</v>
      </c>
      <c r="X730" s="14" t="s">
        <v>1042</v>
      </c>
      <c r="Y730" s="14" t="s">
        <v>74</v>
      </c>
      <c r="AA730" s="99"/>
      <c r="AB730" s="19"/>
      <c r="AC730" s="20"/>
      <c r="AD730" s="19"/>
      <c r="AE730" s="98"/>
    </row>
    <row r="731" spans="1:31" x14ac:dyDescent="0.3">
      <c r="A731" s="107">
        <v>731</v>
      </c>
      <c r="B731" s="46">
        <v>45705</v>
      </c>
      <c r="D731" s="13" t="s">
        <v>137</v>
      </c>
      <c r="E731" s="13" t="s">
        <v>51</v>
      </c>
      <c r="F731" s="13" t="s">
        <v>967</v>
      </c>
      <c r="G731" s="14" t="s">
        <v>396</v>
      </c>
      <c r="H731" s="14">
        <v>4309940</v>
      </c>
      <c r="I731" s="14" t="s">
        <v>1077</v>
      </c>
      <c r="K731" s="21">
        <v>930615604</v>
      </c>
      <c r="L731" s="21">
        <v>999977371</v>
      </c>
      <c r="M731" s="14" t="s">
        <v>700</v>
      </c>
      <c r="N731" s="14" t="s">
        <v>70</v>
      </c>
      <c r="Q731" s="14" t="s">
        <v>6</v>
      </c>
      <c r="R731" s="14" t="s">
        <v>1026</v>
      </c>
      <c r="T731" s="15">
        <v>109.4</v>
      </c>
      <c r="U731" s="15"/>
      <c r="V731" s="16">
        <f>+Tabla1[[#This Row],[PAGO MENSUAL]]*12</f>
        <v>1312.8000000000002</v>
      </c>
      <c r="W731" s="17" t="s">
        <v>1050</v>
      </c>
      <c r="X731" s="14" t="s">
        <v>1042</v>
      </c>
      <c r="AB731" s="19"/>
      <c r="AC731" s="20"/>
      <c r="AD731" s="19"/>
      <c r="AE731" s="98"/>
    </row>
    <row r="732" spans="1:31" x14ac:dyDescent="0.3">
      <c r="A732" s="108">
        <v>732</v>
      </c>
      <c r="B732" s="46">
        <v>45706</v>
      </c>
      <c r="D732" s="13" t="s">
        <v>137</v>
      </c>
      <c r="E732" s="13" t="s">
        <v>51</v>
      </c>
      <c r="F732" s="13" t="s">
        <v>52</v>
      </c>
      <c r="G732" s="14" t="s">
        <v>860</v>
      </c>
      <c r="H732" s="14">
        <v>4310004</v>
      </c>
      <c r="I732" s="14" t="s">
        <v>1082</v>
      </c>
      <c r="K732" s="21">
        <v>914190368</v>
      </c>
      <c r="L732" s="21">
        <v>999137041</v>
      </c>
      <c r="M732" s="14" t="s">
        <v>700</v>
      </c>
      <c r="N732" s="14" t="s">
        <v>70</v>
      </c>
      <c r="Q732" s="14" t="s">
        <v>6</v>
      </c>
      <c r="R732" s="14" t="s">
        <v>924</v>
      </c>
      <c r="T732" s="15">
        <v>272.01</v>
      </c>
      <c r="U732" s="15"/>
      <c r="V732" s="16">
        <f>+Tabla1[[#This Row],[PAGO MENSUAL]]*12</f>
        <v>3264.12</v>
      </c>
      <c r="W732" s="17" t="s">
        <v>1050</v>
      </c>
      <c r="X732" s="14" t="s">
        <v>1042</v>
      </c>
      <c r="Y732" s="14" t="s">
        <v>74</v>
      </c>
      <c r="Z732" s="14" t="s">
        <v>74</v>
      </c>
      <c r="AB732" s="19"/>
      <c r="AC732" s="20"/>
      <c r="AD732" s="19"/>
      <c r="AE732" s="98" t="s">
        <v>1083</v>
      </c>
    </row>
    <row r="733" spans="1:31" x14ac:dyDescent="0.3">
      <c r="A733" s="105">
        <v>733</v>
      </c>
      <c r="B733" s="46">
        <v>45706</v>
      </c>
      <c r="D733" s="13" t="s">
        <v>137</v>
      </c>
      <c r="E733" s="13" t="s">
        <v>51</v>
      </c>
      <c r="F733" s="13" t="s">
        <v>66</v>
      </c>
      <c r="G733" s="14" t="s">
        <v>19</v>
      </c>
      <c r="H733" s="14">
        <v>4310061</v>
      </c>
      <c r="I733" s="14" t="s">
        <v>1085</v>
      </c>
      <c r="K733" s="21">
        <v>1312278268</v>
      </c>
      <c r="L733" s="21">
        <v>990940328</v>
      </c>
      <c r="M733" s="14" t="s">
        <v>700</v>
      </c>
      <c r="N733" s="14" t="s">
        <v>70</v>
      </c>
      <c r="Q733" s="14" t="s">
        <v>6</v>
      </c>
      <c r="R733" s="14" t="s">
        <v>1086</v>
      </c>
      <c r="T733" s="15">
        <v>65.72</v>
      </c>
      <c r="U733" s="15"/>
      <c r="V733" s="16">
        <f>+Tabla1[[#This Row],[PAGO MENSUAL]]*12</f>
        <v>788.64</v>
      </c>
      <c r="W733" s="17" t="s">
        <v>1062</v>
      </c>
      <c r="X733" s="14" t="s">
        <v>1042</v>
      </c>
      <c r="Y733" s="14" t="s">
        <v>74</v>
      </c>
      <c r="Z733" s="14" t="s">
        <v>74</v>
      </c>
      <c r="AB733" s="19"/>
      <c r="AC733" s="20"/>
      <c r="AD733" s="19"/>
      <c r="AE733" s="98" t="s">
        <v>1087</v>
      </c>
    </row>
    <row r="734" spans="1:31" x14ac:dyDescent="0.3">
      <c r="A734" s="107">
        <v>734</v>
      </c>
      <c r="B734" s="46">
        <v>45706</v>
      </c>
      <c r="D734" s="13" t="s">
        <v>137</v>
      </c>
      <c r="E734" s="13" t="s">
        <v>51</v>
      </c>
      <c r="F734" s="13" t="s">
        <v>66</v>
      </c>
      <c r="G734" s="14" t="s">
        <v>19</v>
      </c>
      <c r="I734" s="14" t="s">
        <v>1085</v>
      </c>
      <c r="K734" s="21">
        <v>1312278268</v>
      </c>
      <c r="L734" s="21">
        <v>990940328</v>
      </c>
      <c r="M734" s="14" t="s">
        <v>700</v>
      </c>
      <c r="N734" s="14" t="s">
        <v>70</v>
      </c>
      <c r="Q734" s="14" t="s">
        <v>702</v>
      </c>
      <c r="R734" s="14" t="s">
        <v>1088</v>
      </c>
      <c r="T734" s="15">
        <v>25</v>
      </c>
      <c r="U734" s="15"/>
      <c r="V734" s="16">
        <f>+Tabla1[[#This Row],[PAGO MENSUAL]]*12</f>
        <v>300</v>
      </c>
      <c r="W734" s="17" t="s">
        <v>1062</v>
      </c>
      <c r="X734" s="14" t="s">
        <v>1042</v>
      </c>
      <c r="Y734" s="14" t="s">
        <v>74</v>
      </c>
      <c r="Z734" s="14" t="s">
        <v>74</v>
      </c>
      <c r="AB734" s="19"/>
      <c r="AC734" s="20"/>
      <c r="AD734" s="19"/>
      <c r="AE734" s="98" t="s">
        <v>1087</v>
      </c>
    </row>
    <row r="735" spans="1:31" x14ac:dyDescent="0.3">
      <c r="A735" s="108">
        <v>735</v>
      </c>
      <c r="B735" s="46">
        <v>45707</v>
      </c>
      <c r="D735" s="13" t="s">
        <v>137</v>
      </c>
      <c r="E735" s="13" t="s">
        <v>51</v>
      </c>
      <c r="F735" s="13" t="s">
        <v>967</v>
      </c>
      <c r="G735" s="14" t="s">
        <v>396</v>
      </c>
      <c r="H735" s="14">
        <v>4309951</v>
      </c>
      <c r="I735" s="14" t="s">
        <v>1090</v>
      </c>
      <c r="K735" s="21" t="s">
        <v>1091</v>
      </c>
      <c r="L735" s="21">
        <v>924019912</v>
      </c>
      <c r="M735" s="14" t="s">
        <v>700</v>
      </c>
      <c r="N735" s="14" t="s">
        <v>108</v>
      </c>
      <c r="Q735" s="14" t="s">
        <v>395</v>
      </c>
      <c r="R735" s="14" t="s">
        <v>1058</v>
      </c>
      <c r="T735" s="15">
        <v>516.25</v>
      </c>
      <c r="U735" s="15"/>
      <c r="V735" s="16">
        <f>+Tabla1[[#This Row],[PAGO MENSUAL]]*12</f>
        <v>6195</v>
      </c>
      <c r="W735" s="17" t="s">
        <v>1050</v>
      </c>
      <c r="X735" s="14" t="s">
        <v>1042</v>
      </c>
      <c r="Y735" s="14" t="s">
        <v>74</v>
      </c>
      <c r="Z735" s="14" t="s">
        <v>74</v>
      </c>
      <c r="AB735" s="19"/>
      <c r="AC735" s="20"/>
      <c r="AD735" s="19"/>
      <c r="AE735" s="98" t="s">
        <v>1092</v>
      </c>
    </row>
    <row r="736" spans="1:31" x14ac:dyDescent="0.3">
      <c r="A736" s="105">
        <v>736</v>
      </c>
      <c r="B736" s="46">
        <v>45708</v>
      </c>
      <c r="D736" s="13" t="s">
        <v>137</v>
      </c>
      <c r="E736" s="13" t="s">
        <v>51</v>
      </c>
      <c r="F736" s="13" t="s">
        <v>993</v>
      </c>
      <c r="G736" s="14" t="s">
        <v>459</v>
      </c>
      <c r="H736" s="14">
        <v>4310314</v>
      </c>
      <c r="I736" s="14" t="s">
        <v>1098</v>
      </c>
      <c r="K736" s="21"/>
      <c r="L736" s="21"/>
      <c r="M736" s="14" t="s">
        <v>700</v>
      </c>
      <c r="N736" s="14" t="s">
        <v>70</v>
      </c>
      <c r="Q736" s="14" t="s">
        <v>6</v>
      </c>
      <c r="R736" s="14" t="s">
        <v>1100</v>
      </c>
      <c r="T736" s="15">
        <v>53.68</v>
      </c>
      <c r="U736" s="15"/>
      <c r="V736" s="15">
        <f>+Tabla1[[#This Row],[PAGO MENSUAL]]*12</f>
        <v>644.16</v>
      </c>
      <c r="W736" s="17" t="s">
        <v>1050</v>
      </c>
      <c r="X736" s="14" t="s">
        <v>1042</v>
      </c>
      <c r="Y736" s="14" t="s">
        <v>74</v>
      </c>
      <c r="Z736" s="14" t="s">
        <v>74</v>
      </c>
      <c r="AB736" s="19"/>
      <c r="AC736" s="20"/>
      <c r="AD736" s="19"/>
      <c r="AE736" s="98" t="s">
        <v>1101</v>
      </c>
    </row>
    <row r="737" spans="1:31" x14ac:dyDescent="0.3">
      <c r="A737" s="107">
        <v>737</v>
      </c>
      <c r="B737" s="46">
        <v>45708</v>
      </c>
      <c r="D737" s="13" t="s">
        <v>137</v>
      </c>
      <c r="E737" s="13" t="s">
        <v>51</v>
      </c>
      <c r="F737" s="13" t="s">
        <v>993</v>
      </c>
      <c r="G737" s="14" t="s">
        <v>459</v>
      </c>
      <c r="H737" s="14">
        <v>4310312</v>
      </c>
      <c r="I737" s="14" t="s">
        <v>1099</v>
      </c>
      <c r="K737" s="21"/>
      <c r="L737" s="21"/>
      <c r="M737" s="14" t="s">
        <v>700</v>
      </c>
      <c r="N737" s="14" t="s">
        <v>70</v>
      </c>
      <c r="Q737" s="14" t="s">
        <v>6</v>
      </c>
      <c r="R737" s="14" t="s">
        <v>1100</v>
      </c>
      <c r="T737" s="15">
        <v>61.95</v>
      </c>
      <c r="U737" s="15"/>
      <c r="V737" s="15">
        <f>+Tabla1[[#This Row],[PAGO MENSUAL]]*12</f>
        <v>743.40000000000009</v>
      </c>
      <c r="W737" s="17" t="s">
        <v>1050</v>
      </c>
      <c r="X737" s="14" t="s">
        <v>1042</v>
      </c>
      <c r="Y737" s="14" t="s">
        <v>74</v>
      </c>
      <c r="Z737" s="14" t="s">
        <v>74</v>
      </c>
      <c r="AB737" s="19"/>
      <c r="AC737" s="20"/>
      <c r="AD737" s="19"/>
      <c r="AE737" s="98" t="s">
        <v>1101</v>
      </c>
    </row>
    <row r="738" spans="1:31" x14ac:dyDescent="0.3">
      <c r="A738" s="107">
        <v>738</v>
      </c>
      <c r="B738" s="46">
        <v>45708</v>
      </c>
      <c r="D738" s="13" t="s">
        <v>137</v>
      </c>
      <c r="E738" s="13" t="s">
        <v>51</v>
      </c>
      <c r="F738" s="13" t="s">
        <v>66</v>
      </c>
      <c r="G738" s="14" t="s">
        <v>218</v>
      </c>
      <c r="H738" s="14">
        <v>36267</v>
      </c>
      <c r="I738" s="14" t="s">
        <v>1227</v>
      </c>
      <c r="K738" s="21"/>
      <c r="L738" s="21"/>
      <c r="M738" s="14" t="s">
        <v>88</v>
      </c>
      <c r="N738" s="14" t="s">
        <v>70</v>
      </c>
      <c r="Q738" s="14" t="s">
        <v>477</v>
      </c>
      <c r="R738" s="14" t="s">
        <v>143</v>
      </c>
      <c r="T738" s="15">
        <v>153.09</v>
      </c>
      <c r="U738" s="15"/>
      <c r="V738" s="15">
        <f>+Tabla1[[#This Row],[PAGO MENSUAL]]*12</f>
        <v>1837.08</v>
      </c>
      <c r="W738" s="17" t="s">
        <v>1037</v>
      </c>
      <c r="X738" s="14" t="s">
        <v>1067</v>
      </c>
      <c r="AB738" s="19"/>
      <c r="AC738" s="20"/>
      <c r="AD738" s="19"/>
      <c r="AE738" s="98"/>
    </row>
    <row r="739" spans="1:31" x14ac:dyDescent="0.3">
      <c r="A739" s="107">
        <v>739</v>
      </c>
      <c r="B739" s="46">
        <v>45708</v>
      </c>
      <c r="D739" s="13" t="s">
        <v>137</v>
      </c>
      <c r="E739" s="13" t="s">
        <v>51</v>
      </c>
      <c r="F739" s="13" t="s">
        <v>66</v>
      </c>
      <c r="G739" s="14" t="s">
        <v>218</v>
      </c>
      <c r="H739" s="14">
        <v>36268</v>
      </c>
      <c r="I739" s="14" t="s">
        <v>1418</v>
      </c>
      <c r="K739" s="21"/>
      <c r="L739" s="21"/>
      <c r="M739" s="14" t="s">
        <v>88</v>
      </c>
      <c r="N739" s="14" t="s">
        <v>70</v>
      </c>
      <c r="Q739" s="14" t="s">
        <v>477</v>
      </c>
      <c r="R739" s="14" t="s">
        <v>200</v>
      </c>
      <c r="T739" s="15">
        <v>150.59</v>
      </c>
      <c r="U739" s="15"/>
      <c r="V739" s="15">
        <f>+Tabla1[[#This Row],[PAGO MENSUAL]]*12</f>
        <v>1807.08</v>
      </c>
      <c r="W739" s="17" t="s">
        <v>1037</v>
      </c>
      <c r="X739" s="14" t="s">
        <v>1067</v>
      </c>
      <c r="AB739" s="19"/>
      <c r="AC739" s="20"/>
      <c r="AD739" s="19"/>
      <c r="AE739" s="98"/>
    </row>
    <row r="740" spans="1:31" x14ac:dyDescent="0.3">
      <c r="A740" s="108">
        <v>740</v>
      </c>
      <c r="B740" s="46">
        <v>45709</v>
      </c>
      <c r="D740" s="13" t="s">
        <v>137</v>
      </c>
      <c r="E740" s="13" t="s">
        <v>51</v>
      </c>
      <c r="F740" s="13" t="s">
        <v>66</v>
      </c>
      <c r="G740" s="14" t="s">
        <v>330</v>
      </c>
      <c r="H740" s="14">
        <v>7582162</v>
      </c>
      <c r="I740" s="14" t="s">
        <v>1444</v>
      </c>
      <c r="K740" s="21"/>
      <c r="L740" s="21"/>
      <c r="Q740" s="14" t="s">
        <v>132</v>
      </c>
      <c r="T740" s="15">
        <v>168</v>
      </c>
      <c r="U740" s="15"/>
      <c r="V740" s="15">
        <v>168</v>
      </c>
      <c r="W740" s="17" t="s">
        <v>1037</v>
      </c>
      <c r="X740" s="14" t="s">
        <v>1067</v>
      </c>
      <c r="AB740" s="19"/>
      <c r="AC740" s="20"/>
      <c r="AD740" s="19"/>
      <c r="AE740" s="98"/>
    </row>
    <row r="741" spans="1:31" x14ac:dyDescent="0.3">
      <c r="A741" s="105">
        <v>741</v>
      </c>
      <c r="B741" s="46">
        <v>45712</v>
      </c>
      <c r="D741" s="13" t="s">
        <v>137</v>
      </c>
      <c r="E741" s="13" t="s">
        <v>51</v>
      </c>
      <c r="F741" s="13" t="s">
        <v>52</v>
      </c>
      <c r="G741" s="14" t="s">
        <v>860</v>
      </c>
      <c r="H741" s="103">
        <v>4310478</v>
      </c>
      <c r="I741" s="14" t="s">
        <v>1123</v>
      </c>
      <c r="K741" s="21"/>
      <c r="L741" s="21"/>
      <c r="M741" s="14" t="s">
        <v>700</v>
      </c>
      <c r="N741" s="14" t="s">
        <v>70</v>
      </c>
      <c r="Q741" s="14" t="s">
        <v>6</v>
      </c>
      <c r="R741" s="14" t="s">
        <v>631</v>
      </c>
      <c r="T741" s="15">
        <v>61.34</v>
      </c>
      <c r="U741" s="15"/>
      <c r="V741" s="15">
        <f>+Tabla1[[#This Row],[PAGO MENSUAL]]*12</f>
        <v>736.08</v>
      </c>
      <c r="W741" s="17" t="s">
        <v>1412</v>
      </c>
      <c r="X741" s="14" t="s">
        <v>1042</v>
      </c>
      <c r="Y741" s="14" t="s">
        <v>74</v>
      </c>
      <c r="Z741" s="14" t="s">
        <v>74</v>
      </c>
      <c r="AB741" s="19"/>
      <c r="AC741" s="20"/>
      <c r="AD741" s="19"/>
      <c r="AE741" s="98" t="s">
        <v>1124</v>
      </c>
    </row>
    <row r="742" spans="1:31" x14ac:dyDescent="0.3">
      <c r="A742" s="107">
        <v>742</v>
      </c>
      <c r="B742" s="46">
        <v>45712</v>
      </c>
      <c r="D742" s="13" t="s">
        <v>137</v>
      </c>
      <c r="E742" s="13" t="s">
        <v>51</v>
      </c>
      <c r="G742" s="14" t="s">
        <v>16</v>
      </c>
      <c r="H742" s="103"/>
      <c r="I742" s="14" t="s">
        <v>1404</v>
      </c>
      <c r="K742" s="21"/>
      <c r="L742" s="21"/>
      <c r="Q742" s="14" t="s">
        <v>477</v>
      </c>
      <c r="T742" s="15"/>
      <c r="U742" s="15"/>
      <c r="V742" s="15">
        <f>+Tabla1[[#This Row],[PAGO MENSUAL]]*12</f>
        <v>0</v>
      </c>
      <c r="X742" s="14" t="s">
        <v>1067</v>
      </c>
      <c r="AB742" s="19"/>
      <c r="AC742" s="20"/>
      <c r="AD742" s="19"/>
      <c r="AE742" s="98"/>
    </row>
    <row r="743" spans="1:31" x14ac:dyDescent="0.3">
      <c r="A743" s="108">
        <v>743</v>
      </c>
      <c r="B743" s="46">
        <v>45712</v>
      </c>
      <c r="D743" s="13" t="s">
        <v>137</v>
      </c>
      <c r="E743" s="13" t="s">
        <v>51</v>
      </c>
      <c r="F743" s="13" t="s">
        <v>52</v>
      </c>
      <c r="G743" s="14" t="s">
        <v>609</v>
      </c>
      <c r="H743" s="103">
        <v>4310443</v>
      </c>
      <c r="I743" s="14" t="s">
        <v>1117</v>
      </c>
      <c r="K743" s="21">
        <v>922464680</v>
      </c>
      <c r="L743" s="21">
        <v>969728303</v>
      </c>
      <c r="M743" s="14" t="s">
        <v>700</v>
      </c>
      <c r="N743" s="14" t="s">
        <v>70</v>
      </c>
      <c r="Q743" s="14" t="s">
        <v>6</v>
      </c>
      <c r="R743" s="14" t="s">
        <v>203</v>
      </c>
      <c r="T743" s="15">
        <v>170.59</v>
      </c>
      <c r="U743" s="15"/>
      <c r="V743" s="15">
        <f>+Tabla1[[#This Row],[PAGO MENSUAL]]*12</f>
        <v>2047.08</v>
      </c>
      <c r="W743" s="17" t="s">
        <v>1050</v>
      </c>
      <c r="X743" s="14" t="s">
        <v>1042</v>
      </c>
      <c r="Y743" s="14" t="s">
        <v>74</v>
      </c>
      <c r="Z743" s="14" t="s">
        <v>74</v>
      </c>
      <c r="AB743" s="19"/>
      <c r="AC743" s="20"/>
      <c r="AD743" s="19"/>
      <c r="AE743" s="98" t="s">
        <v>1118</v>
      </c>
    </row>
    <row r="744" spans="1:31" x14ac:dyDescent="0.3">
      <c r="A744" s="105">
        <v>744</v>
      </c>
      <c r="B744" s="46">
        <v>45712</v>
      </c>
      <c r="D744" s="13" t="s">
        <v>137</v>
      </c>
      <c r="E744" s="13" t="s">
        <v>51</v>
      </c>
      <c r="F744" s="13" t="s">
        <v>66</v>
      </c>
      <c r="G744" s="14" t="s">
        <v>19</v>
      </c>
      <c r="H744" s="103">
        <v>77232</v>
      </c>
      <c r="I744" s="14" t="s">
        <v>1103</v>
      </c>
      <c r="K744" s="21"/>
      <c r="L744" s="21">
        <v>962000758</v>
      </c>
      <c r="M744" s="14" t="s">
        <v>88</v>
      </c>
      <c r="N744" s="14" t="s">
        <v>70</v>
      </c>
      <c r="Q744" s="14" t="s">
        <v>702</v>
      </c>
      <c r="R744" s="14" t="s">
        <v>1088</v>
      </c>
      <c r="T744" s="15">
        <v>25</v>
      </c>
      <c r="U744" s="15"/>
      <c r="V744" s="15">
        <f>+Tabla1[[#This Row],[PAGO MENSUAL]]*12</f>
        <v>300</v>
      </c>
      <c r="W744" s="17" t="s">
        <v>1121</v>
      </c>
      <c r="X744" s="14" t="s">
        <v>1042</v>
      </c>
      <c r="Y744" s="14" t="s">
        <v>74</v>
      </c>
      <c r="AB744" s="19"/>
      <c r="AC744" s="20"/>
      <c r="AD744" s="19"/>
      <c r="AE744" s="98" t="s">
        <v>1104</v>
      </c>
    </row>
    <row r="745" spans="1:31" x14ac:dyDescent="0.3">
      <c r="A745" s="107">
        <v>745</v>
      </c>
      <c r="B745" s="46">
        <v>45712</v>
      </c>
      <c r="D745" s="13" t="s">
        <v>137</v>
      </c>
      <c r="E745" s="13" t="s">
        <v>51</v>
      </c>
      <c r="F745" s="13" t="s">
        <v>52</v>
      </c>
      <c r="G745" s="14" t="s">
        <v>466</v>
      </c>
      <c r="H745" s="103">
        <v>4310596</v>
      </c>
      <c r="I745" s="14" t="s">
        <v>1119</v>
      </c>
      <c r="K745" s="21">
        <v>926392077</v>
      </c>
      <c r="L745" s="21"/>
      <c r="M745" s="14" t="s">
        <v>700</v>
      </c>
      <c r="N745" s="14" t="s">
        <v>70</v>
      </c>
      <c r="Q745" s="14" t="s">
        <v>6</v>
      </c>
      <c r="R745" s="14" t="s">
        <v>1120</v>
      </c>
      <c r="T745" s="15">
        <v>88.17</v>
      </c>
      <c r="U745" s="15"/>
      <c r="V745" s="15">
        <f>+Tabla1[[#This Row],[PAGO MENSUAL]]*12</f>
        <v>1058.04</v>
      </c>
      <c r="W745" s="17" t="s">
        <v>1121</v>
      </c>
      <c r="X745" s="14" t="s">
        <v>1042</v>
      </c>
      <c r="Y745" s="14" t="s">
        <v>74</v>
      </c>
      <c r="Z745" s="14" t="s">
        <v>74</v>
      </c>
      <c r="AB745" s="19"/>
      <c r="AC745" s="20"/>
      <c r="AD745" s="19"/>
      <c r="AE745" s="98" t="s">
        <v>1122</v>
      </c>
    </row>
    <row r="746" spans="1:31" x14ac:dyDescent="0.3">
      <c r="A746" s="107">
        <v>746</v>
      </c>
      <c r="B746" s="46">
        <v>45712</v>
      </c>
      <c r="C746" s="46">
        <v>45717</v>
      </c>
      <c r="D746" s="13" t="s">
        <v>137</v>
      </c>
      <c r="E746" s="13" t="s">
        <v>51</v>
      </c>
      <c r="F746" s="13" t="s">
        <v>52</v>
      </c>
      <c r="G746" s="14" t="s">
        <v>466</v>
      </c>
      <c r="H746" s="103" t="s">
        <v>1407</v>
      </c>
      <c r="I746" s="14" t="s">
        <v>1408</v>
      </c>
      <c r="K746" s="21">
        <v>926392077</v>
      </c>
      <c r="L746" s="21"/>
      <c r="M746" s="14" t="s">
        <v>700</v>
      </c>
      <c r="N746" s="14" t="s">
        <v>70</v>
      </c>
      <c r="Q746" s="14" t="s">
        <v>3</v>
      </c>
      <c r="R746" s="14" t="s">
        <v>64</v>
      </c>
      <c r="T746" s="15">
        <f>266.52/12</f>
        <v>22.209999999999997</v>
      </c>
      <c r="U746" s="15"/>
      <c r="V746" s="15">
        <f>+Tabla1[[#This Row],[PAGO MENSUAL]]*12</f>
        <v>266.52</v>
      </c>
      <c r="W746" s="17" t="s">
        <v>1409</v>
      </c>
      <c r="X746" s="14" t="s">
        <v>1042</v>
      </c>
      <c r="Y746" s="14" t="s">
        <v>74</v>
      </c>
      <c r="Z746" s="14" t="s">
        <v>74</v>
      </c>
      <c r="AB746" s="19"/>
      <c r="AC746" s="20"/>
      <c r="AD746" s="19"/>
      <c r="AE746" s="98"/>
    </row>
    <row r="747" spans="1:31" x14ac:dyDescent="0.3">
      <c r="A747" s="108">
        <v>747</v>
      </c>
      <c r="B747" s="46">
        <v>45712</v>
      </c>
      <c r="D747" s="13" t="s">
        <v>137</v>
      </c>
      <c r="E747" s="13" t="s">
        <v>51</v>
      </c>
      <c r="F747" s="13" t="s">
        <v>52</v>
      </c>
      <c r="G747" s="14" t="s">
        <v>860</v>
      </c>
      <c r="H747" s="14">
        <v>112014659</v>
      </c>
      <c r="I747" s="14" t="s">
        <v>1424</v>
      </c>
      <c r="K747" s="21"/>
      <c r="L747" s="21"/>
      <c r="M747" s="14" t="s">
        <v>88</v>
      </c>
      <c r="N747" s="14" t="s">
        <v>108</v>
      </c>
      <c r="Q747" s="14" t="s">
        <v>1425</v>
      </c>
      <c r="T747" s="15">
        <v>1975</v>
      </c>
      <c r="U747" s="15"/>
      <c r="V747" s="15">
        <v>1975</v>
      </c>
      <c r="W747" s="17" t="s">
        <v>1568</v>
      </c>
      <c r="X747" s="14" t="s">
        <v>1569</v>
      </c>
      <c r="AB747" s="19"/>
      <c r="AC747" s="20"/>
      <c r="AD747" s="19"/>
      <c r="AE747" s="98"/>
    </row>
    <row r="748" spans="1:31" x14ac:dyDescent="0.3">
      <c r="A748" s="105">
        <v>748</v>
      </c>
      <c r="B748" s="46">
        <v>45713</v>
      </c>
      <c r="D748" s="13" t="s">
        <v>137</v>
      </c>
      <c r="E748" s="13" t="s">
        <v>51</v>
      </c>
      <c r="F748" s="13" t="s">
        <v>66</v>
      </c>
      <c r="G748" s="14" t="s">
        <v>218</v>
      </c>
      <c r="I748" s="14" t="s">
        <v>1227</v>
      </c>
      <c r="K748" s="21"/>
      <c r="L748" s="21"/>
      <c r="M748" s="14" t="s">
        <v>88</v>
      </c>
      <c r="N748" s="14" t="s">
        <v>70</v>
      </c>
      <c r="Q748" s="14" t="s">
        <v>3</v>
      </c>
      <c r="R748" s="14" t="s">
        <v>64</v>
      </c>
      <c r="T748" s="15">
        <f>361.36/12</f>
        <v>30.113333333333333</v>
      </c>
      <c r="U748" s="15"/>
      <c r="V748" s="15">
        <f>+Tabla1[[#This Row],[PAGO MENSUAL]]*12</f>
        <v>361.36</v>
      </c>
      <c r="W748" s="17" t="s">
        <v>1037</v>
      </c>
      <c r="X748" s="14" t="s">
        <v>1067</v>
      </c>
      <c r="AB748" s="19"/>
      <c r="AC748" s="20"/>
      <c r="AD748" s="19"/>
      <c r="AE748" s="98"/>
    </row>
    <row r="749" spans="1:31" x14ac:dyDescent="0.3">
      <c r="A749" s="107">
        <v>749</v>
      </c>
      <c r="B749" s="46">
        <v>45713</v>
      </c>
      <c r="D749" s="13" t="s">
        <v>137</v>
      </c>
      <c r="E749" s="13" t="s">
        <v>51</v>
      </c>
      <c r="F749" s="13" t="s">
        <v>66</v>
      </c>
      <c r="G749" s="14" t="s">
        <v>218</v>
      </c>
      <c r="I749" s="14" t="s">
        <v>1418</v>
      </c>
      <c r="K749" s="21"/>
      <c r="L749" s="21"/>
      <c r="M749" s="14" t="s">
        <v>88</v>
      </c>
      <c r="N749" s="14" t="s">
        <v>70</v>
      </c>
      <c r="Q749" s="14" t="s">
        <v>3</v>
      </c>
      <c r="R749" s="14" t="s">
        <v>64</v>
      </c>
      <c r="T749" s="15">
        <f>538.6/12</f>
        <v>44.883333333333333</v>
      </c>
      <c r="U749" s="15"/>
      <c r="V749" s="15">
        <f>+Tabla1[[#This Row],[PAGO MENSUAL]]*12</f>
        <v>538.6</v>
      </c>
      <c r="W749" s="17" t="s">
        <v>1037</v>
      </c>
      <c r="X749" s="14" t="s">
        <v>1067</v>
      </c>
      <c r="AB749" s="19"/>
      <c r="AC749" s="20"/>
      <c r="AD749" s="19"/>
      <c r="AE749" s="98"/>
    </row>
    <row r="750" spans="1:31" x14ac:dyDescent="0.3">
      <c r="A750" s="108">
        <v>750</v>
      </c>
      <c r="B750" s="46">
        <v>45715</v>
      </c>
      <c r="D750" s="13" t="s">
        <v>137</v>
      </c>
      <c r="E750" s="13" t="s">
        <v>51</v>
      </c>
      <c r="F750" s="13" t="s">
        <v>66</v>
      </c>
      <c r="G750" s="14" t="s">
        <v>18</v>
      </c>
      <c r="H750" s="103">
        <v>16744</v>
      </c>
      <c r="I750" s="14" t="s">
        <v>1415</v>
      </c>
      <c r="K750" s="21"/>
      <c r="L750" s="21"/>
      <c r="M750" s="14" t="s">
        <v>700</v>
      </c>
      <c r="N750" s="14" t="s">
        <v>70</v>
      </c>
      <c r="Q750" s="14" t="s">
        <v>307</v>
      </c>
      <c r="R750" s="14" t="s">
        <v>177</v>
      </c>
      <c r="T750" s="15">
        <v>52.52</v>
      </c>
      <c r="U750" s="15"/>
      <c r="V750" s="15">
        <f>+Tabla1[[#This Row],[PAGO MENSUAL]]*12</f>
        <v>630.24</v>
      </c>
      <c r="W750" s="17" t="s">
        <v>1500</v>
      </c>
      <c r="X750" s="14" t="s">
        <v>1042</v>
      </c>
      <c r="Y750" s="14" t="s">
        <v>74</v>
      </c>
      <c r="Z750" s="14" t="s">
        <v>74</v>
      </c>
      <c r="AB750" s="19"/>
      <c r="AC750" s="20"/>
      <c r="AD750" s="19"/>
      <c r="AE750" s="98"/>
    </row>
    <row r="751" spans="1:31" x14ac:dyDescent="0.3">
      <c r="A751" s="105">
        <v>751</v>
      </c>
      <c r="B751" s="46">
        <v>45715</v>
      </c>
      <c r="C751" s="46">
        <v>45717</v>
      </c>
      <c r="D751" s="13" t="s">
        <v>137</v>
      </c>
      <c r="E751" s="13" t="s">
        <v>51</v>
      </c>
      <c r="F751" s="13" t="s">
        <v>967</v>
      </c>
      <c r="G751" s="14" t="s">
        <v>1607</v>
      </c>
      <c r="H751" s="14">
        <v>16739</v>
      </c>
      <c r="I751" s="14" t="s">
        <v>1403</v>
      </c>
      <c r="K751" s="21"/>
      <c r="L751" s="21"/>
      <c r="M751" s="14" t="s">
        <v>700</v>
      </c>
      <c r="N751" s="14" t="s">
        <v>70</v>
      </c>
      <c r="Q751" s="14" t="s">
        <v>307</v>
      </c>
      <c r="R751" s="14" t="s">
        <v>169</v>
      </c>
      <c r="T751" s="15">
        <v>147.66999999999999</v>
      </c>
      <c r="U751" s="15"/>
      <c r="V751" s="15">
        <f>+Tabla1[[#This Row],[PAGO MENSUAL]]*12</f>
        <v>1772.04</v>
      </c>
      <c r="W751" s="17" t="s">
        <v>1066</v>
      </c>
      <c r="X751" s="14" t="s">
        <v>1042</v>
      </c>
      <c r="Y751" s="14" t="s">
        <v>74</v>
      </c>
      <c r="Z751" s="14" t="s">
        <v>74</v>
      </c>
      <c r="AB751" s="19"/>
      <c r="AC751" s="20"/>
      <c r="AD751" s="19"/>
      <c r="AE751" s="98"/>
    </row>
    <row r="752" spans="1:31" x14ac:dyDescent="0.3">
      <c r="A752" s="107">
        <v>752</v>
      </c>
      <c r="B752" s="46">
        <v>45715</v>
      </c>
      <c r="C752" s="46">
        <v>45717</v>
      </c>
      <c r="D752" s="13" t="s">
        <v>137</v>
      </c>
      <c r="E752" s="13" t="s">
        <v>51</v>
      </c>
      <c r="F752" s="13" t="s">
        <v>967</v>
      </c>
      <c r="G752" s="14" t="s">
        <v>1607</v>
      </c>
      <c r="H752" s="14">
        <v>16743</v>
      </c>
      <c r="I752" s="14" t="s">
        <v>1403</v>
      </c>
      <c r="K752" s="21"/>
      <c r="L752" s="21"/>
      <c r="M752" s="14" t="s">
        <v>700</v>
      </c>
      <c r="N752" s="14" t="s">
        <v>70</v>
      </c>
      <c r="Q752" s="14" t="s">
        <v>307</v>
      </c>
      <c r="R752" s="14" t="s">
        <v>177</v>
      </c>
      <c r="T752" s="15">
        <v>64.45</v>
      </c>
      <c r="U752" s="15"/>
      <c r="V752" s="15">
        <f>+Tabla1[[#This Row],[PAGO MENSUAL]]*12</f>
        <v>773.40000000000009</v>
      </c>
      <c r="W752" s="17" t="s">
        <v>1066</v>
      </c>
      <c r="X752" s="14" t="s">
        <v>1042</v>
      </c>
      <c r="Y752" s="14" t="s">
        <v>74</v>
      </c>
      <c r="Z752" s="14" t="s">
        <v>74</v>
      </c>
      <c r="AB752" s="19"/>
      <c r="AC752" s="20"/>
      <c r="AD752" s="19"/>
      <c r="AE752" s="98"/>
    </row>
    <row r="753" spans="1:31" x14ac:dyDescent="0.3">
      <c r="A753" s="107">
        <v>753</v>
      </c>
      <c r="B753" s="46">
        <v>45716</v>
      </c>
      <c r="D753" s="13" t="s">
        <v>137</v>
      </c>
      <c r="E753" s="13" t="s">
        <v>51</v>
      </c>
      <c r="F753" s="13" t="s">
        <v>66</v>
      </c>
      <c r="G753" s="14" t="s">
        <v>16</v>
      </c>
      <c r="H753" s="14">
        <v>36339</v>
      </c>
      <c r="I753" s="14" t="s">
        <v>1410</v>
      </c>
      <c r="K753" s="21"/>
      <c r="L753" s="21"/>
      <c r="M753" s="14" t="s">
        <v>700</v>
      </c>
      <c r="N753" s="14" t="s">
        <v>70</v>
      </c>
      <c r="Q753" s="14" t="s">
        <v>477</v>
      </c>
      <c r="R753" s="14" t="s">
        <v>358</v>
      </c>
      <c r="T753" s="15">
        <v>17.88</v>
      </c>
      <c r="U753" s="15"/>
      <c r="V753" s="15">
        <f>+Tabla1[[#This Row],[PAGO MENSUAL]]*12</f>
        <v>214.56</v>
      </c>
      <c r="W753" s="17" t="s">
        <v>1037</v>
      </c>
      <c r="X753" s="14" t="s">
        <v>1067</v>
      </c>
      <c r="AB753" s="19"/>
      <c r="AC753" s="20"/>
      <c r="AD753" s="19"/>
      <c r="AE753" s="98"/>
    </row>
    <row r="754" spans="1:31" x14ac:dyDescent="0.3">
      <c r="A754" s="108">
        <v>754</v>
      </c>
      <c r="B754" s="46">
        <v>45716</v>
      </c>
      <c r="C754" s="46">
        <v>45717</v>
      </c>
      <c r="D754" s="13" t="s">
        <v>137</v>
      </c>
      <c r="E754" s="13" t="s">
        <v>51</v>
      </c>
      <c r="F754" s="13" t="s">
        <v>66</v>
      </c>
      <c r="G754" s="14" t="s">
        <v>15</v>
      </c>
      <c r="K754" s="21"/>
      <c r="L754" s="21"/>
      <c r="Q754" s="14" t="s">
        <v>3</v>
      </c>
      <c r="T754" s="15"/>
      <c r="U754" s="15"/>
      <c r="V754" s="15">
        <f>+Tabla1[[#This Row],[PAGO MENSUAL]]*12</f>
        <v>0</v>
      </c>
      <c r="X754" s="14" t="s">
        <v>1067</v>
      </c>
      <c r="AB754" s="19"/>
      <c r="AC754" s="20"/>
      <c r="AD754" s="19"/>
      <c r="AE754" s="98"/>
    </row>
    <row r="755" spans="1:31" x14ac:dyDescent="0.3">
      <c r="A755" s="105">
        <v>755</v>
      </c>
      <c r="B755" s="46">
        <v>45716</v>
      </c>
      <c r="C755" s="46">
        <v>45717</v>
      </c>
      <c r="D755" s="13" t="s">
        <v>137</v>
      </c>
      <c r="E755" s="13" t="s">
        <v>51</v>
      </c>
      <c r="F755" s="13" t="s">
        <v>52</v>
      </c>
      <c r="G755" s="14" t="s">
        <v>1406</v>
      </c>
      <c r="H755" s="14" t="s">
        <v>1438</v>
      </c>
      <c r="I755" s="14" t="s">
        <v>1416</v>
      </c>
      <c r="K755" s="21"/>
      <c r="L755" s="21"/>
      <c r="M755" s="14" t="s">
        <v>700</v>
      </c>
      <c r="N755" s="14" t="s">
        <v>70</v>
      </c>
      <c r="Q755" s="14" t="s">
        <v>1405</v>
      </c>
      <c r="R755" s="14" t="s">
        <v>1417</v>
      </c>
      <c r="T755" s="15">
        <v>290.26</v>
      </c>
      <c r="U755" s="15"/>
      <c r="V755" s="15">
        <f>+Tabla1[[#This Row],[PAGO MENSUAL]]*12</f>
        <v>3483.12</v>
      </c>
      <c r="W755" s="17" t="s">
        <v>1439</v>
      </c>
      <c r="X755" s="14" t="s">
        <v>1042</v>
      </c>
      <c r="Y755" s="14" t="s">
        <v>74</v>
      </c>
      <c r="Z755" s="14" t="s">
        <v>74</v>
      </c>
      <c r="AB755" s="19"/>
      <c r="AC755" s="20"/>
      <c r="AD755" s="19"/>
      <c r="AE755" s="98"/>
    </row>
    <row r="756" spans="1:31" x14ac:dyDescent="0.3">
      <c r="A756" s="107">
        <v>756</v>
      </c>
      <c r="B756" s="46">
        <v>45716</v>
      </c>
      <c r="D756" s="13" t="s">
        <v>137</v>
      </c>
      <c r="E756" s="13" t="s">
        <v>51</v>
      </c>
      <c r="F756" s="13" t="s">
        <v>993</v>
      </c>
      <c r="G756" s="14" t="s">
        <v>459</v>
      </c>
      <c r="H756" s="14">
        <v>4311158</v>
      </c>
      <c r="I756" s="14" t="s">
        <v>1411</v>
      </c>
      <c r="K756" s="21"/>
      <c r="L756" s="21"/>
      <c r="M756" s="14" t="s">
        <v>700</v>
      </c>
      <c r="N756" s="14" t="s">
        <v>70</v>
      </c>
      <c r="Q756" s="14" t="s">
        <v>6</v>
      </c>
      <c r="R756" s="14" t="s">
        <v>1026</v>
      </c>
      <c r="T756" s="15">
        <v>36.71</v>
      </c>
      <c r="U756" s="15"/>
      <c r="V756" s="15">
        <f>+Tabla1[[#This Row],[PAGO MENSUAL]]*12</f>
        <v>440.52</v>
      </c>
      <c r="W756" s="17" t="s">
        <v>1050</v>
      </c>
      <c r="X756" s="14" t="s">
        <v>1042</v>
      </c>
      <c r="Y756" s="14" t="s">
        <v>74</v>
      </c>
      <c r="Z756" s="14" t="s">
        <v>74</v>
      </c>
      <c r="AB756" s="19"/>
      <c r="AC756" s="20"/>
      <c r="AD756" s="19"/>
      <c r="AE756" s="98"/>
    </row>
    <row r="757" spans="1:31" x14ac:dyDescent="0.3">
      <c r="A757" s="108"/>
      <c r="B757" s="46">
        <v>45716</v>
      </c>
      <c r="D757" s="13" t="s">
        <v>137</v>
      </c>
      <c r="E757" s="13" t="s">
        <v>51</v>
      </c>
      <c r="F757" s="13" t="s">
        <v>967</v>
      </c>
      <c r="G757" s="14" t="s">
        <v>1607</v>
      </c>
      <c r="H757" s="14">
        <v>16754</v>
      </c>
      <c r="I757" s="14" t="s">
        <v>1413</v>
      </c>
      <c r="K757" s="21"/>
      <c r="L757" s="21"/>
      <c r="M757" s="14" t="s">
        <v>700</v>
      </c>
      <c r="N757" s="14" t="s">
        <v>70</v>
      </c>
      <c r="Q757" s="14" t="s">
        <v>307</v>
      </c>
      <c r="R757" s="14" t="s">
        <v>177</v>
      </c>
      <c r="T757" s="15">
        <v>68.31</v>
      </c>
      <c r="U757" s="15"/>
      <c r="V757" s="15">
        <f>+Tabla1[[#This Row],[PAGO MENSUAL]]*12</f>
        <v>819.72</v>
      </c>
      <c r="W757" s="17" t="s">
        <v>1463</v>
      </c>
      <c r="X757" s="14" t="s">
        <v>1042</v>
      </c>
      <c r="Y757" s="14" t="s">
        <v>74</v>
      </c>
      <c r="Z757" s="14" t="s">
        <v>74</v>
      </c>
      <c r="AB757" s="19"/>
      <c r="AC757" s="20"/>
      <c r="AD757" s="19"/>
      <c r="AE757" s="98"/>
    </row>
    <row r="758" spans="1:31" x14ac:dyDescent="0.3">
      <c r="A758" s="105">
        <v>758</v>
      </c>
      <c r="B758" s="46">
        <v>45716</v>
      </c>
      <c r="C758" s="46">
        <v>45717</v>
      </c>
      <c r="D758" s="13" t="s">
        <v>137</v>
      </c>
      <c r="E758" s="13" t="s">
        <v>51</v>
      </c>
      <c r="F758" s="13" t="s">
        <v>66</v>
      </c>
      <c r="G758" s="14" t="s">
        <v>330</v>
      </c>
      <c r="H758" s="14">
        <v>16760</v>
      </c>
      <c r="I758" s="14" t="s">
        <v>1414</v>
      </c>
      <c r="K758" s="21"/>
      <c r="L758" s="21"/>
      <c r="M758" s="14" t="s">
        <v>700</v>
      </c>
      <c r="N758" s="14" t="s">
        <v>70</v>
      </c>
      <c r="Q758" s="14" t="s">
        <v>307</v>
      </c>
      <c r="R758" s="14" t="s">
        <v>177</v>
      </c>
      <c r="T758" s="15">
        <v>66.459999999999994</v>
      </c>
      <c r="U758" s="15"/>
      <c r="V758" s="15">
        <f>+Tabla1[[#This Row],[PAGO MENSUAL]]*12</f>
        <v>797.52</v>
      </c>
      <c r="W758" s="17" t="s">
        <v>1066</v>
      </c>
      <c r="X758" s="14" t="s">
        <v>1042</v>
      </c>
      <c r="Y758" s="14" t="s">
        <v>74</v>
      </c>
      <c r="Z758" s="14" t="s">
        <v>74</v>
      </c>
      <c r="AB758" s="19"/>
      <c r="AC758" s="20"/>
      <c r="AD758" s="19"/>
      <c r="AE758" s="98"/>
    </row>
    <row r="759" spans="1:31" x14ac:dyDescent="0.3">
      <c r="A759" s="107">
        <v>759</v>
      </c>
      <c r="B759" s="46">
        <v>45716</v>
      </c>
      <c r="D759" s="13" t="s">
        <v>137</v>
      </c>
      <c r="E759" s="13" t="s">
        <v>51</v>
      </c>
      <c r="F759" s="13" t="s">
        <v>66</v>
      </c>
      <c r="G759" s="14" t="s">
        <v>18</v>
      </c>
      <c r="H759" s="14">
        <v>16751</v>
      </c>
      <c r="I759" s="14" t="s">
        <v>1480</v>
      </c>
      <c r="K759" s="21"/>
      <c r="L759" s="21"/>
      <c r="M759" s="14" t="s">
        <v>700</v>
      </c>
      <c r="N759" s="14" t="s">
        <v>108</v>
      </c>
      <c r="Q759" s="14" t="s">
        <v>5</v>
      </c>
      <c r="R759" s="14" t="s">
        <v>177</v>
      </c>
      <c r="T759" s="15">
        <v>525.57000000000005</v>
      </c>
      <c r="U759" s="15"/>
      <c r="V759" s="15">
        <v>525.57000000000005</v>
      </c>
      <c r="W759" s="17" t="s">
        <v>1066</v>
      </c>
      <c r="X759" s="14" t="s">
        <v>1042</v>
      </c>
      <c r="AB759" s="19"/>
      <c r="AC759" s="20"/>
      <c r="AD759" s="19"/>
      <c r="AE759" s="98"/>
    </row>
    <row r="760" spans="1:31" x14ac:dyDescent="0.3">
      <c r="A760" s="107">
        <v>760</v>
      </c>
      <c r="B760" s="46">
        <v>45716</v>
      </c>
      <c r="D760" s="13" t="s">
        <v>137</v>
      </c>
      <c r="E760" s="13" t="s">
        <v>51</v>
      </c>
      <c r="F760" s="13" t="s">
        <v>66</v>
      </c>
      <c r="G760" s="14" t="s">
        <v>18</v>
      </c>
      <c r="H760" s="14">
        <v>16753</v>
      </c>
      <c r="I760" s="14" t="s">
        <v>1481</v>
      </c>
      <c r="K760" s="21"/>
      <c r="L760" s="21"/>
      <c r="M760" s="14" t="s">
        <v>700</v>
      </c>
      <c r="N760" s="14" t="s">
        <v>108</v>
      </c>
      <c r="Q760" s="14" t="s">
        <v>307</v>
      </c>
      <c r="R760" s="14" t="s">
        <v>177</v>
      </c>
      <c r="T760" s="15">
        <v>525.57000000000005</v>
      </c>
      <c r="U760" s="15"/>
      <c r="V760" s="15">
        <v>525.57000000000005</v>
      </c>
      <c r="W760" s="17" t="s">
        <v>1066</v>
      </c>
      <c r="X760" s="14" t="s">
        <v>1042</v>
      </c>
      <c r="AB760" s="19"/>
      <c r="AC760" s="20"/>
      <c r="AD760" s="19"/>
      <c r="AE760" s="98"/>
    </row>
    <row r="761" spans="1:31" x14ac:dyDescent="0.3">
      <c r="A761" s="107">
        <v>761</v>
      </c>
      <c r="B761" s="46">
        <v>45717</v>
      </c>
      <c r="D761" s="13" t="s">
        <v>242</v>
      </c>
      <c r="E761" s="13" t="s">
        <v>51</v>
      </c>
      <c r="F761" s="13" t="s">
        <v>993</v>
      </c>
      <c r="G761" s="14" t="s">
        <v>459</v>
      </c>
      <c r="H761" s="14">
        <v>4311187</v>
      </c>
      <c r="I761" s="14" t="s">
        <v>1419</v>
      </c>
      <c r="K761" s="21"/>
      <c r="L761" s="21"/>
      <c r="M761" s="14" t="s">
        <v>700</v>
      </c>
      <c r="N761" s="14" t="s">
        <v>70</v>
      </c>
      <c r="Q761" s="14" t="s">
        <v>6</v>
      </c>
      <c r="R761" s="14" t="s">
        <v>1421</v>
      </c>
      <c r="T761" s="15">
        <v>214.46</v>
      </c>
      <c r="U761" s="15"/>
      <c r="V761" s="15">
        <f>+Tabla1[[#This Row],[PAGO MENSUAL]]*12</f>
        <v>2573.52</v>
      </c>
      <c r="W761" s="17" t="s">
        <v>1066</v>
      </c>
      <c r="X761" s="14" t="s">
        <v>1042</v>
      </c>
      <c r="Y761" s="14" t="s">
        <v>74</v>
      </c>
      <c r="Z761" s="14" t="s">
        <v>74</v>
      </c>
      <c r="AB761" s="19"/>
      <c r="AC761" s="20"/>
      <c r="AD761" s="19"/>
      <c r="AE761" s="98" t="s">
        <v>1420</v>
      </c>
    </row>
    <row r="762" spans="1:31" x14ac:dyDescent="0.3">
      <c r="A762" s="108">
        <v>762</v>
      </c>
      <c r="B762" s="46">
        <v>45717</v>
      </c>
      <c r="C762" s="46">
        <v>45717</v>
      </c>
      <c r="D762" s="13" t="s">
        <v>242</v>
      </c>
      <c r="E762" s="13" t="s">
        <v>51</v>
      </c>
      <c r="F762" s="13" t="s">
        <v>967</v>
      </c>
      <c r="G762" s="14" t="s">
        <v>1607</v>
      </c>
      <c r="H762" s="14" t="s">
        <v>1437</v>
      </c>
      <c r="I762" s="14" t="s">
        <v>1436</v>
      </c>
      <c r="K762" s="21"/>
      <c r="L762" s="21"/>
      <c r="M762" s="14" t="s">
        <v>88</v>
      </c>
      <c r="N762" s="14" t="s">
        <v>70</v>
      </c>
      <c r="Q762" s="14" t="s">
        <v>3</v>
      </c>
      <c r="R762" s="14" t="s">
        <v>64</v>
      </c>
      <c r="T762" s="15">
        <f>387.88/12</f>
        <v>32.323333333333331</v>
      </c>
      <c r="U762" s="15"/>
      <c r="V762" s="15">
        <f>+Tabla1[[#This Row],[PAGO MENSUAL]]*12</f>
        <v>387.88</v>
      </c>
      <c r="W762" s="17" t="s">
        <v>1409</v>
      </c>
      <c r="X762" s="14" t="s">
        <v>1042</v>
      </c>
      <c r="Y762" s="14" t="s">
        <v>74</v>
      </c>
      <c r="Z762" s="14" t="s">
        <v>74</v>
      </c>
      <c r="AB762" s="19"/>
      <c r="AC762" s="20"/>
      <c r="AD762" s="19"/>
      <c r="AE762" s="98"/>
    </row>
    <row r="763" spans="1:31" x14ac:dyDescent="0.3">
      <c r="A763" s="105">
        <v>763</v>
      </c>
      <c r="B763" s="46">
        <v>45722</v>
      </c>
      <c r="D763" s="13" t="s">
        <v>242</v>
      </c>
      <c r="E763" s="13" t="s">
        <v>51</v>
      </c>
      <c r="F763" s="13" t="s">
        <v>66</v>
      </c>
      <c r="G763" s="14" t="s">
        <v>218</v>
      </c>
      <c r="H763" s="14">
        <v>4311326</v>
      </c>
      <c r="I763" s="14" t="s">
        <v>1427</v>
      </c>
      <c r="K763" s="21"/>
      <c r="L763" s="21"/>
      <c r="M763" s="14" t="s">
        <v>700</v>
      </c>
      <c r="N763" s="14" t="s">
        <v>70</v>
      </c>
      <c r="Q763" s="14" t="s">
        <v>6</v>
      </c>
      <c r="R763" s="14" t="s">
        <v>1428</v>
      </c>
      <c r="T763" s="15">
        <v>194.31</v>
      </c>
      <c r="U763" s="15"/>
      <c r="V763" s="15">
        <f>+Tabla1[[#This Row],[PAGO MENSUAL]]*12</f>
        <v>2331.7200000000003</v>
      </c>
      <c r="W763" s="17" t="s">
        <v>1037</v>
      </c>
      <c r="X763" s="14" t="s">
        <v>1042</v>
      </c>
      <c r="Y763" s="14" t="s">
        <v>74</v>
      </c>
      <c r="AB763" s="19"/>
      <c r="AC763" s="20"/>
      <c r="AD763" s="19"/>
      <c r="AE763" s="98" t="s">
        <v>1429</v>
      </c>
    </row>
    <row r="764" spans="1:31" x14ac:dyDescent="0.3">
      <c r="A764" s="107">
        <v>764</v>
      </c>
      <c r="B764" s="46">
        <v>45722</v>
      </c>
      <c r="D764" s="13" t="s">
        <v>242</v>
      </c>
      <c r="E764" s="13" t="s">
        <v>51</v>
      </c>
      <c r="F764" s="13" t="s">
        <v>66</v>
      </c>
      <c r="G764" s="14" t="s">
        <v>790</v>
      </c>
      <c r="I764" s="14" t="s">
        <v>1430</v>
      </c>
      <c r="K764" s="21"/>
      <c r="L764" s="21"/>
      <c r="M764" s="14" t="s">
        <v>700</v>
      </c>
      <c r="N764" s="14" t="s">
        <v>70</v>
      </c>
      <c r="Q764" s="14" t="s">
        <v>307</v>
      </c>
      <c r="R764" s="14" t="s">
        <v>232</v>
      </c>
      <c r="T764" s="15">
        <v>117.91</v>
      </c>
      <c r="U764" s="15"/>
      <c r="V764" s="15">
        <f>+Tabla1[[#This Row],[PAGO MENSUAL]]*12</f>
        <v>1414.92</v>
      </c>
      <c r="W764" s="17" t="s">
        <v>1066</v>
      </c>
      <c r="X764" s="14" t="s">
        <v>1067</v>
      </c>
      <c r="Y764" s="14" t="s">
        <v>74</v>
      </c>
      <c r="AB764" s="19"/>
      <c r="AC764" s="20"/>
      <c r="AD764" s="19"/>
      <c r="AE764" s="98" t="s">
        <v>1431</v>
      </c>
    </row>
    <row r="765" spans="1:31" x14ac:dyDescent="0.3">
      <c r="A765" s="108">
        <v>765</v>
      </c>
      <c r="B765" s="46">
        <v>45722</v>
      </c>
      <c r="D765" s="13" t="s">
        <v>242</v>
      </c>
      <c r="E765" s="13" t="s">
        <v>51</v>
      </c>
      <c r="F765" s="13" t="s">
        <v>52</v>
      </c>
      <c r="G765" s="14" t="s">
        <v>860</v>
      </c>
      <c r="H765" s="14">
        <v>4311325</v>
      </c>
      <c r="I765" s="14" t="s">
        <v>1432</v>
      </c>
      <c r="K765" s="21"/>
      <c r="L765" s="21"/>
      <c r="M765" s="14" t="s">
        <v>700</v>
      </c>
      <c r="N765" s="14" t="s">
        <v>70</v>
      </c>
      <c r="Q765" s="14" t="s">
        <v>6</v>
      </c>
      <c r="R765" s="14" t="s">
        <v>1428</v>
      </c>
      <c r="T765" s="15">
        <v>69.27</v>
      </c>
      <c r="U765" s="15"/>
      <c r="V765" s="15">
        <f>+Tabla1[[#This Row],[PAGO MENSUAL]]*12</f>
        <v>831.24</v>
      </c>
      <c r="W765" s="17" t="s">
        <v>1050</v>
      </c>
      <c r="X765" s="14" t="s">
        <v>1042</v>
      </c>
      <c r="Y765" s="14" t="s">
        <v>74</v>
      </c>
      <c r="Z765" s="14" t="s">
        <v>74</v>
      </c>
      <c r="AB765" s="19"/>
      <c r="AC765" s="20"/>
      <c r="AD765" s="19"/>
      <c r="AE765" s="98"/>
    </row>
    <row r="766" spans="1:31" x14ac:dyDescent="0.3">
      <c r="A766" s="105">
        <v>766</v>
      </c>
      <c r="B766" s="46">
        <v>45722</v>
      </c>
      <c r="C766" s="46">
        <v>45726</v>
      </c>
      <c r="D766" s="13" t="s">
        <v>242</v>
      </c>
      <c r="E766" s="13" t="s">
        <v>51</v>
      </c>
      <c r="F766" s="13" t="s">
        <v>1440</v>
      </c>
      <c r="G766" s="14" t="s">
        <v>566</v>
      </c>
      <c r="H766" s="14">
        <v>7584557</v>
      </c>
      <c r="I766" s="14" t="s">
        <v>1442</v>
      </c>
      <c r="K766" s="21"/>
      <c r="L766" s="21"/>
      <c r="M766" s="14" t="s">
        <v>88</v>
      </c>
      <c r="Q766" s="14" t="s">
        <v>132</v>
      </c>
      <c r="R766" s="14" t="s">
        <v>1443</v>
      </c>
      <c r="T766" s="15">
        <v>135</v>
      </c>
      <c r="U766" s="15"/>
      <c r="V766" s="15">
        <v>135</v>
      </c>
      <c r="W766" s="17" t="s">
        <v>1037</v>
      </c>
      <c r="X766" s="14" t="s">
        <v>1042</v>
      </c>
      <c r="Y766" s="14" t="s">
        <v>74</v>
      </c>
      <c r="Z766" s="14" t="s">
        <v>74</v>
      </c>
      <c r="AB766" s="19"/>
      <c r="AC766" s="20"/>
      <c r="AD766" s="19"/>
      <c r="AE766" s="98"/>
    </row>
    <row r="767" spans="1:31" x14ac:dyDescent="0.3">
      <c r="A767" s="107">
        <v>767</v>
      </c>
      <c r="B767" s="46">
        <v>45722</v>
      </c>
      <c r="C767" s="46">
        <v>45726</v>
      </c>
      <c r="D767" s="13" t="s">
        <v>242</v>
      </c>
      <c r="E767" s="13" t="s">
        <v>51</v>
      </c>
      <c r="F767" s="13" t="s">
        <v>52</v>
      </c>
      <c r="G767" s="14" t="s">
        <v>1406</v>
      </c>
      <c r="H767" s="14">
        <v>36393</v>
      </c>
      <c r="I767" s="14" t="s">
        <v>1435</v>
      </c>
      <c r="K767" s="21"/>
      <c r="L767" s="21"/>
      <c r="M767" s="14" t="s">
        <v>700</v>
      </c>
      <c r="N767" s="14" t="s">
        <v>70</v>
      </c>
      <c r="Q767" s="14" t="s">
        <v>477</v>
      </c>
      <c r="R767" s="14" t="s">
        <v>421</v>
      </c>
      <c r="T767" s="15">
        <v>71.7</v>
      </c>
      <c r="U767" s="15"/>
      <c r="V767" s="15">
        <f>+Tabla1[[#This Row],[PAGO MENSUAL]]*12</f>
        <v>860.40000000000009</v>
      </c>
      <c r="W767" s="17" t="s">
        <v>1037</v>
      </c>
      <c r="X767" s="14" t="s">
        <v>1042</v>
      </c>
      <c r="Y767" s="14" t="s">
        <v>74</v>
      </c>
      <c r="Z767" s="14" t="s">
        <v>74</v>
      </c>
      <c r="AB767" s="19"/>
      <c r="AC767" s="20"/>
      <c r="AD767" s="19"/>
      <c r="AE767" s="98"/>
    </row>
    <row r="768" spans="1:31" x14ac:dyDescent="0.3">
      <c r="A768" s="107">
        <v>768</v>
      </c>
      <c r="B768" s="46">
        <v>45722</v>
      </c>
      <c r="D768" s="13" t="s">
        <v>242</v>
      </c>
      <c r="E768" s="13" t="s">
        <v>51</v>
      </c>
      <c r="F768" s="13" t="s">
        <v>52</v>
      </c>
      <c r="G768" s="14" t="s">
        <v>860</v>
      </c>
      <c r="H768" s="14" t="s">
        <v>1488</v>
      </c>
      <c r="I768" s="14" t="s">
        <v>1432</v>
      </c>
      <c r="K768" s="21"/>
      <c r="L768" s="21"/>
      <c r="M768" s="14" t="s">
        <v>700</v>
      </c>
      <c r="N768" s="14" t="s">
        <v>70</v>
      </c>
      <c r="Q768" s="14" t="s">
        <v>3</v>
      </c>
      <c r="R768" s="14" t="s">
        <v>64</v>
      </c>
      <c r="T768" s="15">
        <v>69.27</v>
      </c>
      <c r="U768" s="15"/>
      <c r="V768" s="15">
        <f>+Tabla1[[#This Row],[PAGO MENSUAL]]*12</f>
        <v>831.24</v>
      </c>
      <c r="W768" s="17" t="s">
        <v>1050</v>
      </c>
      <c r="X768" s="14" t="s">
        <v>1042</v>
      </c>
      <c r="Y768" s="14" t="s">
        <v>74</v>
      </c>
      <c r="Z768" s="14" t="s">
        <v>74</v>
      </c>
      <c r="AB768" s="19"/>
      <c r="AC768" s="20"/>
      <c r="AD768" s="19"/>
      <c r="AE768" s="98"/>
    </row>
    <row r="769" spans="1:31" x14ac:dyDescent="0.3">
      <c r="A769" s="108">
        <v>769</v>
      </c>
      <c r="B769" s="46">
        <v>45723</v>
      </c>
      <c r="C769" s="46">
        <v>45723</v>
      </c>
      <c r="D769" s="13" t="s">
        <v>242</v>
      </c>
      <c r="E769" s="13" t="s">
        <v>51</v>
      </c>
      <c r="F769" s="13" t="s">
        <v>967</v>
      </c>
      <c r="G769" s="14" t="s">
        <v>1607</v>
      </c>
      <c r="H769" s="14" t="s">
        <v>1433</v>
      </c>
      <c r="I769" s="14" t="s">
        <v>1434</v>
      </c>
      <c r="K769" s="21"/>
      <c r="L769" s="21"/>
      <c r="M769" s="14" t="s">
        <v>88</v>
      </c>
      <c r="N769" s="14" t="s">
        <v>70</v>
      </c>
      <c r="Q769" s="14" t="s">
        <v>3</v>
      </c>
      <c r="R769" s="14" t="s">
        <v>64</v>
      </c>
      <c r="T769" s="15">
        <v>141.75</v>
      </c>
      <c r="U769" s="15"/>
      <c r="V769" s="15">
        <f>+Tabla1[[#This Row],[PAGO MENSUAL]]*12</f>
        <v>1701</v>
      </c>
      <c r="W769" s="17" t="s">
        <v>1409</v>
      </c>
      <c r="X769" s="14" t="s">
        <v>1042</v>
      </c>
      <c r="Y769" s="14" t="s">
        <v>74</v>
      </c>
      <c r="Z769" s="14" t="s">
        <v>74</v>
      </c>
      <c r="AB769" s="19"/>
      <c r="AC769" s="20"/>
      <c r="AD769" s="19"/>
      <c r="AE769" s="98"/>
    </row>
    <row r="770" spans="1:31" x14ac:dyDescent="0.3">
      <c r="A770" s="105">
        <v>770</v>
      </c>
      <c r="B770" s="46">
        <v>45724</v>
      </c>
      <c r="D770" s="13" t="s">
        <v>242</v>
      </c>
      <c r="E770" s="13" t="s">
        <v>51</v>
      </c>
      <c r="F770" s="13" t="s">
        <v>66</v>
      </c>
      <c r="G770" s="14" t="s">
        <v>674</v>
      </c>
      <c r="I770" s="14" t="s">
        <v>1450</v>
      </c>
      <c r="K770" s="21"/>
      <c r="L770" s="21"/>
      <c r="Q770" s="14" t="s">
        <v>455</v>
      </c>
      <c r="R770" s="14" t="s">
        <v>456</v>
      </c>
      <c r="T770" s="15"/>
      <c r="U770" s="15"/>
      <c r="V770" s="15">
        <f>+Tabla1[[#This Row],[PAGO MENSUAL]]*12</f>
        <v>0</v>
      </c>
      <c r="W770" s="17" t="s">
        <v>1452</v>
      </c>
      <c r="X770" s="14" t="s">
        <v>1067</v>
      </c>
      <c r="AB770" s="19"/>
      <c r="AC770" s="20"/>
      <c r="AD770" s="19"/>
      <c r="AE770" s="98"/>
    </row>
    <row r="771" spans="1:31" x14ac:dyDescent="0.3">
      <c r="A771" s="107">
        <v>771</v>
      </c>
      <c r="B771" s="46">
        <v>45724</v>
      </c>
      <c r="D771" s="13" t="s">
        <v>242</v>
      </c>
      <c r="E771" s="13" t="s">
        <v>51</v>
      </c>
      <c r="F771" s="13" t="s">
        <v>66</v>
      </c>
      <c r="G771" s="14" t="s">
        <v>674</v>
      </c>
      <c r="I771" s="14" t="s">
        <v>1451</v>
      </c>
      <c r="K771" s="21"/>
      <c r="L771" s="21"/>
      <c r="Q771" s="14" t="s">
        <v>455</v>
      </c>
      <c r="R771" s="14" t="s">
        <v>456</v>
      </c>
      <c r="T771" s="15"/>
      <c r="U771" s="15"/>
      <c r="V771" s="15">
        <f>+Tabla1[[#This Row],[PAGO MENSUAL]]*12</f>
        <v>0</v>
      </c>
      <c r="W771" s="17" t="s">
        <v>1452</v>
      </c>
      <c r="X771" s="14" t="s">
        <v>1067</v>
      </c>
      <c r="AB771" s="19"/>
      <c r="AC771" s="20"/>
      <c r="AD771" s="19"/>
      <c r="AE771" s="98"/>
    </row>
    <row r="772" spans="1:31" x14ac:dyDescent="0.3">
      <c r="A772" s="108">
        <v>772</v>
      </c>
      <c r="B772" s="46">
        <v>45724</v>
      </c>
      <c r="D772" s="13" t="s">
        <v>242</v>
      </c>
      <c r="E772" s="13" t="s">
        <v>51</v>
      </c>
      <c r="F772" s="13" t="s">
        <v>66</v>
      </c>
      <c r="G772" s="14" t="s">
        <v>275</v>
      </c>
      <c r="I772" s="14" t="s">
        <v>1126</v>
      </c>
      <c r="K772" s="21"/>
      <c r="L772" s="21"/>
      <c r="Q772" s="14" t="s">
        <v>748</v>
      </c>
      <c r="R772" s="14" t="s">
        <v>512</v>
      </c>
      <c r="T772" s="15">
        <v>216.9</v>
      </c>
      <c r="U772" s="15"/>
      <c r="V772" s="15">
        <f>+Tabla1[[#This Row],[PAGO MENSUAL]]*12</f>
        <v>2602.8000000000002</v>
      </c>
      <c r="W772" s="17" t="s">
        <v>1121</v>
      </c>
      <c r="X772" s="14" t="s">
        <v>1067</v>
      </c>
      <c r="AB772" s="19"/>
      <c r="AC772" s="20"/>
      <c r="AD772" s="19"/>
      <c r="AE772" s="98"/>
    </row>
    <row r="773" spans="1:31" x14ac:dyDescent="0.3">
      <c r="A773" s="105">
        <v>773</v>
      </c>
      <c r="B773" s="46">
        <v>45725</v>
      </c>
      <c r="D773" s="13" t="s">
        <v>185</v>
      </c>
      <c r="E773" s="13" t="s">
        <v>51</v>
      </c>
      <c r="F773" s="13" t="s">
        <v>52</v>
      </c>
      <c r="G773" s="14" t="s">
        <v>819</v>
      </c>
      <c r="I773" s="14" t="s">
        <v>1578</v>
      </c>
      <c r="K773" s="21"/>
      <c r="L773" s="21"/>
      <c r="M773" s="14" t="s">
        <v>88</v>
      </c>
      <c r="N773" s="14" t="s">
        <v>108</v>
      </c>
      <c r="Q773" s="14" t="s">
        <v>4</v>
      </c>
      <c r="R773" s="14" t="s">
        <v>935</v>
      </c>
      <c r="T773" s="15">
        <v>1655</v>
      </c>
      <c r="U773" s="15"/>
      <c r="V773" s="15">
        <f>+Tabla1[[#This Row],[PAGO MENSUAL]]*12</f>
        <v>19860</v>
      </c>
      <c r="W773" s="17" t="s">
        <v>1579</v>
      </c>
      <c r="X773" s="14" t="s">
        <v>1042</v>
      </c>
      <c r="AB773" s="19"/>
      <c r="AC773" s="20"/>
      <c r="AD773" s="19"/>
      <c r="AE773" s="98"/>
    </row>
    <row r="774" spans="1:31" x14ac:dyDescent="0.3">
      <c r="A774" s="107">
        <v>774</v>
      </c>
      <c r="B774" s="46">
        <v>45726</v>
      </c>
      <c r="D774" s="13" t="s">
        <v>242</v>
      </c>
      <c r="E774" s="13" t="s">
        <v>51</v>
      </c>
      <c r="F774" s="13" t="s">
        <v>967</v>
      </c>
      <c r="G774" s="14" t="s">
        <v>1607</v>
      </c>
      <c r="H774" s="14">
        <v>4311436</v>
      </c>
      <c r="I774" s="14" t="s">
        <v>1445</v>
      </c>
      <c r="K774" s="21"/>
      <c r="L774" s="21"/>
      <c r="M774" s="14" t="s">
        <v>700</v>
      </c>
      <c r="N774" s="14" t="s">
        <v>70</v>
      </c>
      <c r="Q774" s="14" t="s">
        <v>6</v>
      </c>
      <c r="R774" s="14" t="s">
        <v>277</v>
      </c>
      <c r="T774" s="15">
        <v>78.16</v>
      </c>
      <c r="U774" s="15"/>
      <c r="V774" s="15">
        <f>+Tabla1[[#This Row],[PAGO MENSUAL]]*12</f>
        <v>937.92</v>
      </c>
      <c r="W774" s="17" t="s">
        <v>1050</v>
      </c>
      <c r="X774" s="14" t="s">
        <v>1042</v>
      </c>
      <c r="Y774" s="14" t="s">
        <v>74</v>
      </c>
      <c r="Z774" s="14" t="s">
        <v>74</v>
      </c>
      <c r="AB774" s="19"/>
      <c r="AC774" s="20"/>
      <c r="AD774" s="19"/>
      <c r="AE774" s="98"/>
    </row>
    <row r="775" spans="1:31" x14ac:dyDescent="0.3">
      <c r="A775" s="107">
        <v>775</v>
      </c>
      <c r="B775" s="46">
        <v>45726</v>
      </c>
      <c r="D775" s="13" t="s">
        <v>242</v>
      </c>
      <c r="E775" s="13" t="s">
        <v>51</v>
      </c>
      <c r="F775" s="13" t="s">
        <v>967</v>
      </c>
      <c r="G775" s="14" t="s">
        <v>1607</v>
      </c>
      <c r="H775" s="14">
        <v>4311437</v>
      </c>
      <c r="I775" s="14" t="s">
        <v>1445</v>
      </c>
      <c r="J775" s="14" t="s">
        <v>1446</v>
      </c>
      <c r="K775" s="21">
        <v>950796219</v>
      </c>
      <c r="L775" s="21"/>
      <c r="M775" s="14" t="s">
        <v>700</v>
      </c>
      <c r="N775" s="14" t="s">
        <v>70</v>
      </c>
      <c r="Q775" s="14" t="s">
        <v>6</v>
      </c>
      <c r="R775" s="14" t="s">
        <v>1026</v>
      </c>
      <c r="T775" s="15">
        <v>86.41</v>
      </c>
      <c r="U775" s="15"/>
      <c r="V775" s="15">
        <f>+Tabla1[[#This Row],[PAGO MENSUAL]]*12</f>
        <v>1036.92</v>
      </c>
      <c r="W775" s="17" t="s">
        <v>1050</v>
      </c>
      <c r="X775" s="14" t="s">
        <v>1042</v>
      </c>
      <c r="Y775" s="14" t="s">
        <v>74</v>
      </c>
      <c r="Z775" s="14" t="s">
        <v>74</v>
      </c>
      <c r="AB775" s="19"/>
      <c r="AC775" s="20"/>
      <c r="AD775" s="19"/>
      <c r="AE775" s="98"/>
    </row>
    <row r="776" spans="1:31" x14ac:dyDescent="0.3">
      <c r="A776" s="108">
        <v>776</v>
      </c>
      <c r="B776" s="46">
        <v>45726</v>
      </c>
      <c r="C776" s="46">
        <v>45731</v>
      </c>
      <c r="D776" s="13" t="s">
        <v>242</v>
      </c>
      <c r="E776" s="13" t="s">
        <v>51</v>
      </c>
      <c r="F776" s="13" t="s">
        <v>52</v>
      </c>
      <c r="G776" s="14" t="s">
        <v>466</v>
      </c>
      <c r="I776" s="14" t="s">
        <v>1447</v>
      </c>
      <c r="K776" s="21"/>
      <c r="L776" s="21"/>
      <c r="M776" s="14" t="s">
        <v>88</v>
      </c>
      <c r="N776" s="14" t="s">
        <v>70</v>
      </c>
      <c r="Q776" s="14" t="s">
        <v>307</v>
      </c>
      <c r="R776" s="14" t="s">
        <v>232</v>
      </c>
      <c r="T776" s="15">
        <v>117.91</v>
      </c>
      <c r="U776" s="15"/>
      <c r="V776" s="15">
        <f>+Tabla1[[#This Row],[PAGO MENSUAL]]*12</f>
        <v>1414.92</v>
      </c>
      <c r="W776" s="17" t="s">
        <v>1066</v>
      </c>
      <c r="X776" s="14" t="s">
        <v>1042</v>
      </c>
      <c r="AB776" s="19"/>
      <c r="AC776" s="20"/>
      <c r="AD776" s="19"/>
      <c r="AE776" s="98"/>
    </row>
    <row r="777" spans="1:31" x14ac:dyDescent="0.3">
      <c r="A777" s="105">
        <v>777</v>
      </c>
      <c r="B777" s="46">
        <v>45726</v>
      </c>
      <c r="D777" s="13" t="s">
        <v>242</v>
      </c>
      <c r="E777" s="13" t="s">
        <v>51</v>
      </c>
      <c r="G777" s="14" t="s">
        <v>12</v>
      </c>
      <c r="I777" s="14" t="s">
        <v>1449</v>
      </c>
      <c r="K777" s="21"/>
      <c r="L777" s="21"/>
      <c r="Q777" s="14" t="s">
        <v>455</v>
      </c>
      <c r="R777" s="14" t="s">
        <v>456</v>
      </c>
      <c r="T777" s="15"/>
      <c r="U777" s="15"/>
      <c r="V777" s="15">
        <f>+Tabla1[[#This Row],[PAGO MENSUAL]]*12</f>
        <v>0</v>
      </c>
      <c r="W777" s="17" t="s">
        <v>1452</v>
      </c>
      <c r="X777" s="14" t="s">
        <v>1067</v>
      </c>
      <c r="AB777" s="19"/>
      <c r="AC777" s="20"/>
      <c r="AD777" s="19"/>
      <c r="AE777" s="98"/>
    </row>
    <row r="778" spans="1:31" x14ac:dyDescent="0.3">
      <c r="A778" s="107">
        <v>778</v>
      </c>
      <c r="B778" s="46">
        <v>45727</v>
      </c>
      <c r="D778" s="13" t="s">
        <v>242</v>
      </c>
      <c r="E778" s="13" t="s">
        <v>51</v>
      </c>
      <c r="F778" s="13" t="s">
        <v>1440</v>
      </c>
      <c r="G778" s="14" t="s">
        <v>566</v>
      </c>
      <c r="H778" s="14">
        <v>16775</v>
      </c>
      <c r="I778" s="14" t="s">
        <v>1460</v>
      </c>
      <c r="K778" s="21"/>
      <c r="L778" s="21"/>
      <c r="Q778" s="14" t="s">
        <v>307</v>
      </c>
      <c r="R778" s="14" t="s">
        <v>169</v>
      </c>
      <c r="T778" s="15">
        <v>84.48</v>
      </c>
      <c r="U778" s="15"/>
      <c r="V778" s="15">
        <f>+Tabla1[[#This Row],[PAGO MENSUAL]]*12</f>
        <v>1013.76</v>
      </c>
      <c r="W778" s="17" t="s">
        <v>1461</v>
      </c>
      <c r="X778" s="14" t="s">
        <v>1042</v>
      </c>
      <c r="Y778" s="14" t="s">
        <v>74</v>
      </c>
      <c r="Z778" s="14" t="s">
        <v>74</v>
      </c>
      <c r="AB778" s="19"/>
      <c r="AC778" s="20"/>
      <c r="AD778" s="19"/>
      <c r="AE778" s="98"/>
    </row>
    <row r="779" spans="1:31" x14ac:dyDescent="0.3">
      <c r="A779" s="108">
        <v>779</v>
      </c>
      <c r="B779" s="46">
        <v>45727</v>
      </c>
      <c r="D779" s="13" t="s">
        <v>242</v>
      </c>
      <c r="E779" s="13" t="s">
        <v>51</v>
      </c>
      <c r="F779" s="13" t="s">
        <v>967</v>
      </c>
      <c r="G779" s="14" t="s">
        <v>1607</v>
      </c>
      <c r="H779" s="14">
        <v>16776</v>
      </c>
      <c r="I779" s="14" t="s">
        <v>1462</v>
      </c>
      <c r="K779" s="21"/>
      <c r="L779" s="21"/>
      <c r="M779" s="14" t="s">
        <v>700</v>
      </c>
      <c r="N779" s="14" t="s">
        <v>70</v>
      </c>
      <c r="Q779" s="14" t="s">
        <v>307</v>
      </c>
      <c r="R779" s="14" t="s">
        <v>169</v>
      </c>
      <c r="T779" s="15">
        <v>84.48</v>
      </c>
      <c r="U779" s="15"/>
      <c r="V779" s="15">
        <f>+Tabla1[[#This Row],[PAGO MENSUAL]]*12</f>
        <v>1013.76</v>
      </c>
      <c r="W779" s="17" t="s">
        <v>1463</v>
      </c>
      <c r="X779" s="14" t="s">
        <v>1042</v>
      </c>
      <c r="AB779" s="19"/>
      <c r="AC779" s="20"/>
      <c r="AD779" s="19"/>
      <c r="AE779" s="98"/>
    </row>
    <row r="780" spans="1:31" x14ac:dyDescent="0.3">
      <c r="A780" s="105">
        <v>780</v>
      </c>
      <c r="B780" s="46">
        <v>45728</v>
      </c>
      <c r="D780" s="13" t="s">
        <v>242</v>
      </c>
      <c r="E780" s="13" t="s">
        <v>51</v>
      </c>
      <c r="F780" s="13" t="s">
        <v>66</v>
      </c>
      <c r="G780" s="14" t="s">
        <v>18</v>
      </c>
      <c r="H780" s="14" t="s">
        <v>1470</v>
      </c>
      <c r="I780" s="14" t="s">
        <v>1448</v>
      </c>
      <c r="K780" s="21"/>
      <c r="L780" s="21"/>
      <c r="Q780" s="14" t="s">
        <v>3</v>
      </c>
      <c r="R780" s="14" t="s">
        <v>64</v>
      </c>
      <c r="T780" s="15">
        <v>34.833333333333336</v>
      </c>
      <c r="U780" s="15"/>
      <c r="V780" s="15">
        <f>+Tabla1[[#This Row],[PAGO MENSUAL]]*12</f>
        <v>418</v>
      </c>
      <c r="W780" s="17" t="s">
        <v>1452</v>
      </c>
      <c r="X780" s="14" t="s">
        <v>1042</v>
      </c>
      <c r="AB780" s="19"/>
      <c r="AC780" s="20"/>
      <c r="AD780" s="19"/>
      <c r="AE780" s="98"/>
    </row>
    <row r="781" spans="1:31" x14ac:dyDescent="0.3">
      <c r="A781" s="107">
        <v>781</v>
      </c>
      <c r="B781" s="46">
        <v>45728</v>
      </c>
      <c r="D781" s="13" t="s">
        <v>242</v>
      </c>
      <c r="E781" s="13" t="s">
        <v>51</v>
      </c>
      <c r="F781" s="13" t="s">
        <v>66</v>
      </c>
      <c r="G781" s="14" t="s">
        <v>18</v>
      </c>
      <c r="H781" s="14">
        <v>306269</v>
      </c>
      <c r="I781" s="14" t="s">
        <v>1448</v>
      </c>
      <c r="K781" s="21"/>
      <c r="L781" s="21"/>
      <c r="Q781" s="14" t="s">
        <v>455</v>
      </c>
      <c r="R781" s="14" t="s">
        <v>456</v>
      </c>
      <c r="T781" s="15">
        <v>138.88</v>
      </c>
      <c r="U781" s="15"/>
      <c r="V781" s="15">
        <f>+Tabla1[[#This Row],[PAGO MENSUAL]]*12</f>
        <v>1666.56</v>
      </c>
      <c r="W781" s="17" t="s">
        <v>1452</v>
      </c>
      <c r="X781" s="14" t="s">
        <v>1042</v>
      </c>
      <c r="AB781" s="19"/>
      <c r="AC781" s="20"/>
      <c r="AD781" s="19"/>
      <c r="AE781" s="98"/>
    </row>
    <row r="782" spans="1:31" x14ac:dyDescent="0.3">
      <c r="A782" s="107">
        <v>782</v>
      </c>
      <c r="B782" s="46">
        <v>45728</v>
      </c>
      <c r="D782" s="13" t="s">
        <v>242</v>
      </c>
      <c r="E782" s="13" t="s">
        <v>51</v>
      </c>
      <c r="F782" s="13" t="s">
        <v>66</v>
      </c>
      <c r="G782" s="14" t="s">
        <v>18</v>
      </c>
      <c r="H782" s="14">
        <v>4311761</v>
      </c>
      <c r="I782" s="14" t="s">
        <v>1457</v>
      </c>
      <c r="K782" s="21"/>
      <c r="L782" s="21"/>
      <c r="N782" s="14" t="s">
        <v>70</v>
      </c>
      <c r="Q782" s="14" t="s">
        <v>395</v>
      </c>
      <c r="R782" s="14" t="s">
        <v>350</v>
      </c>
      <c r="T782" s="15">
        <v>94.81</v>
      </c>
      <c r="U782" s="15"/>
      <c r="V782" s="15">
        <f>+Tabla1[[#This Row],[PAGO MENSUAL]]*12</f>
        <v>1137.72</v>
      </c>
      <c r="W782" s="17" t="s">
        <v>1452</v>
      </c>
      <c r="X782" s="14" t="s">
        <v>1042</v>
      </c>
      <c r="AB782" s="19"/>
      <c r="AC782" s="20"/>
      <c r="AD782" s="19"/>
      <c r="AE782" s="98"/>
    </row>
    <row r="783" spans="1:31" x14ac:dyDescent="0.3">
      <c r="A783" s="107">
        <v>783</v>
      </c>
      <c r="B783" s="46">
        <v>45728</v>
      </c>
      <c r="D783" s="13" t="s">
        <v>242</v>
      </c>
      <c r="E783" s="13" t="s">
        <v>51</v>
      </c>
      <c r="F783" s="13" t="s">
        <v>967</v>
      </c>
      <c r="G783" s="14" t="s">
        <v>1607</v>
      </c>
      <c r="H783" s="14">
        <v>16802</v>
      </c>
      <c r="I783" s="14" t="s">
        <v>1493</v>
      </c>
      <c r="K783" s="21"/>
      <c r="L783" s="21"/>
      <c r="M783" s="14" t="s">
        <v>700</v>
      </c>
      <c r="N783" s="14" t="s">
        <v>70</v>
      </c>
      <c r="Q783" s="14" t="s">
        <v>5</v>
      </c>
      <c r="R783" s="14" t="s">
        <v>232</v>
      </c>
      <c r="T783" s="15">
        <v>85.38</v>
      </c>
      <c r="U783" s="15"/>
      <c r="V783" s="15">
        <f>+Tabla1[[#This Row],[PAGO MENSUAL]]*12</f>
        <v>1024.56</v>
      </c>
      <c r="W783" s="17" t="s">
        <v>1463</v>
      </c>
      <c r="X783" s="14" t="s">
        <v>1042</v>
      </c>
      <c r="AB783" s="19"/>
      <c r="AC783" s="20"/>
      <c r="AD783" s="19"/>
      <c r="AE783" s="98"/>
    </row>
    <row r="784" spans="1:31" x14ac:dyDescent="0.3">
      <c r="A784" s="108">
        <v>784</v>
      </c>
      <c r="B784" s="46">
        <v>45728</v>
      </c>
      <c r="D784" s="13" t="s">
        <v>242</v>
      </c>
      <c r="E784" s="13" t="s">
        <v>51</v>
      </c>
      <c r="G784" s="14" t="s">
        <v>1023</v>
      </c>
      <c r="K784" s="21"/>
      <c r="L784" s="21"/>
      <c r="Q784" s="14" t="s">
        <v>395</v>
      </c>
      <c r="T784" s="15"/>
      <c r="U784" s="15"/>
      <c r="V784" s="15">
        <f>+Tabla1[[#This Row],[PAGO MENSUAL]]*12</f>
        <v>0</v>
      </c>
      <c r="X784" s="14" t="s">
        <v>1067</v>
      </c>
      <c r="AB784" s="19"/>
      <c r="AC784" s="20"/>
      <c r="AD784" s="19"/>
      <c r="AE784" s="98"/>
    </row>
    <row r="785" spans="1:31" x14ac:dyDescent="0.3">
      <c r="A785" s="105">
        <v>785</v>
      </c>
      <c r="B785" s="46">
        <v>45729</v>
      </c>
      <c r="D785" s="13" t="s">
        <v>242</v>
      </c>
      <c r="E785" s="13" t="s">
        <v>51</v>
      </c>
      <c r="F785" s="13" t="s">
        <v>967</v>
      </c>
      <c r="G785" s="14" t="s">
        <v>396</v>
      </c>
      <c r="H785" s="14">
        <v>4311713</v>
      </c>
      <c r="I785" s="14" t="s">
        <v>1453</v>
      </c>
      <c r="K785" s="21"/>
      <c r="L785" s="21"/>
      <c r="Q785" s="14" t="s">
        <v>6</v>
      </c>
      <c r="R785" s="14" t="s">
        <v>122</v>
      </c>
      <c r="T785" s="15">
        <v>165.76</v>
      </c>
      <c r="U785" s="15"/>
      <c r="V785" s="15">
        <f>+Tabla1[[#This Row],[PAGO MENSUAL]]*12</f>
        <v>1989.12</v>
      </c>
      <c r="W785" s="17" t="s">
        <v>1050</v>
      </c>
      <c r="X785" s="14" t="s">
        <v>1042</v>
      </c>
      <c r="Y785" s="14" t="s">
        <v>74</v>
      </c>
      <c r="Z785" s="14" t="s">
        <v>74</v>
      </c>
      <c r="AB785" s="19"/>
      <c r="AC785" s="20"/>
      <c r="AD785" s="19"/>
      <c r="AE785" s="98"/>
    </row>
    <row r="786" spans="1:31" x14ac:dyDescent="0.3">
      <c r="A786" s="107">
        <v>786</v>
      </c>
      <c r="B786" s="46">
        <v>45729</v>
      </c>
      <c r="D786" s="13" t="s">
        <v>242</v>
      </c>
      <c r="E786" s="13" t="s">
        <v>51</v>
      </c>
      <c r="F786" s="13" t="s">
        <v>967</v>
      </c>
      <c r="G786" s="14" t="s">
        <v>396</v>
      </c>
      <c r="H786" s="14">
        <v>4311822</v>
      </c>
      <c r="I786" s="14" t="s">
        <v>1454</v>
      </c>
      <c r="K786" s="21"/>
      <c r="L786" s="21"/>
      <c r="Q786" s="14" t="s">
        <v>6</v>
      </c>
      <c r="R786" s="14" t="s">
        <v>122</v>
      </c>
      <c r="T786" s="15">
        <v>85.67</v>
      </c>
      <c r="U786" s="15"/>
      <c r="V786" s="15">
        <f>+Tabla1[[#This Row],[PAGO MENSUAL]]*12</f>
        <v>1028.04</v>
      </c>
      <c r="W786" s="17" t="s">
        <v>1050</v>
      </c>
      <c r="X786" s="14" t="s">
        <v>1042</v>
      </c>
      <c r="Y786" s="14" t="s">
        <v>74</v>
      </c>
      <c r="Z786" s="14" t="s">
        <v>74</v>
      </c>
      <c r="AB786" s="19"/>
      <c r="AC786" s="20"/>
      <c r="AD786" s="19"/>
      <c r="AE786" s="98"/>
    </row>
    <row r="787" spans="1:31" x14ac:dyDescent="0.3">
      <c r="A787" s="108">
        <v>787</v>
      </c>
      <c r="B787" s="46">
        <v>45729</v>
      </c>
      <c r="D787" s="13" t="s">
        <v>242</v>
      </c>
      <c r="E787" s="13" t="s">
        <v>51</v>
      </c>
      <c r="F787" s="13" t="s">
        <v>52</v>
      </c>
      <c r="G787" s="14" t="s">
        <v>483</v>
      </c>
      <c r="H787" s="14">
        <v>4311733</v>
      </c>
      <c r="I787" s="14" t="s">
        <v>1455</v>
      </c>
      <c r="K787" s="21"/>
      <c r="L787" s="21"/>
      <c r="Q787" s="14" t="s">
        <v>6</v>
      </c>
      <c r="R787" s="14" t="s">
        <v>277</v>
      </c>
      <c r="T787" s="15">
        <v>158.52000000000001</v>
      </c>
      <c r="U787" s="15"/>
      <c r="V787" s="15">
        <f>+Tabla1[[#This Row],[PAGO MENSUAL]]*12</f>
        <v>1902.2400000000002</v>
      </c>
      <c r="W787" s="17" t="s">
        <v>1050</v>
      </c>
      <c r="X787" s="14" t="s">
        <v>1042</v>
      </c>
      <c r="AB787" s="19"/>
      <c r="AC787" s="20"/>
      <c r="AD787" s="19"/>
      <c r="AE787" s="98"/>
    </row>
    <row r="788" spans="1:31" x14ac:dyDescent="0.3">
      <c r="A788" s="105">
        <v>788</v>
      </c>
      <c r="B788" s="46">
        <v>45730</v>
      </c>
      <c r="D788" s="13" t="s">
        <v>242</v>
      </c>
      <c r="E788" s="13" t="s">
        <v>51</v>
      </c>
      <c r="F788" s="13" t="s">
        <v>66</v>
      </c>
      <c r="G788" s="14" t="s">
        <v>218</v>
      </c>
      <c r="H788" s="14">
        <v>4311884</v>
      </c>
      <c r="I788" s="14" t="s">
        <v>1456</v>
      </c>
      <c r="K788" s="21"/>
      <c r="L788" s="21"/>
      <c r="Q788" s="14" t="s">
        <v>395</v>
      </c>
      <c r="R788" s="14" t="s">
        <v>1458</v>
      </c>
      <c r="T788" s="15">
        <v>91.55</v>
      </c>
      <c r="U788" s="15"/>
      <c r="V788" s="15">
        <f>+Tabla1[[#This Row],[PAGO MENSUAL]]*12</f>
        <v>1098.5999999999999</v>
      </c>
      <c r="W788" s="17" t="s">
        <v>1452</v>
      </c>
      <c r="X788" s="14" t="s">
        <v>1067</v>
      </c>
      <c r="AB788" s="19"/>
      <c r="AC788" s="20"/>
      <c r="AD788" s="19"/>
      <c r="AE788" s="98"/>
    </row>
    <row r="789" spans="1:31" x14ac:dyDescent="0.3">
      <c r="A789" s="107">
        <v>789</v>
      </c>
      <c r="B789" s="46">
        <v>45730</v>
      </c>
      <c r="D789" s="13" t="s">
        <v>242</v>
      </c>
      <c r="E789" s="13" t="s">
        <v>51</v>
      </c>
      <c r="F789" s="13" t="s">
        <v>967</v>
      </c>
      <c r="G789" s="14" t="s">
        <v>1607</v>
      </c>
      <c r="H789" s="14">
        <v>16787</v>
      </c>
      <c r="I789" s="14" t="s">
        <v>1494</v>
      </c>
      <c r="K789" s="21"/>
      <c r="L789" s="21"/>
      <c r="M789" s="14" t="s">
        <v>700</v>
      </c>
      <c r="N789" s="14" t="s">
        <v>70</v>
      </c>
      <c r="Q789" s="14" t="s">
        <v>307</v>
      </c>
      <c r="R789" s="14" t="s">
        <v>177</v>
      </c>
      <c r="T789" s="15">
        <v>54.74</v>
      </c>
      <c r="U789" s="15"/>
      <c r="V789" s="15">
        <f>+Tabla1[[#This Row],[PAGO MENSUAL]]*12</f>
        <v>656.88</v>
      </c>
      <c r="W789" s="17" t="s">
        <v>1463</v>
      </c>
      <c r="X789" s="14" t="s">
        <v>1042</v>
      </c>
      <c r="AB789" s="19"/>
      <c r="AC789" s="20"/>
      <c r="AD789" s="19"/>
      <c r="AE789" s="98"/>
    </row>
    <row r="790" spans="1:31" x14ac:dyDescent="0.3">
      <c r="A790" s="107">
        <v>790</v>
      </c>
      <c r="B790" s="46">
        <v>45730</v>
      </c>
      <c r="D790" s="13" t="s">
        <v>242</v>
      </c>
      <c r="E790" s="13" t="s">
        <v>51</v>
      </c>
      <c r="F790" s="13" t="s">
        <v>66</v>
      </c>
      <c r="G790" s="14" t="s">
        <v>218</v>
      </c>
      <c r="H790" s="14">
        <v>16785</v>
      </c>
      <c r="I790" s="14" t="s">
        <v>1471</v>
      </c>
      <c r="K790" s="21"/>
      <c r="L790" s="21"/>
      <c r="M790" s="14" t="s">
        <v>700</v>
      </c>
      <c r="N790" s="14" t="s">
        <v>70</v>
      </c>
      <c r="Q790" s="14" t="s">
        <v>307</v>
      </c>
      <c r="R790" s="14" t="s">
        <v>177</v>
      </c>
      <c r="T790" s="15">
        <v>207.51</v>
      </c>
      <c r="U790" s="15"/>
      <c r="V790" s="15">
        <f>+Tabla1[[#This Row],[PAGO MENSUAL]]*12</f>
        <v>2490.12</v>
      </c>
      <c r="W790" s="17" t="s">
        <v>1463</v>
      </c>
      <c r="X790" s="14" t="s">
        <v>1042</v>
      </c>
      <c r="Y790" s="14" t="s">
        <v>74</v>
      </c>
      <c r="Z790" s="14" t="s">
        <v>74</v>
      </c>
      <c r="AB790" s="19"/>
      <c r="AC790" s="20"/>
      <c r="AD790" s="19"/>
      <c r="AE790" s="98"/>
    </row>
    <row r="791" spans="1:31" x14ac:dyDescent="0.3">
      <c r="A791" s="108">
        <v>791</v>
      </c>
      <c r="B791" s="46">
        <v>45730</v>
      </c>
      <c r="D791" s="13" t="s">
        <v>242</v>
      </c>
      <c r="E791" s="13" t="s">
        <v>51</v>
      </c>
      <c r="F791" s="13" t="s">
        <v>66</v>
      </c>
      <c r="G791" s="14" t="s">
        <v>15</v>
      </c>
      <c r="H791" s="14">
        <v>16803</v>
      </c>
      <c r="I791" s="14" t="s">
        <v>1459</v>
      </c>
      <c r="K791" s="21"/>
      <c r="L791" s="21"/>
      <c r="M791" s="14" t="s">
        <v>700</v>
      </c>
      <c r="N791" s="14" t="s">
        <v>70</v>
      </c>
      <c r="Q791" s="14" t="s">
        <v>307</v>
      </c>
      <c r="R791" s="14" t="s">
        <v>232</v>
      </c>
      <c r="T791" s="15">
        <v>120.92</v>
      </c>
      <c r="U791" s="15"/>
      <c r="V791" s="15">
        <f>+Tabla1[[#This Row],[PAGO MENSUAL]]*12</f>
        <v>1451.04</v>
      </c>
      <c r="W791" s="17" t="s">
        <v>1463</v>
      </c>
      <c r="X791" s="14" t="s">
        <v>1067</v>
      </c>
      <c r="AB791" s="19"/>
      <c r="AC791" s="20"/>
      <c r="AD791" s="19"/>
      <c r="AE791" s="98"/>
    </row>
    <row r="792" spans="1:31" x14ac:dyDescent="0.3">
      <c r="A792" s="105">
        <v>792</v>
      </c>
      <c r="B792" s="46">
        <v>45730</v>
      </c>
      <c r="D792" s="13" t="s">
        <v>242</v>
      </c>
      <c r="E792" s="13" t="s">
        <v>51</v>
      </c>
      <c r="F792" s="13" t="s">
        <v>66</v>
      </c>
      <c r="G792" s="14" t="s">
        <v>175</v>
      </c>
      <c r="H792" s="14">
        <v>16788</v>
      </c>
      <c r="I792" s="14" t="s">
        <v>1468</v>
      </c>
      <c r="K792" s="21"/>
      <c r="L792" s="21"/>
      <c r="M792" s="14" t="s">
        <v>700</v>
      </c>
      <c r="N792" s="14" t="s">
        <v>70</v>
      </c>
      <c r="Q792" s="14" t="s">
        <v>307</v>
      </c>
      <c r="R792" s="14" t="s">
        <v>177</v>
      </c>
      <c r="T792" s="15">
        <v>64.45</v>
      </c>
      <c r="U792" s="15"/>
      <c r="V792" s="15">
        <f>+Tabla1[[#This Row],[PAGO MENSUAL]]*12</f>
        <v>773.40000000000009</v>
      </c>
      <c r="W792" s="17" t="s">
        <v>1463</v>
      </c>
      <c r="X792" s="14" t="s">
        <v>1042</v>
      </c>
      <c r="AB792" s="19"/>
      <c r="AC792" s="20"/>
      <c r="AD792" s="19"/>
      <c r="AE792" s="98"/>
    </row>
    <row r="793" spans="1:31" x14ac:dyDescent="0.3">
      <c r="A793" s="107">
        <v>793</v>
      </c>
      <c r="B793" s="46">
        <v>45731</v>
      </c>
      <c r="C793" s="46">
        <v>45748</v>
      </c>
      <c r="D793" s="13" t="s">
        <v>242</v>
      </c>
      <c r="E793" s="13" t="s">
        <v>51</v>
      </c>
      <c r="F793" s="13" t="s">
        <v>52</v>
      </c>
      <c r="G793" s="14" t="s">
        <v>483</v>
      </c>
      <c r="H793" s="14" t="s">
        <v>1534</v>
      </c>
      <c r="I793" s="14" t="s">
        <v>1535</v>
      </c>
      <c r="K793" s="21"/>
      <c r="L793" s="21"/>
      <c r="M793" s="14" t="s">
        <v>700</v>
      </c>
      <c r="N793" s="14" t="s">
        <v>70</v>
      </c>
      <c r="Q793" s="14" t="s">
        <v>3</v>
      </c>
      <c r="R793" s="14" t="s">
        <v>64</v>
      </c>
      <c r="T793" s="15">
        <v>97.19</v>
      </c>
      <c r="U793" s="15"/>
      <c r="V793" s="15">
        <f>+Tabla1[[#This Row],[PAGO MENSUAL]]*12</f>
        <v>1166.28</v>
      </c>
      <c r="W793" s="17" t="s">
        <v>1536</v>
      </c>
      <c r="X793" s="14" t="s">
        <v>1042</v>
      </c>
      <c r="Y793" s="14" t="s">
        <v>74</v>
      </c>
      <c r="Z793" s="14" t="s">
        <v>74</v>
      </c>
      <c r="AB793" s="19"/>
      <c r="AC793" s="20"/>
      <c r="AD793" s="19"/>
      <c r="AE793" s="98"/>
    </row>
    <row r="794" spans="1:31" x14ac:dyDescent="0.3">
      <c r="A794" s="108">
        <v>794</v>
      </c>
      <c r="B794" s="46">
        <v>45732</v>
      </c>
      <c r="D794" s="13" t="s">
        <v>242</v>
      </c>
      <c r="E794" s="13" t="s">
        <v>51</v>
      </c>
      <c r="F794" s="13" t="s">
        <v>66</v>
      </c>
      <c r="G794" s="14" t="s">
        <v>175</v>
      </c>
      <c r="H794" s="14" t="s">
        <v>1469</v>
      </c>
      <c r="I794" s="14" t="s">
        <v>1468</v>
      </c>
      <c r="K794" s="21"/>
      <c r="L794" s="21"/>
      <c r="Q794" s="14" t="s">
        <v>3</v>
      </c>
      <c r="R794" s="14" t="s">
        <v>64</v>
      </c>
      <c r="T794" s="15">
        <f>837.36/12</f>
        <v>69.78</v>
      </c>
      <c r="U794" s="15"/>
      <c r="V794" s="15">
        <f>+Tabla1[[#This Row],[PAGO MENSUAL]]*12</f>
        <v>837.36</v>
      </c>
      <c r="X794" s="14" t="s">
        <v>1067</v>
      </c>
      <c r="AB794" s="19"/>
      <c r="AC794" s="20"/>
      <c r="AD794" s="19"/>
      <c r="AE794" s="98"/>
    </row>
    <row r="795" spans="1:31" x14ac:dyDescent="0.3">
      <c r="A795" s="105">
        <v>795</v>
      </c>
      <c r="B795" s="46">
        <v>45733</v>
      </c>
      <c r="D795" s="13" t="s">
        <v>242</v>
      </c>
      <c r="E795" s="13" t="s">
        <v>51</v>
      </c>
      <c r="F795" s="13" t="s">
        <v>1012</v>
      </c>
      <c r="G795" s="14" t="s">
        <v>14</v>
      </c>
      <c r="H795" s="14">
        <v>4311976</v>
      </c>
      <c r="I795" s="14" t="s">
        <v>1475</v>
      </c>
      <c r="K795" s="21"/>
      <c r="L795" s="21"/>
      <c r="Q795" s="14" t="s">
        <v>6</v>
      </c>
      <c r="R795" s="14" t="s">
        <v>277</v>
      </c>
      <c r="T795" s="15">
        <v>287.67</v>
      </c>
      <c r="U795" s="15"/>
      <c r="V795" s="15">
        <f>+Tabla1[[#This Row],[PAGO MENSUAL]]*12</f>
        <v>3452.04</v>
      </c>
      <c r="X795" s="14" t="s">
        <v>1042</v>
      </c>
      <c r="AB795" s="19"/>
      <c r="AC795" s="20"/>
      <c r="AD795" s="19"/>
      <c r="AE795" s="98"/>
    </row>
    <row r="796" spans="1:31" x14ac:dyDescent="0.3">
      <c r="A796" s="107">
        <v>796</v>
      </c>
      <c r="B796" s="46">
        <v>45734</v>
      </c>
      <c r="D796" s="13" t="s">
        <v>242</v>
      </c>
      <c r="E796" s="13" t="s">
        <v>51</v>
      </c>
      <c r="F796" s="13" t="s">
        <v>66</v>
      </c>
      <c r="G796" s="14" t="s">
        <v>12</v>
      </c>
      <c r="H796" s="14" t="s">
        <v>1466</v>
      </c>
      <c r="I796" s="14" t="s">
        <v>1464</v>
      </c>
      <c r="K796" s="21"/>
      <c r="L796" s="21"/>
      <c r="M796" s="14" t="s">
        <v>700</v>
      </c>
      <c r="N796" s="14" t="s">
        <v>70</v>
      </c>
      <c r="Q796" s="14" t="s">
        <v>3</v>
      </c>
      <c r="R796" s="14" t="s">
        <v>64</v>
      </c>
      <c r="T796" s="15">
        <f>394.56/12</f>
        <v>32.880000000000003</v>
      </c>
      <c r="U796" s="15"/>
      <c r="V796" s="15">
        <f>+Tabla1[[#This Row],[PAGO MENSUAL]]*12</f>
        <v>394.56000000000006</v>
      </c>
      <c r="W796" s="17" t="s">
        <v>1452</v>
      </c>
      <c r="X796" s="14" t="s">
        <v>1067</v>
      </c>
      <c r="AB796" s="19"/>
      <c r="AC796" s="20"/>
      <c r="AD796" s="19"/>
      <c r="AE796" s="98"/>
    </row>
    <row r="797" spans="1:31" x14ac:dyDescent="0.3">
      <c r="A797" s="107">
        <v>797</v>
      </c>
      <c r="B797" s="46">
        <v>45734</v>
      </c>
      <c r="D797" s="13" t="s">
        <v>242</v>
      </c>
      <c r="E797" s="13" t="s">
        <v>51</v>
      </c>
      <c r="F797" s="13" t="s">
        <v>66</v>
      </c>
      <c r="G797" s="14" t="s">
        <v>12</v>
      </c>
      <c r="H797" s="14" t="s">
        <v>1467</v>
      </c>
      <c r="I797" s="14" t="s">
        <v>1465</v>
      </c>
      <c r="K797" s="21"/>
      <c r="L797" s="21"/>
      <c r="M797" s="14" t="s">
        <v>700</v>
      </c>
      <c r="N797" s="14" t="s">
        <v>70</v>
      </c>
      <c r="Q797" s="14" t="s">
        <v>3</v>
      </c>
      <c r="R797" s="14" t="s">
        <v>64</v>
      </c>
      <c r="T797" s="15">
        <f>433.44/12</f>
        <v>36.119999999999997</v>
      </c>
      <c r="U797" s="15"/>
      <c r="V797" s="15">
        <f>+Tabla1[[#This Row],[PAGO MENSUAL]]*12</f>
        <v>433.43999999999994</v>
      </c>
      <c r="W797" s="17" t="s">
        <v>1452</v>
      </c>
      <c r="X797" s="14" t="s">
        <v>1067</v>
      </c>
      <c r="AB797" s="19"/>
      <c r="AC797" s="20"/>
      <c r="AD797" s="19"/>
      <c r="AE797" s="98"/>
    </row>
    <row r="798" spans="1:31" x14ac:dyDescent="0.3">
      <c r="A798" s="108">
        <v>798</v>
      </c>
      <c r="B798" s="46">
        <v>45734</v>
      </c>
      <c r="D798" s="13" t="s">
        <v>242</v>
      </c>
      <c r="E798" s="13" t="s">
        <v>51</v>
      </c>
      <c r="F798" s="13" t="s">
        <v>66</v>
      </c>
      <c r="G798" s="14" t="s">
        <v>166</v>
      </c>
      <c r="H798" s="14">
        <v>16805</v>
      </c>
      <c r="I798" s="14" t="s">
        <v>1498</v>
      </c>
      <c r="K798" s="21"/>
      <c r="L798" s="21"/>
      <c r="M798" s="14" t="s">
        <v>700</v>
      </c>
      <c r="N798" s="14" t="s">
        <v>70</v>
      </c>
      <c r="Q798" s="14" t="s">
        <v>307</v>
      </c>
      <c r="R798" s="14" t="s">
        <v>232</v>
      </c>
      <c r="T798" s="15">
        <v>92.1</v>
      </c>
      <c r="U798" s="15"/>
      <c r="V798" s="15">
        <f>+Tabla1[[#This Row],[PAGO MENSUAL]]*12</f>
        <v>1105.1999999999998</v>
      </c>
      <c r="W798" s="17" t="s">
        <v>1463</v>
      </c>
      <c r="X798" s="14" t="s">
        <v>1042</v>
      </c>
      <c r="Y798" s="14" t="s">
        <v>74</v>
      </c>
      <c r="Z798" s="14" t="s">
        <v>74</v>
      </c>
      <c r="AB798" s="19"/>
      <c r="AC798" s="20"/>
      <c r="AD798" s="19"/>
      <c r="AE798" s="98"/>
    </row>
    <row r="799" spans="1:31" x14ac:dyDescent="0.3">
      <c r="A799" s="105">
        <v>799</v>
      </c>
      <c r="B799" s="46">
        <v>45735</v>
      </c>
      <c r="D799" s="13" t="s">
        <v>242</v>
      </c>
      <c r="E799" s="13" t="s">
        <v>51</v>
      </c>
      <c r="F799" s="13" t="s">
        <v>52</v>
      </c>
      <c r="G799" s="14" t="s">
        <v>819</v>
      </c>
      <c r="H799" s="14" t="s">
        <v>1472</v>
      </c>
      <c r="I799" s="14" t="s">
        <v>1473</v>
      </c>
      <c r="K799" s="21"/>
      <c r="L799" s="21"/>
      <c r="M799" s="14" t="s">
        <v>88</v>
      </c>
      <c r="N799" s="14" t="s">
        <v>108</v>
      </c>
      <c r="Q799" s="14" t="s">
        <v>4</v>
      </c>
      <c r="R799" s="14" t="s">
        <v>935</v>
      </c>
      <c r="T799" s="15">
        <v>2892.5</v>
      </c>
      <c r="U799" s="15"/>
      <c r="V799" s="15">
        <v>2892.5</v>
      </c>
      <c r="W799" s="17" t="s">
        <v>1474</v>
      </c>
      <c r="X799" s="14" t="s">
        <v>1067</v>
      </c>
      <c r="AB799" s="19"/>
      <c r="AC799" s="20"/>
      <c r="AD799" s="19"/>
      <c r="AE799" s="98"/>
    </row>
    <row r="800" spans="1:31" x14ac:dyDescent="0.3">
      <c r="A800" s="107">
        <v>800</v>
      </c>
      <c r="B800" s="46">
        <v>45735</v>
      </c>
      <c r="D800" s="13" t="s">
        <v>242</v>
      </c>
      <c r="E800" s="13" t="s">
        <v>51</v>
      </c>
      <c r="F800" s="13" t="s">
        <v>66</v>
      </c>
      <c r="G800" s="14" t="s">
        <v>1023</v>
      </c>
      <c r="H800" s="14">
        <v>4312043</v>
      </c>
      <c r="I800" s="14" t="s">
        <v>1476</v>
      </c>
      <c r="K800" s="21"/>
      <c r="L800" s="21"/>
      <c r="M800" s="14" t="s">
        <v>700</v>
      </c>
      <c r="N800" s="14" t="s">
        <v>70</v>
      </c>
      <c r="Q800" s="14" t="s">
        <v>6</v>
      </c>
      <c r="R800" s="14" t="s">
        <v>1081</v>
      </c>
      <c r="T800" s="15">
        <v>130.84</v>
      </c>
      <c r="U800" s="15"/>
      <c r="V800" s="15">
        <f>+Tabla1[[#This Row],[PAGO MENSUAL]]*12</f>
        <v>1570.08</v>
      </c>
      <c r="W800" s="17" t="s">
        <v>1477</v>
      </c>
      <c r="X800" s="14" t="s">
        <v>1042</v>
      </c>
      <c r="AB800" s="19"/>
      <c r="AC800" s="20"/>
      <c r="AD800" s="19"/>
      <c r="AE800" s="98"/>
    </row>
    <row r="801" spans="1:31" x14ac:dyDescent="0.3">
      <c r="A801" s="108">
        <v>801</v>
      </c>
      <c r="B801" s="46">
        <v>45735</v>
      </c>
      <c r="D801" s="13" t="s">
        <v>242</v>
      </c>
      <c r="E801" s="13" t="s">
        <v>51</v>
      </c>
      <c r="F801" s="13" t="s">
        <v>66</v>
      </c>
      <c r="G801" s="14" t="s">
        <v>1023</v>
      </c>
      <c r="H801" s="14">
        <v>4311999</v>
      </c>
      <c r="I801" s="14" t="s">
        <v>1478</v>
      </c>
      <c r="K801" s="21"/>
      <c r="L801" s="21"/>
      <c r="M801" s="14" t="s">
        <v>700</v>
      </c>
      <c r="N801" s="14" t="s">
        <v>70</v>
      </c>
      <c r="P801" s="14" t="s">
        <v>1042</v>
      </c>
      <c r="Q801" s="14" t="s">
        <v>6</v>
      </c>
      <c r="R801" s="14" t="s">
        <v>1081</v>
      </c>
      <c r="T801" s="15">
        <v>133.87</v>
      </c>
      <c r="U801" s="15"/>
      <c r="V801" s="15">
        <f>+Tabla1[[#This Row],[PAGO MENSUAL]]*12</f>
        <v>1606.44</v>
      </c>
      <c r="W801" s="17" t="s">
        <v>1477</v>
      </c>
      <c r="X801" s="14" t="s">
        <v>1042</v>
      </c>
      <c r="AB801" s="19"/>
      <c r="AC801" s="20"/>
      <c r="AD801" s="19"/>
      <c r="AE801" s="98"/>
    </row>
    <row r="802" spans="1:31" x14ac:dyDescent="0.3">
      <c r="A802" s="105">
        <v>802</v>
      </c>
      <c r="B802" s="46">
        <v>45735</v>
      </c>
      <c r="D802" s="13" t="s">
        <v>242</v>
      </c>
      <c r="E802" s="13" t="s">
        <v>51</v>
      </c>
      <c r="F802" s="13" t="s">
        <v>66</v>
      </c>
      <c r="G802" s="14" t="s">
        <v>18</v>
      </c>
      <c r="H802" s="14">
        <v>4312146</v>
      </c>
      <c r="I802" s="14" t="s">
        <v>1482</v>
      </c>
      <c r="K802" s="21"/>
      <c r="L802" s="21"/>
      <c r="M802" s="14" t="s">
        <v>700</v>
      </c>
      <c r="N802" s="14" t="s">
        <v>70</v>
      </c>
      <c r="Q802" s="14" t="s">
        <v>6</v>
      </c>
      <c r="R802" s="14" t="s">
        <v>122</v>
      </c>
      <c r="T802" s="15">
        <v>85.67</v>
      </c>
      <c r="U802" s="15"/>
      <c r="V802" s="15">
        <f>+Tabla1[[#This Row],[PAGO MENSUAL]]*12</f>
        <v>1028.04</v>
      </c>
      <c r="W802" s="17" t="s">
        <v>1452</v>
      </c>
      <c r="X802" s="14" t="s">
        <v>1042</v>
      </c>
      <c r="Y802" s="14" t="s">
        <v>74</v>
      </c>
      <c r="Z802" s="14" t="s">
        <v>74</v>
      </c>
      <c r="AB802" s="19"/>
      <c r="AC802" s="20"/>
      <c r="AD802" s="19"/>
      <c r="AE802" s="98"/>
    </row>
    <row r="803" spans="1:31" x14ac:dyDescent="0.3">
      <c r="A803" s="107">
        <v>803</v>
      </c>
      <c r="B803" s="46">
        <v>45735</v>
      </c>
      <c r="D803" s="13" t="s">
        <v>242</v>
      </c>
      <c r="E803" s="13" t="s">
        <v>65</v>
      </c>
      <c r="F803" s="13" t="s">
        <v>66</v>
      </c>
      <c r="G803" s="14" t="s">
        <v>20</v>
      </c>
      <c r="I803" s="14" t="s">
        <v>1441</v>
      </c>
      <c r="K803" s="21"/>
      <c r="L803" s="21"/>
      <c r="Q803" s="14" t="s">
        <v>307</v>
      </c>
      <c r="T803" s="15"/>
      <c r="U803" s="15"/>
      <c r="V803" s="15">
        <f>+Tabla1[[#This Row],[PAGO MENSUAL]]*12</f>
        <v>0</v>
      </c>
      <c r="X803" s="14" t="s">
        <v>1067</v>
      </c>
      <c r="AB803" s="19"/>
      <c r="AC803" s="20"/>
      <c r="AD803" s="19"/>
      <c r="AE803" s="98"/>
    </row>
    <row r="804" spans="1:31" x14ac:dyDescent="0.3">
      <c r="A804" s="107">
        <v>804</v>
      </c>
      <c r="B804" s="46">
        <v>45735</v>
      </c>
      <c r="D804" s="13" t="s">
        <v>242</v>
      </c>
      <c r="E804" s="13" t="s">
        <v>51</v>
      </c>
      <c r="F804" s="13" t="s">
        <v>66</v>
      </c>
      <c r="G804" s="14" t="s">
        <v>218</v>
      </c>
      <c r="H804" s="14">
        <v>4312176</v>
      </c>
      <c r="I804" s="14" t="s">
        <v>1489</v>
      </c>
      <c r="K804" s="21"/>
      <c r="L804" s="21"/>
      <c r="Q804" s="14" t="s">
        <v>6</v>
      </c>
      <c r="R804" s="14" t="s">
        <v>902</v>
      </c>
      <c r="T804" s="15">
        <v>73.73</v>
      </c>
      <c r="U804" s="15"/>
      <c r="V804" s="15">
        <f>+Tabla1[[#This Row],[PAGO MENSUAL]]*12</f>
        <v>884.76</v>
      </c>
      <c r="W804" s="17" t="s">
        <v>1452</v>
      </c>
      <c r="X804" s="14" t="s">
        <v>1042</v>
      </c>
      <c r="AB804" s="19"/>
      <c r="AC804" s="20"/>
      <c r="AD804" s="19"/>
      <c r="AE804" s="98"/>
    </row>
    <row r="805" spans="1:31" x14ac:dyDescent="0.3">
      <c r="A805" s="105">
        <v>805</v>
      </c>
      <c r="B805" s="46">
        <v>45735</v>
      </c>
      <c r="D805" s="13" t="s">
        <v>242</v>
      </c>
      <c r="E805" s="13" t="s">
        <v>51</v>
      </c>
      <c r="F805" s="13" t="s">
        <v>52</v>
      </c>
      <c r="G805" s="14" t="s">
        <v>819</v>
      </c>
      <c r="H805" s="14">
        <v>136552</v>
      </c>
      <c r="I805" s="14" t="s">
        <v>1491</v>
      </c>
      <c r="K805" s="21"/>
      <c r="L805" s="21"/>
      <c r="M805" s="14" t="s">
        <v>88</v>
      </c>
      <c r="N805" s="14" t="s">
        <v>70</v>
      </c>
      <c r="Q805" s="14" t="s">
        <v>55</v>
      </c>
      <c r="R805" s="14" t="s">
        <v>405</v>
      </c>
      <c r="T805" s="15">
        <v>236.25</v>
      </c>
      <c r="U805" s="15"/>
      <c r="V805" s="15">
        <f>+Tabla1[[#This Row],[PAGO MENSUAL]]*12</f>
        <v>2835</v>
      </c>
      <c r="X805" s="14" t="s">
        <v>1042</v>
      </c>
      <c r="AB805" s="19"/>
      <c r="AC805" s="20"/>
      <c r="AD805" s="19"/>
      <c r="AE805" s="98"/>
    </row>
    <row r="806" spans="1:31" x14ac:dyDescent="0.3">
      <c r="A806" s="108">
        <v>806</v>
      </c>
      <c r="B806" s="46">
        <v>45736</v>
      </c>
      <c r="D806" s="13" t="s">
        <v>242</v>
      </c>
      <c r="E806" s="13" t="s">
        <v>51</v>
      </c>
      <c r="F806" s="13" t="s">
        <v>66</v>
      </c>
      <c r="G806" s="14" t="s">
        <v>218</v>
      </c>
      <c r="H806" s="14">
        <v>4312256</v>
      </c>
      <c r="I806" s="14" t="s">
        <v>1134</v>
      </c>
      <c r="K806" s="21"/>
      <c r="L806" s="21"/>
      <c r="M806" s="14" t="s">
        <v>700</v>
      </c>
      <c r="N806" s="14" t="s">
        <v>70</v>
      </c>
      <c r="Q806" s="14" t="s">
        <v>6</v>
      </c>
      <c r="R806" s="14" t="s">
        <v>683</v>
      </c>
      <c r="T806" s="15">
        <v>17.11</v>
      </c>
      <c r="U806" s="15"/>
      <c r="V806" s="15">
        <f>+Tabla1[[#This Row],[PAGO MENSUAL]]*12</f>
        <v>205.32</v>
      </c>
      <c r="W806" s="17" t="s">
        <v>1452</v>
      </c>
      <c r="X806" s="14" t="s">
        <v>1042</v>
      </c>
      <c r="AB806" s="19"/>
      <c r="AC806" s="20"/>
      <c r="AD806" s="19"/>
      <c r="AE806" s="98"/>
    </row>
    <row r="807" spans="1:31" x14ac:dyDescent="0.3">
      <c r="A807" s="105">
        <v>807</v>
      </c>
      <c r="B807" s="46">
        <v>45736</v>
      </c>
      <c r="D807" s="13" t="s">
        <v>242</v>
      </c>
      <c r="E807" s="13" t="s">
        <v>51</v>
      </c>
      <c r="F807" s="13" t="s">
        <v>52</v>
      </c>
      <c r="G807" s="14" t="s">
        <v>466</v>
      </c>
      <c r="H807" s="14">
        <v>16824</v>
      </c>
      <c r="I807" s="14" t="s">
        <v>1483</v>
      </c>
      <c r="K807" s="21"/>
      <c r="L807" s="21"/>
      <c r="Q807" s="14" t="s">
        <v>307</v>
      </c>
      <c r="R807" s="14" t="s">
        <v>232</v>
      </c>
      <c r="T807" s="15">
        <v>82.14</v>
      </c>
      <c r="U807" s="15"/>
      <c r="V807" s="15">
        <f>+Tabla1[[#This Row],[PAGO MENSUAL]]*12</f>
        <v>985.68000000000006</v>
      </c>
      <c r="W807" s="17" t="s">
        <v>1066</v>
      </c>
      <c r="X807" s="14" t="s">
        <v>1042</v>
      </c>
      <c r="Y807" s="14" t="s">
        <v>74</v>
      </c>
      <c r="Z807" s="14" t="s">
        <v>74</v>
      </c>
      <c r="AB807" s="19"/>
      <c r="AC807" s="20"/>
      <c r="AD807" s="19"/>
      <c r="AE807" s="98"/>
    </row>
    <row r="808" spans="1:31" x14ac:dyDescent="0.3">
      <c r="A808" s="107">
        <v>808</v>
      </c>
      <c r="B808" s="46">
        <v>45736</v>
      </c>
      <c r="D808" s="13" t="s">
        <v>242</v>
      </c>
      <c r="E808" s="13" t="s">
        <v>51</v>
      </c>
      <c r="F808" s="13" t="s">
        <v>66</v>
      </c>
      <c r="G808" s="14" t="s">
        <v>20</v>
      </c>
      <c r="H808" s="14">
        <v>16807</v>
      </c>
      <c r="I808" s="14" t="s">
        <v>1484</v>
      </c>
      <c r="K808" s="21"/>
      <c r="L808" s="21"/>
      <c r="M808" s="14" t="s">
        <v>700</v>
      </c>
      <c r="N808" s="14" t="s">
        <v>70</v>
      </c>
      <c r="Q808" s="14" t="s">
        <v>307</v>
      </c>
      <c r="R808" s="14" t="s">
        <v>177</v>
      </c>
      <c r="T808" s="15">
        <v>50.51</v>
      </c>
      <c r="U808" s="15"/>
      <c r="V808" s="15">
        <f>+Tabla1[[#This Row],[PAGO MENSUAL]]*12</f>
        <v>606.12</v>
      </c>
      <c r="W808" s="17" t="s">
        <v>1463</v>
      </c>
      <c r="X808" s="14" t="s">
        <v>1042</v>
      </c>
      <c r="Y808" s="14" t="s">
        <v>74</v>
      </c>
      <c r="Z808" s="14" t="s">
        <v>74</v>
      </c>
      <c r="AB808" s="19"/>
      <c r="AC808" s="20"/>
      <c r="AD808" s="19"/>
      <c r="AE808" s="98"/>
    </row>
    <row r="809" spans="1:31" x14ac:dyDescent="0.3">
      <c r="A809" s="108">
        <v>809</v>
      </c>
      <c r="B809" s="46">
        <v>45736</v>
      </c>
      <c r="D809" s="13" t="s">
        <v>242</v>
      </c>
      <c r="E809" s="13" t="s">
        <v>51</v>
      </c>
      <c r="F809" s="13" t="s">
        <v>66</v>
      </c>
      <c r="G809" s="14" t="s">
        <v>790</v>
      </c>
      <c r="H809" s="14">
        <v>16808</v>
      </c>
      <c r="I809" s="14" t="s">
        <v>1485</v>
      </c>
      <c r="K809" s="21"/>
      <c r="L809" s="21"/>
      <c r="M809" s="14" t="s">
        <v>700</v>
      </c>
      <c r="N809" s="14" t="s">
        <v>70</v>
      </c>
      <c r="Q809" s="14" t="s">
        <v>307</v>
      </c>
      <c r="R809" s="14" t="s">
        <v>177</v>
      </c>
      <c r="T809" s="15">
        <v>94.87</v>
      </c>
      <c r="U809" s="15"/>
      <c r="V809" s="15">
        <f>+Tabla1[[#This Row],[PAGO MENSUAL]]*12</f>
        <v>1138.44</v>
      </c>
      <c r="W809" s="17" t="s">
        <v>1463</v>
      </c>
      <c r="X809" s="14" t="s">
        <v>1042</v>
      </c>
      <c r="Y809" s="14" t="s">
        <v>74</v>
      </c>
      <c r="Z809" s="14" t="s">
        <v>74</v>
      </c>
      <c r="AB809" s="19"/>
      <c r="AC809" s="20"/>
      <c r="AD809" s="19"/>
      <c r="AE809" s="98"/>
    </row>
    <row r="810" spans="1:31" x14ac:dyDescent="0.3">
      <c r="A810" s="105">
        <v>810</v>
      </c>
      <c r="B810" s="46">
        <v>45736</v>
      </c>
      <c r="D810" s="13" t="s">
        <v>242</v>
      </c>
      <c r="E810" s="13" t="s">
        <v>51</v>
      </c>
      <c r="F810" s="13" t="s">
        <v>52</v>
      </c>
      <c r="G810" s="14" t="s">
        <v>483</v>
      </c>
      <c r="H810" s="14">
        <v>4312316</v>
      </c>
      <c r="I810" s="14" t="s">
        <v>1486</v>
      </c>
      <c r="K810" s="21"/>
      <c r="L810" s="21"/>
      <c r="M810" s="14" t="s">
        <v>700</v>
      </c>
      <c r="N810" s="14" t="s">
        <v>70</v>
      </c>
      <c r="Q810" s="14" t="s">
        <v>6</v>
      </c>
      <c r="R810" s="14" t="s">
        <v>1026</v>
      </c>
      <c r="T810" s="15">
        <v>134.05000000000001</v>
      </c>
      <c r="U810" s="15"/>
      <c r="V810" s="15">
        <f>+Tabla1[[#This Row],[PAGO MENSUAL]]*12</f>
        <v>1608.6000000000001</v>
      </c>
      <c r="W810" s="17" t="s">
        <v>1477</v>
      </c>
      <c r="X810" s="14" t="s">
        <v>1042</v>
      </c>
      <c r="AB810" s="19"/>
      <c r="AC810" s="20"/>
      <c r="AD810" s="19"/>
      <c r="AE810" s="98"/>
    </row>
    <row r="811" spans="1:31" x14ac:dyDescent="0.3">
      <c r="A811" s="107">
        <v>811</v>
      </c>
      <c r="B811" s="46">
        <v>45736</v>
      </c>
      <c r="D811" s="13" t="s">
        <v>242</v>
      </c>
      <c r="E811" s="13" t="s">
        <v>51</v>
      </c>
      <c r="F811" s="13" t="s">
        <v>1012</v>
      </c>
      <c r="G811" s="14" t="s">
        <v>14</v>
      </c>
      <c r="I811" s="14" t="s">
        <v>1487</v>
      </c>
      <c r="K811" s="21"/>
      <c r="L811" s="21"/>
      <c r="Q811" s="14" t="s">
        <v>702</v>
      </c>
      <c r="R811" s="14" t="s">
        <v>1088</v>
      </c>
      <c r="T811" s="15">
        <v>25</v>
      </c>
      <c r="U811" s="15"/>
      <c r="V811" s="15">
        <f>+Tabla1[[#This Row],[PAGO MENSUAL]]*12</f>
        <v>300</v>
      </c>
      <c r="W811" s="17" t="s">
        <v>1121</v>
      </c>
      <c r="X811" s="14" t="s">
        <v>1067</v>
      </c>
      <c r="AB811" s="19"/>
      <c r="AC811" s="20"/>
      <c r="AD811" s="19"/>
      <c r="AE811" s="98"/>
    </row>
    <row r="812" spans="1:31" x14ac:dyDescent="0.3">
      <c r="A812" s="107">
        <v>812</v>
      </c>
      <c r="B812" s="46">
        <v>45737</v>
      </c>
      <c r="D812" s="13" t="s">
        <v>242</v>
      </c>
      <c r="E812" s="13" t="s">
        <v>51</v>
      </c>
      <c r="F812" s="13" t="s">
        <v>1440</v>
      </c>
      <c r="G812" s="14" t="s">
        <v>861</v>
      </c>
      <c r="H812" s="14">
        <v>25306452</v>
      </c>
      <c r="I812" s="14" t="s">
        <v>1512</v>
      </c>
      <c r="K812" s="21"/>
      <c r="L812" s="21"/>
      <c r="M812" s="14" t="s">
        <v>88</v>
      </c>
      <c r="N812" s="14" t="s">
        <v>108</v>
      </c>
      <c r="Q812" s="14" t="s">
        <v>455</v>
      </c>
      <c r="R812" s="14" t="s">
        <v>456</v>
      </c>
      <c r="T812" s="15">
        <v>4913.79</v>
      </c>
      <c r="U812" s="15"/>
      <c r="V812" s="15">
        <v>4913.79</v>
      </c>
      <c r="W812" s="17" t="s">
        <v>1513</v>
      </c>
      <c r="X812" s="14" t="s">
        <v>1042</v>
      </c>
      <c r="AB812" s="19"/>
      <c r="AC812" s="20"/>
      <c r="AD812" s="19"/>
      <c r="AE812" s="98"/>
    </row>
    <row r="813" spans="1:31" x14ac:dyDescent="0.3">
      <c r="A813" s="108">
        <v>813</v>
      </c>
      <c r="B813" s="46">
        <v>45737</v>
      </c>
      <c r="D813" s="13" t="s">
        <v>242</v>
      </c>
      <c r="E813" s="13" t="s">
        <v>51</v>
      </c>
      <c r="F813" s="13" t="s">
        <v>66</v>
      </c>
      <c r="G813" s="14" t="s">
        <v>262</v>
      </c>
      <c r="H813" s="14">
        <v>48990</v>
      </c>
      <c r="I813" s="14" t="s">
        <v>1539</v>
      </c>
      <c r="K813" s="21"/>
      <c r="L813" s="21"/>
      <c r="M813" s="14" t="s">
        <v>700</v>
      </c>
      <c r="N813" s="14" t="s">
        <v>70</v>
      </c>
      <c r="Q813" s="14" t="s">
        <v>748</v>
      </c>
      <c r="R813" s="14" t="s">
        <v>512</v>
      </c>
      <c r="T813" s="15">
        <v>41.41</v>
      </c>
      <c r="U813" s="15"/>
      <c r="V813" s="15">
        <f>+Tabla1[[#This Row],[PAGO MENSUAL]]*12</f>
        <v>496.91999999999996</v>
      </c>
      <c r="W813" s="17" t="s">
        <v>1066</v>
      </c>
      <c r="X813" s="14" t="s">
        <v>1042</v>
      </c>
      <c r="Y813" s="14" t="s">
        <v>74</v>
      </c>
      <c r="Z813" s="14" t="s">
        <v>74</v>
      </c>
      <c r="AB813" s="19"/>
      <c r="AC813" s="20"/>
      <c r="AD813" s="19"/>
      <c r="AE813" s="98"/>
    </row>
    <row r="814" spans="1:31" x14ac:dyDescent="0.3">
      <c r="A814" s="105">
        <v>814</v>
      </c>
      <c r="B814" s="46">
        <v>45740</v>
      </c>
      <c r="D814" s="13" t="s">
        <v>242</v>
      </c>
      <c r="E814" s="13" t="s">
        <v>51</v>
      </c>
      <c r="F814" s="13" t="s">
        <v>52</v>
      </c>
      <c r="G814" s="14" t="s">
        <v>912</v>
      </c>
      <c r="H814" s="14">
        <v>16825</v>
      </c>
      <c r="I814" s="14" t="s">
        <v>1499</v>
      </c>
      <c r="K814" s="21"/>
      <c r="L814" s="21"/>
      <c r="M814" s="14" t="s">
        <v>700</v>
      </c>
      <c r="N814" s="14" t="s">
        <v>70</v>
      </c>
      <c r="Q814" s="14" t="s">
        <v>307</v>
      </c>
      <c r="R814" s="14" t="s">
        <v>177</v>
      </c>
      <c r="T814" s="15">
        <v>68.34</v>
      </c>
      <c r="U814" s="15"/>
      <c r="V814" s="15">
        <f>+Tabla1[[#This Row],[PAGO MENSUAL]]*12</f>
        <v>820.08</v>
      </c>
      <c r="W814" s="17" t="s">
        <v>1463</v>
      </c>
      <c r="X814" s="14" t="s">
        <v>1042</v>
      </c>
      <c r="Y814" s="14" t="s">
        <v>74</v>
      </c>
      <c r="Z814" s="14" t="s">
        <v>74</v>
      </c>
      <c r="AB814" s="19"/>
      <c r="AC814" s="20"/>
      <c r="AD814" s="19"/>
      <c r="AE814" s="98"/>
    </row>
    <row r="815" spans="1:31" x14ac:dyDescent="0.3">
      <c r="A815" s="107">
        <v>815</v>
      </c>
      <c r="B815" s="46">
        <v>45740</v>
      </c>
      <c r="D815" s="13" t="s">
        <v>242</v>
      </c>
      <c r="E815" s="13" t="s">
        <v>51</v>
      </c>
      <c r="F815" s="13" t="s">
        <v>967</v>
      </c>
      <c r="G815" s="14" t="s">
        <v>396</v>
      </c>
      <c r="H815" s="14">
        <v>16878</v>
      </c>
      <c r="I815" s="14" t="s">
        <v>1509</v>
      </c>
      <c r="K815" s="21"/>
      <c r="L815" s="21"/>
      <c r="M815" s="14" t="s">
        <v>700</v>
      </c>
      <c r="N815" s="14" t="s">
        <v>70</v>
      </c>
      <c r="Q815" s="14" t="s">
        <v>307</v>
      </c>
      <c r="R815" s="14" t="s">
        <v>177</v>
      </c>
      <c r="T815" s="15">
        <v>64.45</v>
      </c>
      <c r="U815" s="15"/>
      <c r="V815" s="15">
        <f>+Tabla1[[#This Row],[PAGO MENSUAL]]*12</f>
        <v>773.40000000000009</v>
      </c>
      <c r="W815" s="17" t="s">
        <v>1463</v>
      </c>
      <c r="X815" s="14" t="s">
        <v>1042</v>
      </c>
      <c r="Y815" s="14" t="s">
        <v>74</v>
      </c>
      <c r="AB815" s="19"/>
      <c r="AC815" s="20"/>
      <c r="AD815" s="19"/>
      <c r="AE815" s="98"/>
    </row>
    <row r="816" spans="1:31" x14ac:dyDescent="0.3">
      <c r="A816" s="108">
        <v>816</v>
      </c>
      <c r="B816" s="46">
        <v>45741</v>
      </c>
      <c r="C816" s="46">
        <v>45741</v>
      </c>
      <c r="D816" s="13" t="s">
        <v>242</v>
      </c>
      <c r="E816" s="13" t="s">
        <v>51</v>
      </c>
      <c r="F816" s="13" t="s">
        <v>967</v>
      </c>
      <c r="G816" s="14" t="s">
        <v>1607</v>
      </c>
      <c r="H816" s="14" t="s">
        <v>1495</v>
      </c>
      <c r="I816" s="14" t="s">
        <v>1059</v>
      </c>
      <c r="K816" s="21"/>
      <c r="L816" s="21"/>
      <c r="M816" s="14" t="s">
        <v>88</v>
      </c>
      <c r="N816" s="14" t="s">
        <v>70</v>
      </c>
      <c r="Q816" s="14" t="s">
        <v>3</v>
      </c>
      <c r="R816" s="14" t="s">
        <v>64</v>
      </c>
      <c r="T816" s="15">
        <v>30.92</v>
      </c>
      <c r="U816" s="15"/>
      <c r="V816" s="15">
        <f>+Tabla1[[#This Row],[PAGO MENSUAL]]*12</f>
        <v>371.04</v>
      </c>
      <c r="W816" s="17" t="s">
        <v>1496</v>
      </c>
      <c r="X816" s="14" t="s">
        <v>1042</v>
      </c>
      <c r="AB816" s="19"/>
      <c r="AC816" s="20"/>
      <c r="AD816" s="19"/>
      <c r="AE816" s="98"/>
    </row>
    <row r="817" spans="1:31" x14ac:dyDescent="0.3">
      <c r="A817" s="105">
        <v>817</v>
      </c>
      <c r="B817" s="46">
        <v>45742</v>
      </c>
      <c r="D817" s="13" t="s">
        <v>242</v>
      </c>
      <c r="E817" s="13" t="s">
        <v>51</v>
      </c>
      <c r="F817" s="13" t="s">
        <v>1012</v>
      </c>
      <c r="G817" s="14" t="s">
        <v>14</v>
      </c>
      <c r="I817" s="14" t="s">
        <v>1532</v>
      </c>
      <c r="K817" s="21"/>
      <c r="L817" s="21"/>
      <c r="N817" s="14" t="s">
        <v>1544</v>
      </c>
      <c r="Q817" s="14" t="s">
        <v>4</v>
      </c>
      <c r="T817" s="15"/>
      <c r="U817" s="15"/>
      <c r="V817" s="15">
        <f>+Tabla1[[#This Row],[PAGO MENSUAL]]*12</f>
        <v>0</v>
      </c>
      <c r="X817" s="14" t="s">
        <v>1067</v>
      </c>
      <c r="AB817" s="19"/>
      <c r="AC817" s="20"/>
      <c r="AD817" s="19"/>
      <c r="AE817" s="98"/>
    </row>
    <row r="818" spans="1:31" x14ac:dyDescent="0.3">
      <c r="A818" s="107">
        <v>818</v>
      </c>
      <c r="B818" s="46">
        <v>45742</v>
      </c>
      <c r="C818" s="46">
        <v>45748</v>
      </c>
      <c r="D818" s="13" t="s">
        <v>242</v>
      </c>
      <c r="E818" s="13" t="s">
        <v>51</v>
      </c>
      <c r="F818" s="13" t="s">
        <v>967</v>
      </c>
      <c r="G818" s="14" t="s">
        <v>1607</v>
      </c>
      <c r="H818" s="14">
        <v>23306542</v>
      </c>
      <c r="I818" s="14" t="s">
        <v>1545</v>
      </c>
      <c r="K818" s="21"/>
      <c r="L818" s="21"/>
      <c r="M818" s="14" t="s">
        <v>88</v>
      </c>
      <c r="N818" s="14" t="s">
        <v>108</v>
      </c>
      <c r="Q818" s="14" t="s">
        <v>455</v>
      </c>
      <c r="R818" s="14" t="s">
        <v>456</v>
      </c>
      <c r="T818" s="15">
        <v>2187.33</v>
      </c>
      <c r="U818" s="15"/>
      <c r="V818" s="15">
        <v>2187.33</v>
      </c>
      <c r="W818" s="17" t="s">
        <v>1452</v>
      </c>
      <c r="X818" s="14" t="s">
        <v>1042</v>
      </c>
      <c r="Y818" s="14" t="s">
        <v>74</v>
      </c>
      <c r="Z818" s="14" t="s">
        <v>74</v>
      </c>
      <c r="AB818" s="19"/>
      <c r="AC818" s="20"/>
      <c r="AD818" s="19"/>
      <c r="AE818" s="98"/>
    </row>
    <row r="819" spans="1:31" x14ac:dyDescent="0.3">
      <c r="A819" s="107">
        <v>819</v>
      </c>
      <c r="B819" s="46">
        <v>45742</v>
      </c>
      <c r="D819" s="13" t="s">
        <v>242</v>
      </c>
      <c r="E819" s="13" t="s">
        <v>51</v>
      </c>
      <c r="F819" s="13" t="s">
        <v>967</v>
      </c>
      <c r="G819" s="14" t="s">
        <v>1607</v>
      </c>
      <c r="H819" s="14">
        <v>5008354</v>
      </c>
      <c r="I819" s="14" t="s">
        <v>1546</v>
      </c>
      <c r="K819" s="21"/>
      <c r="L819" s="21"/>
      <c r="M819" s="14" t="s">
        <v>700</v>
      </c>
      <c r="N819" s="14" t="s">
        <v>70</v>
      </c>
      <c r="Q819" s="14" t="s">
        <v>6</v>
      </c>
      <c r="R819" s="14" t="s">
        <v>1547</v>
      </c>
      <c r="T819" s="15">
        <v>3355.81</v>
      </c>
      <c r="U819" s="15"/>
      <c r="V819" s="15">
        <f>+Tabla1[[#This Row],[PAGO MENSUAL]]*12</f>
        <v>40269.72</v>
      </c>
      <c r="W819" s="17" t="s">
        <v>1548</v>
      </c>
      <c r="X819" s="14" t="s">
        <v>1042</v>
      </c>
      <c r="Y819" s="14" t="s">
        <v>74</v>
      </c>
      <c r="Z819" s="14" t="s">
        <v>74</v>
      </c>
      <c r="AB819" s="19"/>
      <c r="AC819" s="20"/>
      <c r="AD819" s="19"/>
      <c r="AE819" s="98"/>
    </row>
    <row r="820" spans="1:31" x14ac:dyDescent="0.3">
      <c r="A820" s="108">
        <v>820</v>
      </c>
      <c r="B820" s="46">
        <v>45742</v>
      </c>
      <c r="D820" s="13" t="s">
        <v>242</v>
      </c>
      <c r="E820" s="13" t="s">
        <v>51</v>
      </c>
      <c r="F820" s="13" t="s">
        <v>52</v>
      </c>
      <c r="G820" s="14" t="s">
        <v>860</v>
      </c>
      <c r="H820" s="14" t="s">
        <v>1562</v>
      </c>
      <c r="I820" s="14" t="s">
        <v>1563</v>
      </c>
      <c r="K820" s="21"/>
      <c r="L820" s="21"/>
      <c r="M820" s="14" t="s">
        <v>88</v>
      </c>
      <c r="N820" s="14" t="s">
        <v>70</v>
      </c>
      <c r="Q820" s="14" t="s">
        <v>3</v>
      </c>
      <c r="R820" s="14" t="s">
        <v>64</v>
      </c>
      <c r="T820" s="15">
        <f>3275.59/12</f>
        <v>272.96583333333336</v>
      </c>
      <c r="U820" s="15"/>
      <c r="V820" s="15">
        <f>+Tabla1[[#This Row],[PAGO MENSUAL]]*12</f>
        <v>3275.59</v>
      </c>
      <c r="W820" s="17" t="s">
        <v>1496</v>
      </c>
      <c r="X820" s="14" t="s">
        <v>1042</v>
      </c>
      <c r="Y820" s="14" t="s">
        <v>74</v>
      </c>
      <c r="Z820" s="14" t="s">
        <v>74</v>
      </c>
      <c r="AB820" s="19"/>
      <c r="AC820" s="20"/>
      <c r="AD820" s="19"/>
      <c r="AE820" s="98"/>
    </row>
    <row r="821" spans="1:31" x14ac:dyDescent="0.3">
      <c r="A821" s="105">
        <v>821</v>
      </c>
      <c r="B821" s="46">
        <v>45743</v>
      </c>
      <c r="D821" s="13" t="s">
        <v>242</v>
      </c>
      <c r="E821" s="13" t="s">
        <v>51</v>
      </c>
      <c r="F821" s="13" t="s">
        <v>1440</v>
      </c>
      <c r="G821" s="14" t="s">
        <v>566</v>
      </c>
      <c r="H821" s="14">
        <v>4312772</v>
      </c>
      <c r="I821" s="14" t="s">
        <v>1490</v>
      </c>
      <c r="K821" s="21"/>
      <c r="L821" s="21"/>
      <c r="M821" s="14" t="s">
        <v>700</v>
      </c>
      <c r="N821" s="14" t="s">
        <v>70</v>
      </c>
      <c r="Q821" s="14" t="s">
        <v>6</v>
      </c>
      <c r="R821" s="14" t="s">
        <v>352</v>
      </c>
      <c r="T821" s="15">
        <v>131.29</v>
      </c>
      <c r="U821" s="15"/>
      <c r="V821" s="15">
        <f>+Tabla1[[#This Row],[PAGO MENSUAL]]*12</f>
        <v>1575.48</v>
      </c>
      <c r="W821" s="17" t="s">
        <v>1050</v>
      </c>
      <c r="X821" s="14" t="s">
        <v>1042</v>
      </c>
      <c r="Y821" s="14" t="s">
        <v>74</v>
      </c>
      <c r="Z821" s="14" t="s">
        <v>74</v>
      </c>
      <c r="AB821" s="19"/>
      <c r="AC821" s="20"/>
      <c r="AD821" s="19"/>
      <c r="AE821" s="98"/>
    </row>
    <row r="822" spans="1:31" x14ac:dyDescent="0.3">
      <c r="A822" s="107">
        <v>822</v>
      </c>
      <c r="B822" s="46">
        <v>45743</v>
      </c>
      <c r="D822" s="13" t="s">
        <v>242</v>
      </c>
      <c r="E822" s="13" t="s">
        <v>51</v>
      </c>
      <c r="F822" s="13" t="s">
        <v>1012</v>
      </c>
      <c r="G822" s="14" t="s">
        <v>14</v>
      </c>
      <c r="H822" s="14">
        <v>16851</v>
      </c>
      <c r="I822" s="14" t="s">
        <v>1501</v>
      </c>
      <c r="K822" s="21"/>
      <c r="L822" s="21"/>
      <c r="M822" s="14" t="s">
        <v>700</v>
      </c>
      <c r="N822" s="14" t="s">
        <v>70</v>
      </c>
      <c r="Q822" s="14" t="s">
        <v>307</v>
      </c>
      <c r="R822" s="14" t="s">
        <v>318</v>
      </c>
      <c r="T822" s="15">
        <v>80.56</v>
      </c>
      <c r="U822" s="15"/>
      <c r="V822" s="15">
        <f>+Tabla1[[#This Row],[PAGO MENSUAL]]*12</f>
        <v>966.72</v>
      </c>
      <c r="W822" s="17" t="s">
        <v>1497</v>
      </c>
      <c r="X822" s="14" t="s">
        <v>1042</v>
      </c>
      <c r="Y822" s="14" t="s">
        <v>74</v>
      </c>
      <c r="Z822" s="14" t="s">
        <v>74</v>
      </c>
      <c r="AB822" s="19"/>
      <c r="AC822" s="20"/>
      <c r="AD822" s="19"/>
      <c r="AE822" s="98"/>
    </row>
    <row r="823" spans="1:31" x14ac:dyDescent="0.3">
      <c r="A823" s="108">
        <v>823</v>
      </c>
      <c r="B823" s="46">
        <v>45743</v>
      </c>
      <c r="D823" s="13" t="s">
        <v>242</v>
      </c>
      <c r="E823" s="13" t="s">
        <v>51</v>
      </c>
      <c r="F823" s="13" t="s">
        <v>52</v>
      </c>
      <c r="G823" s="14" t="s">
        <v>466</v>
      </c>
      <c r="H823" s="14">
        <v>4312628</v>
      </c>
      <c r="I823" s="14" t="s">
        <v>1502</v>
      </c>
      <c r="K823" s="21"/>
      <c r="L823" s="21"/>
      <c r="M823" s="14" t="s">
        <v>700</v>
      </c>
      <c r="N823" s="14" t="s">
        <v>70</v>
      </c>
      <c r="Q823" s="14" t="s">
        <v>6</v>
      </c>
      <c r="R823" s="14" t="s">
        <v>1503</v>
      </c>
      <c r="T823" s="15">
        <v>54.89</v>
      </c>
      <c r="U823" s="15"/>
      <c r="V823" s="15">
        <f>+Tabla1[[#This Row],[PAGO MENSUAL]]*12</f>
        <v>658.68000000000006</v>
      </c>
      <c r="X823" s="14" t="s">
        <v>1042</v>
      </c>
      <c r="AB823" s="19"/>
      <c r="AC823" s="20"/>
      <c r="AD823" s="19"/>
      <c r="AE823" s="98"/>
    </row>
    <row r="824" spans="1:31" x14ac:dyDescent="0.3">
      <c r="A824" s="105">
        <v>824</v>
      </c>
      <c r="B824" s="46">
        <v>45744</v>
      </c>
      <c r="D824" s="13" t="s">
        <v>242</v>
      </c>
      <c r="E824" s="13" t="s">
        <v>51</v>
      </c>
      <c r="F824" s="13" t="s">
        <v>993</v>
      </c>
      <c r="G824" s="14" t="s">
        <v>459</v>
      </c>
      <c r="H824" s="14">
        <v>16843</v>
      </c>
      <c r="I824" s="14" t="s">
        <v>1492</v>
      </c>
      <c r="K824" s="21"/>
      <c r="L824" s="21"/>
      <c r="M824" s="14" t="s">
        <v>88</v>
      </c>
      <c r="N824" s="14" t="s">
        <v>70</v>
      </c>
      <c r="Q824" s="14" t="s">
        <v>307</v>
      </c>
      <c r="R824" s="14" t="s">
        <v>232</v>
      </c>
      <c r="T824" s="15">
        <v>58.95</v>
      </c>
      <c r="U824" s="15"/>
      <c r="V824" s="15">
        <f>+Tabla1[[#This Row],[PAGO MENSUAL]]*12</f>
        <v>707.40000000000009</v>
      </c>
      <c r="W824" s="17" t="s">
        <v>1463</v>
      </c>
      <c r="X824" s="14" t="s">
        <v>1042</v>
      </c>
      <c r="Y824" s="14" t="s">
        <v>74</v>
      </c>
      <c r="Z824" s="14" t="s">
        <v>74</v>
      </c>
      <c r="AB824" s="19"/>
      <c r="AC824" s="20"/>
      <c r="AD824" s="19"/>
      <c r="AE824" s="98"/>
    </row>
    <row r="825" spans="1:31" x14ac:dyDescent="0.3">
      <c r="A825" s="107">
        <v>825</v>
      </c>
      <c r="B825" s="46">
        <v>45744</v>
      </c>
      <c r="D825" s="13" t="s">
        <v>242</v>
      </c>
      <c r="E825" s="13" t="s">
        <v>51</v>
      </c>
      <c r="F825" s="13" t="s">
        <v>1006</v>
      </c>
      <c r="G825" s="14" t="s">
        <v>11</v>
      </c>
      <c r="H825" s="14">
        <v>4313155</v>
      </c>
      <c r="I825" s="14" t="s">
        <v>359</v>
      </c>
      <c r="K825" s="21"/>
      <c r="L825" s="21"/>
      <c r="M825" s="14" t="s">
        <v>700</v>
      </c>
      <c r="N825" s="14" t="s">
        <v>70</v>
      </c>
      <c r="Q825" s="14" t="s">
        <v>6</v>
      </c>
      <c r="R825" s="14" t="s">
        <v>1538</v>
      </c>
      <c r="T825" s="15">
        <v>48.12</v>
      </c>
      <c r="U825" s="15"/>
      <c r="V825" s="15">
        <f>+Tabla1[[#This Row],[PAGO MENSUAL]]*12</f>
        <v>577.43999999999994</v>
      </c>
      <c r="W825" s="17" t="s">
        <v>1477</v>
      </c>
      <c r="X825" s="14" t="s">
        <v>1042</v>
      </c>
      <c r="Y825" s="14" t="s">
        <v>74</v>
      </c>
      <c r="Z825" s="14" t="s">
        <v>74</v>
      </c>
      <c r="AB825" s="19"/>
      <c r="AC825" s="20"/>
      <c r="AD825" s="19"/>
      <c r="AE825" s="98"/>
    </row>
    <row r="826" spans="1:31" x14ac:dyDescent="0.3">
      <c r="A826" s="107">
        <v>826</v>
      </c>
      <c r="B826" s="46">
        <v>45744</v>
      </c>
      <c r="D826" s="13" t="s">
        <v>242</v>
      </c>
      <c r="E826" s="13" t="s">
        <v>51</v>
      </c>
      <c r="F826" s="13" t="s">
        <v>66</v>
      </c>
      <c r="G826" s="14" t="s">
        <v>18</v>
      </c>
      <c r="H826" s="14">
        <v>16871</v>
      </c>
      <c r="I826" s="14" t="s">
        <v>1506</v>
      </c>
      <c r="K826" s="21"/>
      <c r="L826" s="21"/>
      <c r="M826" s="14" t="s">
        <v>700</v>
      </c>
      <c r="N826" s="14" t="s">
        <v>70</v>
      </c>
      <c r="P826" s="14" t="s">
        <v>74</v>
      </c>
      <c r="Q826" s="14" t="s">
        <v>307</v>
      </c>
      <c r="R826" s="14" t="s">
        <v>177</v>
      </c>
      <c r="T826" s="15">
        <v>119.19</v>
      </c>
      <c r="U826" s="15"/>
      <c r="V826" s="15">
        <f>+Tabla1[[#This Row],[PAGO MENSUAL]]*12</f>
        <v>1430.28</v>
      </c>
      <c r="W826" s="17" t="s">
        <v>1066</v>
      </c>
      <c r="X826" s="14" t="s">
        <v>1042</v>
      </c>
      <c r="Y826" s="14" t="s">
        <v>74</v>
      </c>
      <c r="Z826" s="14" t="s">
        <v>74</v>
      </c>
      <c r="AA826" s="18" t="s">
        <v>1604</v>
      </c>
      <c r="AB826" s="19"/>
      <c r="AC826" s="20"/>
      <c r="AD826" s="19"/>
      <c r="AE826" s="98"/>
    </row>
    <row r="827" spans="1:31" x14ac:dyDescent="0.3">
      <c r="A827" s="107">
        <v>827</v>
      </c>
      <c r="B827" s="46">
        <v>45747</v>
      </c>
      <c r="D827" s="13" t="s">
        <v>242</v>
      </c>
      <c r="E827" s="13" t="s">
        <v>51</v>
      </c>
      <c r="F827" s="13" t="s">
        <v>1440</v>
      </c>
      <c r="G827" s="14" t="s">
        <v>566</v>
      </c>
      <c r="H827" s="14">
        <v>4313420</v>
      </c>
      <c r="I827" s="14" t="s">
        <v>594</v>
      </c>
      <c r="K827" s="21"/>
      <c r="L827" s="21"/>
      <c r="M827" s="14" t="s">
        <v>700</v>
      </c>
      <c r="N827" s="14" t="s">
        <v>70</v>
      </c>
      <c r="Q827" s="14" t="s">
        <v>6</v>
      </c>
      <c r="R827" s="14" t="s">
        <v>683</v>
      </c>
      <c r="T827" s="15">
        <v>17.11</v>
      </c>
      <c r="U827" s="15"/>
      <c r="V827" s="15">
        <f>+Tabla1[[#This Row],[PAGO MENSUAL]]*12</f>
        <v>205.32</v>
      </c>
      <c r="W827" s="17" t="s">
        <v>1497</v>
      </c>
      <c r="X827" s="14" t="s">
        <v>1042</v>
      </c>
      <c r="Y827" s="14" t="s">
        <v>74</v>
      </c>
      <c r="Z827" s="14" t="s">
        <v>74</v>
      </c>
      <c r="AB827" s="19"/>
      <c r="AC827" s="20"/>
      <c r="AD827" s="19"/>
      <c r="AE827" s="98"/>
    </row>
    <row r="828" spans="1:31" x14ac:dyDescent="0.3">
      <c r="A828" s="108">
        <v>828</v>
      </c>
      <c r="B828" s="46">
        <v>45747</v>
      </c>
      <c r="D828" s="13" t="s">
        <v>242</v>
      </c>
      <c r="E828" s="13" t="s">
        <v>51</v>
      </c>
      <c r="F828" s="13" t="s">
        <v>52</v>
      </c>
      <c r="G828" s="14" t="s">
        <v>466</v>
      </c>
      <c r="H828" s="14">
        <v>16891</v>
      </c>
      <c r="I828" s="14" t="s">
        <v>1514</v>
      </c>
      <c r="K828" s="21"/>
      <c r="L828" s="21"/>
      <c r="M828" s="14" t="s">
        <v>700</v>
      </c>
      <c r="N828" s="14" t="s">
        <v>70</v>
      </c>
      <c r="Q828" s="14" t="s">
        <v>307</v>
      </c>
      <c r="R828" s="14" t="s">
        <v>169</v>
      </c>
      <c r="T828" s="15">
        <v>158.38</v>
      </c>
      <c r="U828" s="15"/>
      <c r="V828" s="15">
        <f>+Tabla1[[#This Row],[PAGO MENSUAL]]*12</f>
        <v>1900.56</v>
      </c>
      <c r="W828" s="17" t="s">
        <v>1463</v>
      </c>
      <c r="X828" s="14" t="s">
        <v>1042</v>
      </c>
      <c r="Y828" s="14" t="s">
        <v>74</v>
      </c>
      <c r="Z828" s="14" t="s">
        <v>74</v>
      </c>
      <c r="AB828" s="19"/>
      <c r="AC828" s="20"/>
      <c r="AD828" s="19"/>
      <c r="AE828" s="98"/>
    </row>
    <row r="829" spans="1:31" x14ac:dyDescent="0.3">
      <c r="A829" s="105">
        <v>829</v>
      </c>
      <c r="B829" s="46">
        <v>45747</v>
      </c>
      <c r="D829" s="13" t="s">
        <v>242</v>
      </c>
      <c r="E829" s="13" t="s">
        <v>51</v>
      </c>
      <c r="F829" s="13" t="s">
        <v>66</v>
      </c>
      <c r="G829" s="14" t="s">
        <v>218</v>
      </c>
      <c r="H829" s="14">
        <v>16895</v>
      </c>
      <c r="I829" s="14" t="s">
        <v>1518</v>
      </c>
      <c r="K829" s="21"/>
      <c r="L829" s="21"/>
      <c r="M829" s="14" t="s">
        <v>700</v>
      </c>
      <c r="N829" s="14" t="s">
        <v>70</v>
      </c>
      <c r="Q829" s="14" t="s">
        <v>307</v>
      </c>
      <c r="R829" s="14" t="s">
        <v>177</v>
      </c>
      <c r="T829" s="15">
        <v>118.85</v>
      </c>
      <c r="U829" s="15"/>
      <c r="V829" s="15">
        <f>+Tabla1[[#This Row],[PAGO MENSUAL]]*12</f>
        <v>1426.1999999999998</v>
      </c>
      <c r="W829" s="17" t="s">
        <v>1463</v>
      </c>
      <c r="X829" s="14" t="s">
        <v>1042</v>
      </c>
      <c r="AB829" s="19"/>
      <c r="AC829" s="20"/>
      <c r="AD829" s="19"/>
      <c r="AE829" s="98"/>
    </row>
    <row r="830" spans="1:31" x14ac:dyDescent="0.3">
      <c r="A830" s="107">
        <v>830</v>
      </c>
      <c r="B830" s="46">
        <v>45747</v>
      </c>
      <c r="D830" s="13" t="s">
        <v>242</v>
      </c>
      <c r="E830" s="13" t="s">
        <v>51</v>
      </c>
      <c r="F830" s="13" t="s">
        <v>967</v>
      </c>
      <c r="G830" s="14" t="s">
        <v>396</v>
      </c>
      <c r="H830" s="14">
        <v>16899</v>
      </c>
      <c r="I830" s="14" t="s">
        <v>1519</v>
      </c>
      <c r="K830" s="21"/>
      <c r="L830" s="21"/>
      <c r="M830" s="14" t="s">
        <v>700</v>
      </c>
      <c r="N830" s="14" t="s">
        <v>70</v>
      </c>
      <c r="Q830" s="14" t="s">
        <v>307</v>
      </c>
      <c r="R830" s="14" t="s">
        <v>177</v>
      </c>
      <c r="T830" s="15">
        <v>127.17</v>
      </c>
      <c r="U830" s="15"/>
      <c r="V830" s="15">
        <f>+Tabla1[[#This Row],[PAGO MENSUAL]]*12</f>
        <v>1526.04</v>
      </c>
      <c r="W830" s="17" t="s">
        <v>1463</v>
      </c>
      <c r="X830" s="14" t="s">
        <v>1042</v>
      </c>
      <c r="AB830" s="19"/>
      <c r="AC830" s="20"/>
      <c r="AD830" s="19"/>
      <c r="AE830" s="98"/>
    </row>
    <row r="831" spans="1:31" x14ac:dyDescent="0.3">
      <c r="A831" s="107">
        <v>831</v>
      </c>
      <c r="B831" s="46">
        <v>45747</v>
      </c>
      <c r="D831" s="13" t="s">
        <v>242</v>
      </c>
      <c r="E831" s="13" t="s">
        <v>51</v>
      </c>
      <c r="F831" s="13" t="s">
        <v>967</v>
      </c>
      <c r="G831" s="14" t="s">
        <v>396</v>
      </c>
      <c r="H831" s="14">
        <v>16893</v>
      </c>
      <c r="I831" s="14" t="s">
        <v>1520</v>
      </c>
      <c r="K831" s="21"/>
      <c r="L831" s="21"/>
      <c r="M831" s="14" t="s">
        <v>700</v>
      </c>
      <c r="N831" s="14" t="s">
        <v>70</v>
      </c>
      <c r="Q831" s="14" t="s">
        <v>5</v>
      </c>
      <c r="R831" s="14" t="s">
        <v>177</v>
      </c>
      <c r="T831" s="15">
        <v>102.26</v>
      </c>
      <c r="U831" s="15"/>
      <c r="V831" s="15">
        <f>+Tabla1[[#This Row],[PAGO MENSUAL]]*12</f>
        <v>1227.1200000000001</v>
      </c>
      <c r="W831" s="17" t="s">
        <v>1463</v>
      </c>
      <c r="X831" s="14" t="s">
        <v>1042</v>
      </c>
      <c r="AB831" s="19"/>
      <c r="AC831" s="20"/>
      <c r="AD831" s="19"/>
      <c r="AE831" s="98"/>
    </row>
    <row r="832" spans="1:31" x14ac:dyDescent="0.3">
      <c r="A832" s="107">
        <v>832</v>
      </c>
      <c r="B832" s="46">
        <v>45747</v>
      </c>
      <c r="D832" s="13" t="s">
        <v>242</v>
      </c>
      <c r="E832" s="13" t="s">
        <v>51</v>
      </c>
      <c r="F832" s="13" t="s">
        <v>52</v>
      </c>
      <c r="G832" s="14" t="s">
        <v>860</v>
      </c>
      <c r="H832" s="14">
        <v>16921</v>
      </c>
      <c r="I832" s="14" t="s">
        <v>1521</v>
      </c>
      <c r="K832" s="21"/>
      <c r="L832" s="21"/>
      <c r="M832" s="14" t="s">
        <v>700</v>
      </c>
      <c r="N832" s="14" t="s">
        <v>70</v>
      </c>
      <c r="Q832" s="14" t="s">
        <v>5</v>
      </c>
      <c r="R832" s="14" t="s">
        <v>177</v>
      </c>
      <c r="T832" s="15">
        <v>90.91</v>
      </c>
      <c r="U832" s="15"/>
      <c r="V832" s="15">
        <f>+Tabla1[[#This Row],[PAGO MENSUAL]]*12</f>
        <v>1090.92</v>
      </c>
      <c r="W832" s="17" t="s">
        <v>1463</v>
      </c>
      <c r="X832" s="14" t="s">
        <v>1042</v>
      </c>
      <c r="Y832" s="14" t="s">
        <v>74</v>
      </c>
      <c r="Z832" s="14" t="s">
        <v>74</v>
      </c>
      <c r="AB832" s="19"/>
      <c r="AC832" s="20"/>
      <c r="AD832" s="19"/>
      <c r="AE832" s="98"/>
    </row>
    <row r="833" spans="1:31" x14ac:dyDescent="0.3">
      <c r="A833" s="108">
        <v>833</v>
      </c>
      <c r="B833" s="46">
        <v>45747</v>
      </c>
      <c r="D833" s="13" t="s">
        <v>242</v>
      </c>
      <c r="E833" s="13" t="s">
        <v>51</v>
      </c>
      <c r="F833" s="13" t="s">
        <v>967</v>
      </c>
      <c r="G833" s="14" t="s">
        <v>396</v>
      </c>
      <c r="H833" s="14">
        <v>16896</v>
      </c>
      <c r="I833" s="14" t="s">
        <v>1522</v>
      </c>
      <c r="K833" s="21"/>
      <c r="L833" s="21"/>
      <c r="M833" s="14" t="s">
        <v>700</v>
      </c>
      <c r="N833" s="14" t="s">
        <v>70</v>
      </c>
      <c r="Q833" s="14" t="s">
        <v>5</v>
      </c>
      <c r="R833" s="14" t="s">
        <v>177</v>
      </c>
      <c r="T833" s="15">
        <v>62.06</v>
      </c>
      <c r="U833" s="15"/>
      <c r="V833" s="15">
        <f>+Tabla1[[#This Row],[PAGO MENSUAL]]*12</f>
        <v>744.72</v>
      </c>
      <c r="W833" s="17" t="s">
        <v>1463</v>
      </c>
      <c r="X833" s="14" t="s">
        <v>1042</v>
      </c>
      <c r="AB833" s="19"/>
      <c r="AC833" s="20"/>
      <c r="AD833" s="19"/>
      <c r="AE833" s="98"/>
    </row>
    <row r="834" spans="1:31" x14ac:dyDescent="0.3">
      <c r="A834" s="105">
        <v>834</v>
      </c>
      <c r="B834" s="46">
        <v>45747</v>
      </c>
      <c r="D834" s="13" t="s">
        <v>242</v>
      </c>
      <c r="E834" s="13" t="s">
        <v>51</v>
      </c>
      <c r="F834" s="13" t="s">
        <v>66</v>
      </c>
      <c r="G834" s="14" t="s">
        <v>240</v>
      </c>
      <c r="H834" s="14">
        <v>4313140</v>
      </c>
      <c r="I834" s="14" t="s">
        <v>1541</v>
      </c>
      <c r="K834" s="21"/>
      <c r="L834" s="21"/>
      <c r="M834" s="14" t="s">
        <v>88</v>
      </c>
      <c r="N834" s="14" t="s">
        <v>70</v>
      </c>
      <c r="Q834" s="14" t="s">
        <v>6</v>
      </c>
      <c r="R834" s="14" t="s">
        <v>1503</v>
      </c>
      <c r="T834" s="15">
        <v>126.39</v>
      </c>
      <c r="U834" s="15"/>
      <c r="V834" s="15">
        <f>+Tabla1[[#This Row],[PAGO MENSUAL]]*12</f>
        <v>1516.68</v>
      </c>
      <c r="W834" s="17" t="s">
        <v>1037</v>
      </c>
      <c r="X834" s="14" t="s">
        <v>1067</v>
      </c>
      <c r="Y834" s="14" t="s">
        <v>74</v>
      </c>
      <c r="Z834" s="14" t="s">
        <v>74</v>
      </c>
      <c r="AB834" s="19"/>
      <c r="AC834" s="20"/>
      <c r="AD834" s="19"/>
      <c r="AE834" s="98"/>
    </row>
    <row r="835" spans="1:31" x14ac:dyDescent="0.3">
      <c r="A835" s="107">
        <v>835</v>
      </c>
      <c r="B835" s="46">
        <v>45747</v>
      </c>
      <c r="D835" s="13" t="s">
        <v>242</v>
      </c>
      <c r="E835" s="13" t="s">
        <v>51</v>
      </c>
      <c r="F835" s="13" t="s">
        <v>66</v>
      </c>
      <c r="G835" s="14" t="s">
        <v>1023</v>
      </c>
      <c r="H835" s="14">
        <v>4313588</v>
      </c>
      <c r="I835" s="14" t="s">
        <v>1542</v>
      </c>
      <c r="K835" s="21"/>
      <c r="L835" s="21"/>
      <c r="M835" s="14" t="s">
        <v>700</v>
      </c>
      <c r="N835" s="14" t="s">
        <v>70</v>
      </c>
      <c r="Q835" s="14" t="s">
        <v>6</v>
      </c>
      <c r="R835" s="14" t="s">
        <v>203</v>
      </c>
      <c r="T835" s="15">
        <v>84.19</v>
      </c>
      <c r="U835" s="15"/>
      <c r="V835" s="15">
        <f>+Tabla1[[#This Row],[PAGO MENSUAL]]*12</f>
        <v>1010.28</v>
      </c>
      <c r="W835" s="17" t="s">
        <v>1050</v>
      </c>
      <c r="X835" s="14" t="s">
        <v>1042</v>
      </c>
      <c r="AB835" s="19"/>
      <c r="AC835" s="20"/>
      <c r="AD835" s="19"/>
      <c r="AE835" s="98"/>
    </row>
    <row r="836" spans="1:31" x14ac:dyDescent="0.3">
      <c r="A836" s="107">
        <v>836</v>
      </c>
      <c r="B836" s="46">
        <v>45747</v>
      </c>
      <c r="D836" s="13" t="s">
        <v>242</v>
      </c>
      <c r="E836" s="13" t="s">
        <v>51</v>
      </c>
      <c r="F836" s="13" t="s">
        <v>1012</v>
      </c>
      <c r="G836" s="14" t="s">
        <v>14</v>
      </c>
      <c r="I836" s="14" t="s">
        <v>1540</v>
      </c>
      <c r="K836" s="21"/>
      <c r="L836" s="21"/>
      <c r="Q836" s="14" t="s">
        <v>477</v>
      </c>
      <c r="T836" s="15"/>
      <c r="U836" s="15"/>
      <c r="V836" s="15">
        <f>+Tabla1[[#This Row],[PAGO MENSUAL]]*12</f>
        <v>0</v>
      </c>
      <c r="X836" s="14" t="s">
        <v>1067</v>
      </c>
      <c r="AB836" s="19"/>
      <c r="AC836" s="20"/>
      <c r="AD836" s="19"/>
      <c r="AE836" s="98"/>
    </row>
    <row r="837" spans="1:31" x14ac:dyDescent="0.3">
      <c r="A837" s="107">
        <v>837</v>
      </c>
      <c r="B837" s="46">
        <v>45747</v>
      </c>
      <c r="D837" s="13" t="s">
        <v>242</v>
      </c>
      <c r="E837" s="13" t="s">
        <v>51</v>
      </c>
      <c r="F837" s="13" t="s">
        <v>1012</v>
      </c>
      <c r="G837" s="14" t="s">
        <v>14</v>
      </c>
      <c r="I837" s="14" t="s">
        <v>702</v>
      </c>
      <c r="K837" s="21"/>
      <c r="L837" s="21"/>
      <c r="Q837" s="14" t="s">
        <v>702</v>
      </c>
      <c r="T837" s="15"/>
      <c r="U837" s="15"/>
      <c r="V837" s="15">
        <f>+Tabla1[[#This Row],[PAGO MENSUAL]]*12</f>
        <v>0</v>
      </c>
      <c r="X837" s="14" t="s">
        <v>1067</v>
      </c>
      <c r="AB837" s="19"/>
      <c r="AC837" s="20"/>
      <c r="AD837" s="19"/>
      <c r="AE837" s="98"/>
    </row>
    <row r="838" spans="1:31" x14ac:dyDescent="0.3">
      <c r="A838" s="108">
        <v>838</v>
      </c>
      <c r="B838" s="46">
        <v>45748</v>
      </c>
      <c r="D838" s="13" t="s">
        <v>185</v>
      </c>
      <c r="E838" s="13" t="s">
        <v>51</v>
      </c>
      <c r="F838" s="13" t="s">
        <v>66</v>
      </c>
      <c r="G838" s="14" t="s">
        <v>18</v>
      </c>
      <c r="H838" s="14" t="s">
        <v>1504</v>
      </c>
      <c r="I838" s="14" t="s">
        <v>1505</v>
      </c>
      <c r="K838" s="21"/>
      <c r="L838" s="21"/>
      <c r="M838" s="14" t="s">
        <v>88</v>
      </c>
      <c r="N838" s="14" t="s">
        <v>70</v>
      </c>
      <c r="Q838" s="14" t="s">
        <v>3</v>
      </c>
      <c r="R838" s="14" t="s">
        <v>64</v>
      </c>
      <c r="T838" s="15">
        <f>287.24/12</f>
        <v>23.936666666666667</v>
      </c>
      <c r="U838" s="15"/>
      <c r="V838" s="15">
        <f>+Tabla1[[#This Row],[PAGO MENSUAL]]*12</f>
        <v>287.24</v>
      </c>
      <c r="W838" s="17" t="s">
        <v>1508</v>
      </c>
      <c r="X838" s="14" t="s">
        <v>1042</v>
      </c>
      <c r="Y838" s="14" t="s">
        <v>74</v>
      </c>
      <c r="Z838" s="14" t="s">
        <v>74</v>
      </c>
      <c r="AB838" s="19"/>
      <c r="AC838" s="20"/>
      <c r="AD838" s="19"/>
      <c r="AE838" s="98"/>
    </row>
    <row r="839" spans="1:31" x14ac:dyDescent="0.3">
      <c r="A839" s="105">
        <v>839</v>
      </c>
      <c r="B839" s="46">
        <v>45748</v>
      </c>
      <c r="D839" s="13" t="s">
        <v>185</v>
      </c>
      <c r="E839" s="13" t="s">
        <v>51</v>
      </c>
      <c r="F839" s="13" t="s">
        <v>66</v>
      </c>
      <c r="G839" s="14" t="s">
        <v>18</v>
      </c>
      <c r="H839" s="14" t="s">
        <v>1507</v>
      </c>
      <c r="I839" s="14" t="s">
        <v>1506</v>
      </c>
      <c r="K839" s="21"/>
      <c r="L839" s="21"/>
      <c r="M839" s="14" t="s">
        <v>88</v>
      </c>
      <c r="N839" s="14" t="s">
        <v>70</v>
      </c>
      <c r="Q839" s="14" t="s">
        <v>3</v>
      </c>
      <c r="R839" s="14" t="s">
        <v>64</v>
      </c>
      <c r="T839" s="15">
        <f>513.41/12</f>
        <v>42.784166666666664</v>
      </c>
      <c r="U839" s="15"/>
      <c r="V839" s="15">
        <f>+Tabla1[[#This Row],[PAGO MENSUAL]]*12</f>
        <v>513.41</v>
      </c>
      <c r="W839" s="17" t="s">
        <v>1508</v>
      </c>
      <c r="X839" s="14" t="s">
        <v>1042</v>
      </c>
      <c r="Y839" s="14" t="s">
        <v>74</v>
      </c>
      <c r="Z839" s="14" t="s">
        <v>74</v>
      </c>
      <c r="AB839" s="19"/>
      <c r="AC839" s="20"/>
      <c r="AD839" s="19"/>
      <c r="AE839" s="98"/>
    </row>
    <row r="840" spans="1:31" x14ac:dyDescent="0.3">
      <c r="A840" s="107">
        <v>840</v>
      </c>
      <c r="B840" s="46">
        <v>45748</v>
      </c>
      <c r="D840" s="13" t="s">
        <v>185</v>
      </c>
      <c r="E840" s="13" t="s">
        <v>51</v>
      </c>
      <c r="F840" s="13" t="s">
        <v>967</v>
      </c>
      <c r="G840" s="14" t="s">
        <v>1607</v>
      </c>
      <c r="H840" s="14">
        <v>4313570</v>
      </c>
      <c r="I840" s="14" t="s">
        <v>1403</v>
      </c>
      <c r="K840" s="21"/>
      <c r="L840" s="21"/>
      <c r="M840" s="14" t="s">
        <v>700</v>
      </c>
      <c r="N840" s="14" t="s">
        <v>70</v>
      </c>
      <c r="Q840" s="14" t="s">
        <v>6</v>
      </c>
      <c r="R840" s="14" t="s">
        <v>229</v>
      </c>
      <c r="T840" s="15">
        <v>46.03</v>
      </c>
      <c r="U840" s="15"/>
      <c r="V840" s="15">
        <f>+Tabla1[[#This Row],[PAGO MENSUAL]]*12</f>
        <v>552.36</v>
      </c>
      <c r="W840" s="17" t="s">
        <v>1515</v>
      </c>
      <c r="X840" s="14" t="s">
        <v>1042</v>
      </c>
      <c r="Y840" s="14" t="s">
        <v>74</v>
      </c>
      <c r="Z840" s="14" t="s">
        <v>74</v>
      </c>
      <c r="AB840" s="19"/>
      <c r="AC840" s="20"/>
      <c r="AD840" s="19"/>
      <c r="AE840" s="98"/>
    </row>
    <row r="841" spans="1:31" x14ac:dyDescent="0.3">
      <c r="A841" s="107">
        <v>841</v>
      </c>
      <c r="B841" s="46">
        <v>45748</v>
      </c>
      <c r="D841" s="13" t="s">
        <v>185</v>
      </c>
      <c r="E841" s="13" t="s">
        <v>51</v>
      </c>
      <c r="F841" s="13" t="s">
        <v>967</v>
      </c>
      <c r="G841" s="14" t="s">
        <v>396</v>
      </c>
      <c r="H841" s="14">
        <v>4313634</v>
      </c>
      <c r="I841" s="14" t="s">
        <v>1516</v>
      </c>
      <c r="K841" s="21"/>
      <c r="L841" s="21"/>
      <c r="M841" s="14" t="s">
        <v>700</v>
      </c>
      <c r="N841" s="14" t="s">
        <v>70</v>
      </c>
      <c r="Q841" s="14" t="s">
        <v>395</v>
      </c>
      <c r="R841" s="14" t="s">
        <v>654</v>
      </c>
      <c r="T841" s="15">
        <v>187.54</v>
      </c>
      <c r="U841" s="15"/>
      <c r="V841" s="15">
        <f>+Tabla1[[#This Row],[PAGO MENSUAL]]*12</f>
        <v>2250.48</v>
      </c>
      <c r="W841" s="17" t="s">
        <v>1515</v>
      </c>
      <c r="X841" s="14" t="s">
        <v>1042</v>
      </c>
      <c r="Y841" s="14" t="s">
        <v>74</v>
      </c>
      <c r="Z841" s="14" t="s">
        <v>74</v>
      </c>
      <c r="AB841" s="19"/>
      <c r="AC841" s="20"/>
      <c r="AD841" s="19"/>
      <c r="AE841" s="98"/>
    </row>
    <row r="842" spans="1:31" x14ac:dyDescent="0.3">
      <c r="A842" s="107">
        <v>842</v>
      </c>
      <c r="B842" s="46">
        <v>45748</v>
      </c>
      <c r="D842" s="13" t="s">
        <v>185</v>
      </c>
      <c r="E842" s="13" t="s">
        <v>51</v>
      </c>
      <c r="F842" s="13" t="s">
        <v>52</v>
      </c>
      <c r="G842" s="14" t="s">
        <v>483</v>
      </c>
      <c r="H842" s="14">
        <v>4313616</v>
      </c>
      <c r="I842" s="14" t="s">
        <v>1537</v>
      </c>
      <c r="K842" s="21"/>
      <c r="L842" s="21"/>
      <c r="M842" s="14" t="s">
        <v>700</v>
      </c>
      <c r="N842" s="14" t="s">
        <v>70</v>
      </c>
      <c r="Q842" s="14" t="s">
        <v>6</v>
      </c>
      <c r="R842" s="14" t="s">
        <v>203</v>
      </c>
      <c r="T842" s="15">
        <v>189.43</v>
      </c>
      <c r="U842" s="15"/>
      <c r="V842" s="15">
        <f>+Tabla1[[#This Row],[PAGO MENSUAL]]*12</f>
        <v>2273.16</v>
      </c>
      <c r="W842" s="17" t="s">
        <v>1121</v>
      </c>
      <c r="X842" s="14" t="s">
        <v>1042</v>
      </c>
      <c r="Y842" s="14" t="s">
        <v>74</v>
      </c>
      <c r="Z842" s="14" t="s">
        <v>74</v>
      </c>
      <c r="AB842" s="19"/>
      <c r="AC842" s="20"/>
      <c r="AD842" s="19"/>
      <c r="AE842" s="98"/>
    </row>
    <row r="843" spans="1:31" x14ac:dyDescent="0.3">
      <c r="A843" s="108">
        <v>843</v>
      </c>
      <c r="B843" s="46">
        <v>45749</v>
      </c>
      <c r="D843" s="13" t="s">
        <v>185</v>
      </c>
      <c r="E843" s="13" t="s">
        <v>51</v>
      </c>
      <c r="F843" s="13" t="s">
        <v>1440</v>
      </c>
      <c r="G843" s="14" t="s">
        <v>566</v>
      </c>
      <c r="H843" s="14">
        <v>4313733</v>
      </c>
      <c r="I843" s="14" t="s">
        <v>1510</v>
      </c>
      <c r="K843" s="21"/>
      <c r="L843" s="21"/>
      <c r="M843" s="14" t="s">
        <v>700</v>
      </c>
      <c r="N843" s="14" t="s">
        <v>70</v>
      </c>
      <c r="Q843" s="14" t="s">
        <v>6</v>
      </c>
      <c r="R843" s="14" t="s">
        <v>229</v>
      </c>
      <c r="T843" s="15">
        <v>12.58</v>
      </c>
      <c r="U843" s="15"/>
      <c r="V843" s="15">
        <f>+Tabla1[[#This Row],[PAGO MENSUAL]]*12</f>
        <v>150.96</v>
      </c>
      <c r="W843" s="17" t="s">
        <v>1121</v>
      </c>
      <c r="X843" s="14" t="s">
        <v>1042</v>
      </c>
      <c r="AB843" s="19"/>
      <c r="AC843" s="20"/>
      <c r="AD843" s="19"/>
      <c r="AE843" s="98"/>
    </row>
    <row r="844" spans="1:31" x14ac:dyDescent="0.3">
      <c r="A844" s="105">
        <v>844</v>
      </c>
      <c r="B844" s="46">
        <v>45749</v>
      </c>
      <c r="D844" s="13" t="s">
        <v>185</v>
      </c>
      <c r="E844" s="13" t="s">
        <v>51</v>
      </c>
      <c r="F844" s="13" t="s">
        <v>1440</v>
      </c>
      <c r="G844" s="14" t="s">
        <v>566</v>
      </c>
      <c r="H844" s="14">
        <v>4313726</v>
      </c>
      <c r="I844" s="14" t="s">
        <v>1511</v>
      </c>
      <c r="K844" s="21"/>
      <c r="L844" s="21"/>
      <c r="M844" s="14" t="s">
        <v>700</v>
      </c>
      <c r="N844" s="14" t="s">
        <v>70</v>
      </c>
      <c r="Q844" s="14" t="s">
        <v>6</v>
      </c>
      <c r="R844" s="14" t="s">
        <v>229</v>
      </c>
      <c r="T844" s="15">
        <v>54.9</v>
      </c>
      <c r="U844" s="15"/>
      <c r="V844" s="15">
        <f>+Tabla1[[#This Row],[PAGO MENSUAL]]*12</f>
        <v>658.8</v>
      </c>
      <c r="W844" s="17" t="s">
        <v>1121</v>
      </c>
      <c r="X844" s="14" t="s">
        <v>1042</v>
      </c>
      <c r="AB844" s="19"/>
      <c r="AC844" s="20"/>
      <c r="AD844" s="19"/>
      <c r="AE844" s="98"/>
    </row>
    <row r="845" spans="1:31" x14ac:dyDescent="0.3">
      <c r="A845" s="107">
        <v>845</v>
      </c>
      <c r="B845" s="46">
        <v>45749</v>
      </c>
      <c r="D845" s="13" t="s">
        <v>185</v>
      </c>
      <c r="E845" s="13" t="s">
        <v>51</v>
      </c>
      <c r="F845" s="13" t="s">
        <v>967</v>
      </c>
      <c r="G845" s="14" t="s">
        <v>1607</v>
      </c>
      <c r="H845" s="14">
        <v>16898</v>
      </c>
      <c r="I845" s="14" t="s">
        <v>1517</v>
      </c>
      <c r="K845" s="21"/>
      <c r="L845" s="21"/>
      <c r="M845" s="14" t="s">
        <v>88</v>
      </c>
      <c r="N845" s="14" t="s">
        <v>70</v>
      </c>
      <c r="Q845" s="14" t="s">
        <v>307</v>
      </c>
      <c r="R845" s="14" t="s">
        <v>177</v>
      </c>
      <c r="T845" s="15">
        <v>34.17</v>
      </c>
      <c r="U845" s="15"/>
      <c r="V845" s="15">
        <f>+Tabla1[[#This Row],[PAGO MENSUAL]]*12</f>
        <v>410.04</v>
      </c>
      <c r="W845" s="17" t="s">
        <v>1463</v>
      </c>
      <c r="X845" s="14" t="s">
        <v>1042</v>
      </c>
      <c r="AB845" s="19"/>
      <c r="AC845" s="20"/>
      <c r="AD845" s="19"/>
      <c r="AE845" s="98"/>
    </row>
    <row r="846" spans="1:31" x14ac:dyDescent="0.3">
      <c r="A846" s="107">
        <v>846</v>
      </c>
      <c r="B846" s="46">
        <v>45750</v>
      </c>
      <c r="D846" s="13" t="s">
        <v>185</v>
      </c>
      <c r="E846" s="13" t="s">
        <v>51</v>
      </c>
      <c r="F846" s="13" t="s">
        <v>967</v>
      </c>
      <c r="G846" s="14" t="s">
        <v>1607</v>
      </c>
      <c r="H846" s="14">
        <v>4313762</v>
      </c>
      <c r="I846" s="14" t="s">
        <v>1523</v>
      </c>
      <c r="K846" s="21"/>
      <c r="L846" s="21"/>
      <c r="M846" s="14" t="s">
        <v>700</v>
      </c>
      <c r="N846" s="14" t="s">
        <v>70</v>
      </c>
      <c r="Q846" s="14" t="s">
        <v>395</v>
      </c>
      <c r="R846" s="14" t="s">
        <v>277</v>
      </c>
      <c r="T846" s="15">
        <v>113.04</v>
      </c>
      <c r="U846" s="15"/>
      <c r="V846" s="15">
        <f>+Tabla1[[#This Row],[PAGO MENSUAL]]*12</f>
        <v>1356.48</v>
      </c>
      <c r="W846" s="17" t="s">
        <v>1515</v>
      </c>
      <c r="X846" s="14" t="s">
        <v>1042</v>
      </c>
      <c r="Y846" s="14" t="s">
        <v>74</v>
      </c>
      <c r="Z846" s="14" t="s">
        <v>74</v>
      </c>
      <c r="AB846" s="19"/>
      <c r="AC846" s="20"/>
      <c r="AD846" s="19"/>
      <c r="AE846" s="98"/>
    </row>
    <row r="847" spans="1:31" x14ac:dyDescent="0.3">
      <c r="A847" s="107">
        <v>847</v>
      </c>
      <c r="B847" s="46">
        <v>45750</v>
      </c>
      <c r="D847" s="13" t="s">
        <v>185</v>
      </c>
      <c r="E847" s="13" t="s">
        <v>51</v>
      </c>
      <c r="F847" s="13" t="s">
        <v>66</v>
      </c>
      <c r="G847" s="14" t="s">
        <v>15</v>
      </c>
      <c r="H847" s="14" t="s">
        <v>1524</v>
      </c>
      <c r="I847" s="14" t="s">
        <v>82</v>
      </c>
      <c r="K847" s="21"/>
      <c r="L847" s="21"/>
      <c r="M847" s="14" t="s">
        <v>700</v>
      </c>
      <c r="N847" s="14" t="s">
        <v>70</v>
      </c>
      <c r="Q847" s="14" t="s">
        <v>3</v>
      </c>
      <c r="R847" s="14" t="s">
        <v>64</v>
      </c>
      <c r="T847" s="15">
        <f>330.12/12</f>
        <v>27.51</v>
      </c>
      <c r="U847" s="15"/>
      <c r="V847" s="15">
        <f>+Tabla1[[#This Row],[PAGO MENSUAL]]*12</f>
        <v>330.12</v>
      </c>
      <c r="W847" s="17" t="s">
        <v>1525</v>
      </c>
      <c r="X847" s="14" t="s">
        <v>1042</v>
      </c>
      <c r="Y847" s="14" t="s">
        <v>74</v>
      </c>
      <c r="AB847" s="19"/>
      <c r="AC847" s="20"/>
      <c r="AD847" s="19"/>
      <c r="AE847" s="98" t="s">
        <v>1526</v>
      </c>
    </row>
    <row r="848" spans="1:31" x14ac:dyDescent="0.3">
      <c r="A848" s="108">
        <v>848</v>
      </c>
      <c r="B848" s="46">
        <v>45751</v>
      </c>
      <c r="D848" s="13" t="s">
        <v>185</v>
      </c>
      <c r="E848" s="13" t="s">
        <v>51</v>
      </c>
      <c r="F848" s="13" t="s">
        <v>66</v>
      </c>
      <c r="G848" s="14" t="s">
        <v>790</v>
      </c>
      <c r="H848" s="14">
        <v>36671</v>
      </c>
      <c r="I848" s="14" t="s">
        <v>1528</v>
      </c>
      <c r="K848" s="21"/>
      <c r="L848" s="21"/>
      <c r="M848" s="14" t="s">
        <v>700</v>
      </c>
      <c r="N848" s="14" t="s">
        <v>70</v>
      </c>
      <c r="Q848" s="14" t="s">
        <v>477</v>
      </c>
      <c r="R848" s="14" t="s">
        <v>421</v>
      </c>
      <c r="T848" s="15">
        <v>137.63</v>
      </c>
      <c r="U848" s="15"/>
      <c r="V848" s="15">
        <f>+Tabla1[[#This Row],[PAGO MENSUAL]]*12</f>
        <v>1651.56</v>
      </c>
      <c r="W848" s="17" t="s">
        <v>1500</v>
      </c>
      <c r="X848" s="14" t="s">
        <v>1042</v>
      </c>
      <c r="Y848" s="14" t="s">
        <v>74</v>
      </c>
      <c r="Z848" s="14" t="s">
        <v>74</v>
      </c>
      <c r="AB848" s="19"/>
      <c r="AC848" s="20"/>
      <c r="AD848" s="19"/>
      <c r="AE848" s="98"/>
    </row>
    <row r="849" spans="1:31" x14ac:dyDescent="0.3">
      <c r="A849" s="105">
        <v>849</v>
      </c>
      <c r="B849" s="46">
        <v>45751</v>
      </c>
      <c r="D849" s="13" t="s">
        <v>185</v>
      </c>
      <c r="E849" s="13" t="s">
        <v>51</v>
      </c>
      <c r="F849" s="13" t="s">
        <v>1440</v>
      </c>
      <c r="G849" s="14" t="s">
        <v>566</v>
      </c>
      <c r="H849" s="14">
        <v>4313889</v>
      </c>
      <c r="I849" s="14" t="s">
        <v>1511</v>
      </c>
      <c r="K849" s="21"/>
      <c r="L849" s="21"/>
      <c r="M849" s="14" t="s">
        <v>700</v>
      </c>
      <c r="N849" s="14" t="s">
        <v>70</v>
      </c>
      <c r="Q849" s="14" t="s">
        <v>6</v>
      </c>
      <c r="R849" s="14" t="s">
        <v>1529</v>
      </c>
      <c r="T849" s="15">
        <v>176.62</v>
      </c>
      <c r="U849" s="15"/>
      <c r="V849" s="15">
        <f>+Tabla1[[#This Row],[PAGO MENSUAL]]*12</f>
        <v>2119.44</v>
      </c>
      <c r="W849" s="17" t="s">
        <v>1121</v>
      </c>
      <c r="X849" s="14" t="s">
        <v>1042</v>
      </c>
      <c r="Y849" s="14" t="s">
        <v>74</v>
      </c>
      <c r="Z849" s="14" t="s">
        <v>74</v>
      </c>
      <c r="AB849" s="19"/>
      <c r="AC849" s="20"/>
      <c r="AD849" s="19"/>
      <c r="AE849" s="98"/>
    </row>
    <row r="850" spans="1:31" x14ac:dyDescent="0.3">
      <c r="A850" s="107">
        <v>850</v>
      </c>
      <c r="B850" s="46">
        <v>45751</v>
      </c>
      <c r="D850" s="13" t="s">
        <v>185</v>
      </c>
      <c r="E850" s="13" t="s">
        <v>51</v>
      </c>
      <c r="F850" s="13" t="s">
        <v>967</v>
      </c>
      <c r="G850" s="14" t="s">
        <v>396</v>
      </c>
      <c r="H850" s="14">
        <v>4313885</v>
      </c>
      <c r="I850" s="14" t="s">
        <v>1533</v>
      </c>
      <c r="K850" s="21"/>
      <c r="L850" s="21"/>
      <c r="M850" s="14" t="s">
        <v>700</v>
      </c>
      <c r="N850" s="14" t="s">
        <v>70</v>
      </c>
      <c r="Q850" s="14" t="s">
        <v>6</v>
      </c>
      <c r="R850" s="14" t="s">
        <v>1026</v>
      </c>
      <c r="T850" s="15">
        <v>90.09</v>
      </c>
      <c r="U850" s="15"/>
      <c r="V850" s="15">
        <f>+Tabla1[[#This Row],[PAGO MENSUAL]]*12</f>
        <v>1081.08</v>
      </c>
      <c r="W850" s="17" t="s">
        <v>1515</v>
      </c>
      <c r="X850" s="14" t="s">
        <v>1042</v>
      </c>
      <c r="Y850" s="14" t="s">
        <v>74</v>
      </c>
      <c r="Z850" s="14" t="s">
        <v>74</v>
      </c>
      <c r="AB850" s="19"/>
      <c r="AC850" s="20"/>
      <c r="AD850" s="19"/>
      <c r="AE850" s="98"/>
    </row>
    <row r="851" spans="1:31" x14ac:dyDescent="0.3">
      <c r="A851" s="107">
        <v>851</v>
      </c>
      <c r="B851" s="90">
        <v>45751</v>
      </c>
      <c r="C851" s="90"/>
      <c r="D851" s="13" t="s">
        <v>185</v>
      </c>
      <c r="E851" s="13" t="s">
        <v>51</v>
      </c>
      <c r="F851" s="13" t="s">
        <v>1012</v>
      </c>
      <c r="G851" s="14" t="s">
        <v>14</v>
      </c>
      <c r="H851" s="91"/>
      <c r="I851" s="14" t="s">
        <v>1530</v>
      </c>
      <c r="J851" s="91"/>
      <c r="K851" s="92"/>
      <c r="L851" s="92"/>
      <c r="M851" s="91"/>
      <c r="N851" s="91"/>
      <c r="O851" s="91"/>
      <c r="P851" s="91"/>
      <c r="Q851" s="14" t="s">
        <v>477</v>
      </c>
      <c r="R851" s="91"/>
      <c r="S851" s="91"/>
      <c r="T851" s="93"/>
      <c r="U851" s="93"/>
      <c r="V851" s="93"/>
      <c r="W851" s="94"/>
      <c r="X851" s="14" t="s">
        <v>1067</v>
      </c>
      <c r="Z851" s="91"/>
      <c r="AA851" s="95"/>
      <c r="AB851" s="96"/>
      <c r="AC851" s="97"/>
      <c r="AD851" s="96"/>
      <c r="AE851" s="98"/>
    </row>
    <row r="852" spans="1:31" x14ac:dyDescent="0.3">
      <c r="A852" s="107">
        <v>852</v>
      </c>
      <c r="B852" s="46">
        <v>45751</v>
      </c>
      <c r="D852" s="13" t="s">
        <v>185</v>
      </c>
      <c r="E852" s="13" t="s">
        <v>51</v>
      </c>
      <c r="F852" s="13" t="s">
        <v>1012</v>
      </c>
      <c r="G852" s="14" t="s">
        <v>14</v>
      </c>
      <c r="I852" s="14" t="s">
        <v>1531</v>
      </c>
      <c r="K852" s="21"/>
      <c r="L852" s="21"/>
      <c r="Q852" s="14" t="s">
        <v>477</v>
      </c>
      <c r="T852" s="15"/>
      <c r="U852" s="15"/>
      <c r="V852" s="15">
        <f>+Tabla1[[#This Row],[PAGO MENSUAL]]*12</f>
        <v>0</v>
      </c>
      <c r="X852" s="14" t="s">
        <v>1067</v>
      </c>
      <c r="AB852" s="19"/>
      <c r="AC852" s="20"/>
      <c r="AD852" s="19"/>
      <c r="AE852" s="98"/>
    </row>
    <row r="853" spans="1:31" x14ac:dyDescent="0.3">
      <c r="A853" s="108">
        <v>853</v>
      </c>
      <c r="B853" s="46">
        <v>45754</v>
      </c>
      <c r="D853" s="13" t="s">
        <v>185</v>
      </c>
      <c r="E853" s="13" t="s">
        <v>51</v>
      </c>
      <c r="F853" s="13" t="s">
        <v>967</v>
      </c>
      <c r="G853" s="14" t="s">
        <v>396</v>
      </c>
      <c r="H853" s="14">
        <v>16918</v>
      </c>
      <c r="I853" s="14" t="s">
        <v>1543</v>
      </c>
      <c r="K853" s="21"/>
      <c r="L853" s="21"/>
      <c r="M853" s="14" t="s">
        <v>700</v>
      </c>
      <c r="N853" s="14" t="s">
        <v>70</v>
      </c>
      <c r="Q853" s="14" t="s">
        <v>307</v>
      </c>
      <c r="R853" s="14" t="s">
        <v>318</v>
      </c>
      <c r="T853" s="15">
        <v>113.67</v>
      </c>
      <c r="U853" s="15"/>
      <c r="V853" s="15">
        <f>+Tabla1[[#This Row],[PAGO MENSUAL]]*12</f>
        <v>1364.04</v>
      </c>
      <c r="W853" s="17" t="s">
        <v>1500</v>
      </c>
      <c r="X853" s="14" t="s">
        <v>1042</v>
      </c>
      <c r="Y853" s="14" t="s">
        <v>74</v>
      </c>
      <c r="AB853" s="19"/>
      <c r="AC853" s="20"/>
      <c r="AD853" s="19"/>
      <c r="AE853" s="98"/>
    </row>
    <row r="854" spans="1:31" x14ac:dyDescent="0.3">
      <c r="A854" s="105">
        <v>854</v>
      </c>
      <c r="B854" s="46">
        <v>45756</v>
      </c>
      <c r="D854" s="13" t="s">
        <v>185</v>
      </c>
      <c r="E854" s="13" t="s">
        <v>51</v>
      </c>
      <c r="F854" s="13" t="s">
        <v>52</v>
      </c>
      <c r="G854" s="14" t="s">
        <v>819</v>
      </c>
      <c r="H854" s="14">
        <v>136959</v>
      </c>
      <c r="I854" s="14" t="s">
        <v>1553</v>
      </c>
      <c r="K854" s="21">
        <v>967671736</v>
      </c>
      <c r="L854" s="21"/>
      <c r="M854" s="14" t="s">
        <v>700</v>
      </c>
      <c r="N854" s="14" t="s">
        <v>108</v>
      </c>
      <c r="Q854" s="14" t="s">
        <v>55</v>
      </c>
      <c r="R854" s="14" t="s">
        <v>1560</v>
      </c>
      <c r="T854" s="15">
        <v>761.11</v>
      </c>
      <c r="U854" s="15"/>
      <c r="V854" s="15">
        <v>761.11</v>
      </c>
      <c r="W854" s="17" t="s">
        <v>1561</v>
      </c>
      <c r="X854" s="14" t="s">
        <v>1042</v>
      </c>
      <c r="AB854" s="19"/>
      <c r="AC854" s="20"/>
      <c r="AD854" s="19"/>
      <c r="AE854" s="98"/>
    </row>
    <row r="855" spans="1:31" x14ac:dyDescent="0.3">
      <c r="A855" s="107">
        <v>855</v>
      </c>
      <c r="B855" s="46">
        <v>45757</v>
      </c>
      <c r="D855" s="13" t="s">
        <v>185</v>
      </c>
      <c r="E855" s="13" t="s">
        <v>51</v>
      </c>
      <c r="F855" s="13" t="s">
        <v>993</v>
      </c>
      <c r="G855" s="14" t="s">
        <v>459</v>
      </c>
      <c r="H855" s="14">
        <v>4314229</v>
      </c>
      <c r="I855" s="14" t="s">
        <v>1549</v>
      </c>
      <c r="K855" s="21"/>
      <c r="L855" s="21"/>
      <c r="M855" s="14" t="s">
        <v>700</v>
      </c>
      <c r="N855" s="14" t="s">
        <v>70</v>
      </c>
      <c r="Q855" s="14" t="s">
        <v>6</v>
      </c>
      <c r="R855" s="14" t="s">
        <v>654</v>
      </c>
      <c r="T855" s="15">
        <v>99.09</v>
      </c>
      <c r="U855" s="15"/>
      <c r="V855" s="15">
        <f>+Tabla1[[#This Row],[PAGO MENSUAL]]*12</f>
        <v>1189.08</v>
      </c>
      <c r="W855" s="17" t="s">
        <v>1550</v>
      </c>
      <c r="X855" s="14" t="s">
        <v>1042</v>
      </c>
      <c r="Y855" s="14" t="s">
        <v>74</v>
      </c>
      <c r="Z855" s="14" t="s">
        <v>74</v>
      </c>
      <c r="AB855" s="19"/>
      <c r="AC855" s="20"/>
      <c r="AD855" s="19"/>
      <c r="AE855" s="98"/>
    </row>
    <row r="856" spans="1:31" x14ac:dyDescent="0.3">
      <c r="A856" s="107">
        <v>856</v>
      </c>
      <c r="B856" s="46">
        <v>45757</v>
      </c>
      <c r="D856" s="13" t="s">
        <v>185</v>
      </c>
      <c r="E856" s="13" t="s">
        <v>51</v>
      </c>
      <c r="F856" s="13" t="s">
        <v>52</v>
      </c>
      <c r="G856" s="14" t="s">
        <v>609</v>
      </c>
      <c r="H856" s="14">
        <v>4314236</v>
      </c>
      <c r="I856" s="14" t="s">
        <v>1551</v>
      </c>
      <c r="K856" s="21"/>
      <c r="L856" s="21"/>
      <c r="M856" s="14" t="s">
        <v>700</v>
      </c>
      <c r="N856" s="14" t="s">
        <v>70</v>
      </c>
      <c r="Q856" s="14" t="s">
        <v>6</v>
      </c>
      <c r="R856" s="14" t="s">
        <v>350</v>
      </c>
      <c r="T856" s="15">
        <v>95.74</v>
      </c>
      <c r="U856" s="15"/>
      <c r="V856" s="15">
        <f>+Tabla1[[#This Row],[PAGO MENSUAL]]*12</f>
        <v>1148.8799999999999</v>
      </c>
      <c r="W856" s="17" t="s">
        <v>1552</v>
      </c>
      <c r="X856" s="14" t="s">
        <v>1042</v>
      </c>
      <c r="Y856" s="14" t="s">
        <v>74</v>
      </c>
      <c r="Z856" s="14" t="s">
        <v>74</v>
      </c>
      <c r="AB856" s="19"/>
      <c r="AC856" s="20"/>
      <c r="AD856" s="19"/>
      <c r="AE856" s="98"/>
    </row>
    <row r="857" spans="1:31" x14ac:dyDescent="0.3">
      <c r="A857" s="107">
        <v>857</v>
      </c>
      <c r="B857" s="46">
        <v>45758</v>
      </c>
      <c r="D857" s="13" t="s">
        <v>185</v>
      </c>
      <c r="E857" s="13" t="s">
        <v>51</v>
      </c>
      <c r="F857" s="13" t="s">
        <v>967</v>
      </c>
      <c r="G857" s="14" t="s">
        <v>1607</v>
      </c>
      <c r="H857" s="14">
        <v>4314369</v>
      </c>
      <c r="I857" s="14" t="s">
        <v>1554</v>
      </c>
      <c r="K857" s="21"/>
      <c r="L857" s="21"/>
      <c r="M857" s="14" t="s">
        <v>700</v>
      </c>
      <c r="N857" s="14" t="s">
        <v>70</v>
      </c>
      <c r="Q857" s="14" t="s">
        <v>6</v>
      </c>
      <c r="R857" s="14" t="s">
        <v>1555</v>
      </c>
      <c r="T857" s="15">
        <v>49.37</v>
      </c>
      <c r="U857" s="15"/>
      <c r="V857" s="15">
        <f>+Tabla1[[#This Row],[PAGO MENSUAL]]*12</f>
        <v>592.43999999999994</v>
      </c>
      <c r="W857" s="17" t="s">
        <v>1601</v>
      </c>
      <c r="X857" s="14" t="s">
        <v>1042</v>
      </c>
      <c r="Y857" s="14" t="s">
        <v>74</v>
      </c>
      <c r="Z857" s="14" t="s">
        <v>74</v>
      </c>
      <c r="AB857" s="19"/>
      <c r="AC857" s="20"/>
      <c r="AD857" s="19"/>
      <c r="AE857" s="98"/>
    </row>
    <row r="858" spans="1:31" x14ac:dyDescent="0.3">
      <c r="A858" s="108">
        <v>858</v>
      </c>
      <c r="B858" s="46">
        <v>45758</v>
      </c>
      <c r="D858" s="13" t="s">
        <v>185</v>
      </c>
      <c r="E858" s="13" t="s">
        <v>51</v>
      </c>
      <c r="F858" s="13" t="s">
        <v>1440</v>
      </c>
      <c r="G858" s="14" t="s">
        <v>566</v>
      </c>
      <c r="H858" s="14">
        <v>4314379</v>
      </c>
      <c r="I858" s="14" t="s">
        <v>1556</v>
      </c>
      <c r="K858" s="21"/>
      <c r="L858" s="21"/>
      <c r="M858" s="14" t="s">
        <v>700</v>
      </c>
      <c r="N858" s="14" t="s">
        <v>70</v>
      </c>
      <c r="Q858" s="14" t="s">
        <v>6</v>
      </c>
      <c r="R858" s="14" t="s">
        <v>277</v>
      </c>
      <c r="T858" s="15">
        <v>154.55000000000001</v>
      </c>
      <c r="U858" s="15"/>
      <c r="V858" s="15">
        <f>+Tabla1[[#This Row],[PAGO MENSUAL]]*12</f>
        <v>1854.6000000000001</v>
      </c>
      <c r="W858" s="17" t="s">
        <v>1550</v>
      </c>
      <c r="X858" s="14" t="s">
        <v>1042</v>
      </c>
      <c r="AB858" s="19"/>
      <c r="AC858" s="20"/>
      <c r="AD858" s="19"/>
      <c r="AE858" s="98"/>
    </row>
    <row r="859" spans="1:31" x14ac:dyDescent="0.3">
      <c r="A859" s="105">
        <v>859</v>
      </c>
      <c r="B859" s="46">
        <v>45758</v>
      </c>
      <c r="C859" s="46">
        <v>45727</v>
      </c>
      <c r="D859" s="13" t="s">
        <v>185</v>
      </c>
      <c r="E859" s="13" t="s">
        <v>51</v>
      </c>
      <c r="F859" s="13" t="s">
        <v>66</v>
      </c>
      <c r="G859" s="14" t="s">
        <v>175</v>
      </c>
      <c r="H859" s="14" t="s">
        <v>1557</v>
      </c>
      <c r="I859" s="14" t="s">
        <v>1558</v>
      </c>
      <c r="K859" s="21"/>
      <c r="L859" s="21"/>
      <c r="M859" s="14" t="s">
        <v>88</v>
      </c>
      <c r="N859" s="14" t="s">
        <v>70</v>
      </c>
      <c r="Q859" s="14" t="s">
        <v>3</v>
      </c>
      <c r="R859" s="14" t="s">
        <v>83</v>
      </c>
      <c r="T859" s="15">
        <v>714.62</v>
      </c>
      <c r="U859" s="15"/>
      <c r="V859" s="15">
        <f>+Tabla1[[#This Row],[PAGO MENSUAL]]*12</f>
        <v>8575.44</v>
      </c>
      <c r="W859" s="17" t="s">
        <v>1525</v>
      </c>
      <c r="X859" s="14" t="s">
        <v>1042</v>
      </c>
      <c r="Y859" s="14" t="s">
        <v>74</v>
      </c>
      <c r="Z859" s="14" t="s">
        <v>74</v>
      </c>
      <c r="AB859" s="19"/>
      <c r="AC859" s="20"/>
      <c r="AD859" s="19"/>
      <c r="AE859" s="98"/>
    </row>
    <row r="860" spans="1:31" x14ac:dyDescent="0.3">
      <c r="A860" s="107">
        <v>860</v>
      </c>
      <c r="B860" s="46">
        <v>45758</v>
      </c>
      <c r="D860" s="13" t="s">
        <v>185</v>
      </c>
      <c r="E860" s="13" t="s">
        <v>51</v>
      </c>
      <c r="F860" s="13" t="s">
        <v>66</v>
      </c>
      <c r="G860" s="14" t="s">
        <v>175</v>
      </c>
      <c r="H860" s="14">
        <v>149414</v>
      </c>
      <c r="I860" s="14" t="s">
        <v>1558</v>
      </c>
      <c r="K860" s="21"/>
      <c r="L860" s="21"/>
      <c r="M860" s="14" t="s">
        <v>700</v>
      </c>
      <c r="N860" s="14" t="s">
        <v>70</v>
      </c>
      <c r="Q860" s="14" t="s">
        <v>1559</v>
      </c>
      <c r="R860" s="14" t="s">
        <v>1575</v>
      </c>
      <c r="T860" s="15">
        <v>55.84</v>
      </c>
      <c r="U860" s="15"/>
      <c r="V860" s="15">
        <f>+Tabla1[[#This Row],[PAGO MENSUAL]]*12</f>
        <v>670.08</v>
      </c>
      <c r="W860" s="17" t="s">
        <v>1041</v>
      </c>
      <c r="X860" s="14" t="s">
        <v>1067</v>
      </c>
      <c r="AB860" s="19"/>
      <c r="AC860" s="20"/>
      <c r="AD860" s="19"/>
      <c r="AE860" s="98"/>
    </row>
    <row r="861" spans="1:31" x14ac:dyDescent="0.3">
      <c r="A861" s="107">
        <v>861</v>
      </c>
      <c r="B861" s="46">
        <v>45758</v>
      </c>
      <c r="D861" s="13" t="s">
        <v>185</v>
      </c>
      <c r="E861" s="13" t="s">
        <v>51</v>
      </c>
      <c r="F861" s="13" t="s">
        <v>66</v>
      </c>
      <c r="G861" s="14" t="s">
        <v>175</v>
      </c>
      <c r="H861" s="14">
        <v>149419</v>
      </c>
      <c r="I861" s="14" t="s">
        <v>1574</v>
      </c>
      <c r="K861" s="21"/>
      <c r="L861" s="21"/>
      <c r="M861" s="14" t="s">
        <v>700</v>
      </c>
      <c r="N861" s="14" t="s">
        <v>70</v>
      </c>
      <c r="Q861" s="14" t="s">
        <v>1559</v>
      </c>
      <c r="R861" s="14" t="s">
        <v>1575</v>
      </c>
      <c r="T861" s="15">
        <v>44.97</v>
      </c>
      <c r="U861" s="15"/>
      <c r="V861" s="15">
        <f>+Tabla1[[#This Row],[PAGO MENSUAL]]*12</f>
        <v>539.64</v>
      </c>
      <c r="W861" s="17" t="s">
        <v>1041</v>
      </c>
      <c r="X861" s="14" t="s">
        <v>1067</v>
      </c>
      <c r="AB861" s="19"/>
      <c r="AC861" s="20"/>
      <c r="AD861" s="19"/>
      <c r="AE861" s="98"/>
    </row>
    <row r="862" spans="1:31" x14ac:dyDescent="0.3">
      <c r="A862" s="107">
        <v>862</v>
      </c>
      <c r="B862" s="46">
        <v>45758</v>
      </c>
      <c r="D862" s="13" t="s">
        <v>185</v>
      </c>
      <c r="E862" s="13" t="s">
        <v>51</v>
      </c>
      <c r="F862" s="13" t="s">
        <v>967</v>
      </c>
      <c r="G862" s="14" t="s">
        <v>396</v>
      </c>
      <c r="H862" s="14">
        <v>16939</v>
      </c>
      <c r="I862" s="14" t="s">
        <v>1564</v>
      </c>
      <c r="K862" s="21"/>
      <c r="L862" s="21"/>
      <c r="M862" s="14" t="s">
        <v>700</v>
      </c>
      <c r="N862" s="14" t="s">
        <v>70</v>
      </c>
      <c r="Q862" s="14" t="s">
        <v>307</v>
      </c>
      <c r="R862" s="14" t="s">
        <v>318</v>
      </c>
      <c r="T862" s="15">
        <v>46.8</v>
      </c>
      <c r="U862" s="15"/>
      <c r="V862" s="15">
        <f>+Tabla1[[#This Row],[PAGO MENSUAL]]*12</f>
        <v>561.59999999999991</v>
      </c>
      <c r="W862" s="17" t="s">
        <v>1571</v>
      </c>
      <c r="X862" s="14" t="s">
        <v>1042</v>
      </c>
      <c r="Y862" s="14" t="s">
        <v>74</v>
      </c>
      <c r="Z862" s="14" t="s">
        <v>74</v>
      </c>
      <c r="AB862" s="19"/>
      <c r="AC862" s="20"/>
      <c r="AD862" s="19"/>
      <c r="AE862" s="98"/>
    </row>
    <row r="863" spans="1:31" x14ac:dyDescent="0.3">
      <c r="A863" s="108">
        <v>863</v>
      </c>
      <c r="B863" s="46">
        <v>45758</v>
      </c>
      <c r="D863" s="13" t="s">
        <v>185</v>
      </c>
      <c r="E863" s="13" t="s">
        <v>51</v>
      </c>
      <c r="F863" s="13" t="s">
        <v>967</v>
      </c>
      <c r="G863" s="14" t="s">
        <v>396</v>
      </c>
      <c r="H863" s="14">
        <v>16955</v>
      </c>
      <c r="I863" s="14" t="s">
        <v>1565</v>
      </c>
      <c r="K863" s="21"/>
      <c r="L863" s="21"/>
      <c r="M863" s="14" t="s">
        <v>700</v>
      </c>
      <c r="N863" s="14" t="s">
        <v>70</v>
      </c>
      <c r="Q863" s="14" t="s">
        <v>307</v>
      </c>
      <c r="R863" s="14" t="s">
        <v>318</v>
      </c>
      <c r="T863" s="15">
        <v>91.61</v>
      </c>
      <c r="U863" s="15"/>
      <c r="V863" s="15">
        <f>+Tabla1[[#This Row],[PAGO MENSUAL]]*12</f>
        <v>1099.32</v>
      </c>
      <c r="W863" s="17" t="s">
        <v>1571</v>
      </c>
      <c r="X863" s="14" t="s">
        <v>1042</v>
      </c>
      <c r="Y863" s="14" t="s">
        <v>74</v>
      </c>
      <c r="Z863" s="14" t="s">
        <v>74</v>
      </c>
      <c r="AB863" s="19"/>
      <c r="AC863" s="20"/>
      <c r="AD863" s="19"/>
      <c r="AE863" s="98"/>
    </row>
    <row r="864" spans="1:31" x14ac:dyDescent="0.3">
      <c r="A864" s="105">
        <v>864</v>
      </c>
      <c r="B864" s="46">
        <v>45762</v>
      </c>
      <c r="D864" s="13" t="s">
        <v>185</v>
      </c>
      <c r="E864" s="13" t="s">
        <v>51</v>
      </c>
      <c r="F864" s="13" t="s">
        <v>52</v>
      </c>
      <c r="G864" s="14" t="s">
        <v>912</v>
      </c>
      <c r="H864" s="14">
        <v>16957</v>
      </c>
      <c r="I864" s="14" t="s">
        <v>1570</v>
      </c>
      <c r="K864" s="21"/>
      <c r="L864" s="21"/>
      <c r="M864" s="14" t="s">
        <v>700</v>
      </c>
      <c r="N864" s="14" t="s">
        <v>70</v>
      </c>
      <c r="Q864" s="14" t="s">
        <v>307</v>
      </c>
      <c r="R864" s="14" t="s">
        <v>169</v>
      </c>
      <c r="T864" s="15">
        <v>147.66999999999999</v>
      </c>
      <c r="U864" s="15"/>
      <c r="V864" s="15">
        <f>+Tabla1[[#This Row],[PAGO MENSUAL]]*12</f>
        <v>1772.04</v>
      </c>
      <c r="W864" s="17" t="s">
        <v>1618</v>
      </c>
      <c r="X864" s="14" t="s">
        <v>1042</v>
      </c>
      <c r="Y864" s="14" t="s">
        <v>74</v>
      </c>
      <c r="Z864" s="14" t="s">
        <v>74</v>
      </c>
      <c r="AB864" s="19"/>
      <c r="AC864" s="20"/>
      <c r="AD864" s="19"/>
      <c r="AE864" s="98"/>
    </row>
    <row r="865" spans="1:31" x14ac:dyDescent="0.3">
      <c r="A865" s="107">
        <v>865</v>
      </c>
      <c r="B865" s="46">
        <v>45762</v>
      </c>
      <c r="D865" s="13" t="s">
        <v>185</v>
      </c>
      <c r="E865" s="13" t="s">
        <v>51</v>
      </c>
      <c r="F865" s="13" t="s">
        <v>52</v>
      </c>
      <c r="G865" s="14" t="s">
        <v>912</v>
      </c>
      <c r="H865" s="14">
        <v>4314493</v>
      </c>
      <c r="I865" s="14" t="s">
        <v>1576</v>
      </c>
      <c r="K865" s="21"/>
      <c r="L865" s="21"/>
      <c r="M865" s="14" t="s">
        <v>700</v>
      </c>
      <c r="N865" s="14" t="s">
        <v>70</v>
      </c>
      <c r="Q865" s="14" t="s">
        <v>6</v>
      </c>
      <c r="R865" s="14" t="s">
        <v>1058</v>
      </c>
      <c r="T865" s="15">
        <v>305.39</v>
      </c>
      <c r="U865" s="15"/>
      <c r="V865" s="15">
        <f>+Tabla1[[#This Row],[PAGO MENSUAL]]*12</f>
        <v>3664.68</v>
      </c>
      <c r="W865" s="17" t="s">
        <v>1121</v>
      </c>
      <c r="X865" s="14" t="s">
        <v>1042</v>
      </c>
      <c r="AB865" s="19"/>
      <c r="AC865" s="20"/>
      <c r="AD865" s="19"/>
      <c r="AE865" s="98"/>
    </row>
    <row r="866" spans="1:31" x14ac:dyDescent="0.3">
      <c r="A866" s="107">
        <v>866</v>
      </c>
      <c r="B866" s="46">
        <v>45762</v>
      </c>
      <c r="D866" s="13" t="s">
        <v>185</v>
      </c>
      <c r="E866" s="13" t="s">
        <v>51</v>
      </c>
      <c r="F866" s="13" t="s">
        <v>66</v>
      </c>
      <c r="G866" s="14" t="s">
        <v>790</v>
      </c>
      <c r="H866" s="14">
        <v>7593331</v>
      </c>
      <c r="I866" s="14" t="s">
        <v>1619</v>
      </c>
      <c r="K866" s="21"/>
      <c r="L866" s="21"/>
      <c r="M866" s="14" t="s">
        <v>88</v>
      </c>
      <c r="Q866" s="14" t="s">
        <v>132</v>
      </c>
      <c r="R866" s="14" t="s">
        <v>1443</v>
      </c>
      <c r="T866" s="15">
        <v>72</v>
      </c>
      <c r="U866" s="15"/>
      <c r="V866" s="15">
        <v>72</v>
      </c>
      <c r="X866" s="14" t="s">
        <v>1067</v>
      </c>
      <c r="AB866" s="19"/>
      <c r="AC866" s="20"/>
      <c r="AD866" s="19"/>
      <c r="AE866" s="98"/>
    </row>
    <row r="867" spans="1:31" x14ac:dyDescent="0.3">
      <c r="A867" s="107">
        <v>867</v>
      </c>
      <c r="B867" s="46">
        <v>45762</v>
      </c>
      <c r="D867" s="13" t="s">
        <v>185</v>
      </c>
      <c r="E867" s="13" t="s">
        <v>51</v>
      </c>
      <c r="F867" s="13" t="s">
        <v>967</v>
      </c>
      <c r="G867" s="14" t="s">
        <v>396</v>
      </c>
      <c r="H867" s="14">
        <v>10372</v>
      </c>
      <c r="I867" s="14" t="s">
        <v>1566</v>
      </c>
      <c r="K867" s="21"/>
      <c r="L867" s="21"/>
      <c r="M867" s="14" t="s">
        <v>700</v>
      </c>
      <c r="N867" s="14" t="s">
        <v>70</v>
      </c>
      <c r="Q867" s="14" t="s">
        <v>55</v>
      </c>
      <c r="R867" s="14" t="s">
        <v>248</v>
      </c>
      <c r="T867" s="15">
        <v>288.07</v>
      </c>
      <c r="U867" s="15"/>
      <c r="V867" s="15">
        <f>+Tabla1[[#This Row],[PAGO MENSUAL]]*12</f>
        <v>3456.84</v>
      </c>
      <c r="W867" s="17" t="s">
        <v>1567</v>
      </c>
      <c r="X867" s="14" t="s">
        <v>1042</v>
      </c>
      <c r="AB867" s="19"/>
      <c r="AC867" s="20"/>
      <c r="AD867" s="19"/>
      <c r="AE867" s="98"/>
    </row>
    <row r="868" spans="1:31" x14ac:dyDescent="0.3">
      <c r="A868" s="108">
        <v>868</v>
      </c>
      <c r="B868" s="46">
        <v>45763</v>
      </c>
      <c r="D868" s="13" t="s">
        <v>185</v>
      </c>
      <c r="E868" s="13" t="s">
        <v>51</v>
      </c>
      <c r="F868" s="13" t="s">
        <v>66</v>
      </c>
      <c r="G868" s="14" t="s">
        <v>218</v>
      </c>
      <c r="H868" s="14">
        <v>4314631</v>
      </c>
      <c r="I868" s="14" t="s">
        <v>1580</v>
      </c>
      <c r="K868" s="21"/>
      <c r="L868" s="21"/>
      <c r="M868" s="14" t="s">
        <v>700</v>
      </c>
      <c r="N868" s="14" t="s">
        <v>70</v>
      </c>
      <c r="Q868" s="14" t="s">
        <v>6</v>
      </c>
      <c r="R868" s="14" t="s">
        <v>1120</v>
      </c>
      <c r="T868" s="15">
        <v>193.92</v>
      </c>
      <c r="U868" s="15"/>
      <c r="V868" s="15">
        <f>+Tabla1[[#This Row],[PAGO MENSUAL]]*12</f>
        <v>2327.04</v>
      </c>
      <c r="W868" s="17" t="s">
        <v>1452</v>
      </c>
      <c r="X868" s="14" t="s">
        <v>1042</v>
      </c>
      <c r="Y868" s="14" t="s">
        <v>74</v>
      </c>
      <c r="Z868" s="14" t="s">
        <v>74</v>
      </c>
      <c r="AB868" s="19"/>
      <c r="AC868" s="20"/>
      <c r="AD868" s="19"/>
      <c r="AE868" s="98"/>
    </row>
    <row r="869" spans="1:31" x14ac:dyDescent="0.3">
      <c r="A869" s="105">
        <v>869</v>
      </c>
      <c r="B869" s="46">
        <v>45764</v>
      </c>
      <c r="D869" s="13" t="s">
        <v>185</v>
      </c>
      <c r="E869" s="13" t="s">
        <v>51</v>
      </c>
      <c r="F869" s="13" t="s">
        <v>52</v>
      </c>
      <c r="G869" s="14" t="s">
        <v>912</v>
      </c>
      <c r="H869" s="14">
        <v>4314758</v>
      </c>
      <c r="I869" s="14" t="s">
        <v>1572</v>
      </c>
      <c r="K869" s="21"/>
      <c r="L869" s="21"/>
      <c r="M869" s="14" t="s">
        <v>700</v>
      </c>
      <c r="N869" s="14" t="s">
        <v>70</v>
      </c>
      <c r="Q869" s="14" t="s">
        <v>6</v>
      </c>
      <c r="R869" s="14" t="s">
        <v>352</v>
      </c>
      <c r="T869" s="15">
        <v>92.44</v>
      </c>
      <c r="U869" s="15"/>
      <c r="V869" s="15">
        <f>+Tabla1[[#This Row],[PAGO MENSUAL]]*12</f>
        <v>1109.28</v>
      </c>
      <c r="W869" s="17" t="s">
        <v>1573</v>
      </c>
      <c r="X869" s="14" t="s">
        <v>1042</v>
      </c>
      <c r="Y869" s="14" t="s">
        <v>74</v>
      </c>
      <c r="Z869" s="14" t="s">
        <v>74</v>
      </c>
      <c r="AB869" s="19"/>
      <c r="AC869" s="20"/>
      <c r="AD869" s="19"/>
      <c r="AE869" s="98"/>
    </row>
    <row r="870" spans="1:31" x14ac:dyDescent="0.3">
      <c r="A870" s="107">
        <v>870</v>
      </c>
      <c r="B870" s="46">
        <v>45764</v>
      </c>
      <c r="D870" s="13" t="s">
        <v>185</v>
      </c>
      <c r="E870" s="13" t="s">
        <v>51</v>
      </c>
      <c r="F870" s="13" t="s">
        <v>66</v>
      </c>
      <c r="G870" s="14" t="s">
        <v>218</v>
      </c>
      <c r="H870" s="14">
        <v>4315085</v>
      </c>
      <c r="I870" s="14" t="s">
        <v>1580</v>
      </c>
      <c r="K870" s="21"/>
      <c r="L870" s="21"/>
      <c r="M870" s="14" t="s">
        <v>700</v>
      </c>
      <c r="N870" s="14" t="s">
        <v>70</v>
      </c>
      <c r="Q870" s="14" t="s">
        <v>6</v>
      </c>
      <c r="R870" s="14" t="s">
        <v>1081</v>
      </c>
      <c r="T870" s="15">
        <v>68.77</v>
      </c>
      <c r="U870" s="15"/>
      <c r="V870" s="15">
        <f>+Tabla1[[#This Row],[PAGO MENSUAL]]*12</f>
        <v>825.24</v>
      </c>
      <c r="W870" s="17" t="s">
        <v>1452</v>
      </c>
      <c r="X870" s="14" t="s">
        <v>1042</v>
      </c>
      <c r="AB870" s="19"/>
      <c r="AC870" s="20"/>
      <c r="AD870" s="19"/>
      <c r="AE870" s="98"/>
    </row>
    <row r="871" spans="1:31" x14ac:dyDescent="0.3">
      <c r="A871" s="107">
        <v>871</v>
      </c>
      <c r="B871" s="46">
        <v>45768</v>
      </c>
      <c r="C871" s="46">
        <v>45764</v>
      </c>
      <c r="D871" s="13" t="s">
        <v>185</v>
      </c>
      <c r="E871" s="13" t="s">
        <v>51</v>
      </c>
      <c r="F871" s="13" t="s">
        <v>967</v>
      </c>
      <c r="G871" s="14" t="s">
        <v>1607</v>
      </c>
      <c r="H871" s="14" t="s">
        <v>1588</v>
      </c>
      <c r="I871" s="14" t="s">
        <v>1591</v>
      </c>
      <c r="K871" s="21"/>
      <c r="L871" s="21"/>
      <c r="M871" s="14" t="s">
        <v>88</v>
      </c>
      <c r="N871" s="14" t="s">
        <v>1222</v>
      </c>
      <c r="Q871" s="14" t="s">
        <v>1584</v>
      </c>
      <c r="R871" s="14" t="s">
        <v>64</v>
      </c>
      <c r="T871" s="15">
        <f>1250.95/12</f>
        <v>104.24583333333334</v>
      </c>
      <c r="U871" s="15"/>
      <c r="V871" s="15">
        <f>+Tabla1[[#This Row],[PAGO MENSUAL]]*12</f>
        <v>1250.95</v>
      </c>
      <c r="W871" s="17" t="s">
        <v>1594</v>
      </c>
      <c r="X871" s="14" t="s">
        <v>1042</v>
      </c>
      <c r="Y871" s="14" t="s">
        <v>74</v>
      </c>
      <c r="Z871" s="14" t="s">
        <v>74</v>
      </c>
      <c r="AB871" s="19"/>
      <c r="AC871" s="20"/>
      <c r="AD871" s="19"/>
      <c r="AE871" s="98"/>
    </row>
    <row r="872" spans="1:31" x14ac:dyDescent="0.3">
      <c r="A872" s="107">
        <v>872</v>
      </c>
      <c r="B872" s="46">
        <v>45768</v>
      </c>
      <c r="C872" s="46">
        <v>45767</v>
      </c>
      <c r="D872" s="13" t="s">
        <v>185</v>
      </c>
      <c r="E872" s="13" t="s">
        <v>51</v>
      </c>
      <c r="F872" s="13" t="s">
        <v>967</v>
      </c>
      <c r="G872" s="14" t="s">
        <v>1607</v>
      </c>
      <c r="H872" s="14" t="s">
        <v>1589</v>
      </c>
      <c r="I872" s="14" t="s">
        <v>1590</v>
      </c>
      <c r="K872" s="21"/>
      <c r="L872" s="21"/>
      <c r="M872" s="14" t="s">
        <v>1592</v>
      </c>
      <c r="N872" s="14" t="s">
        <v>108</v>
      </c>
      <c r="Q872" s="14" t="s">
        <v>1584</v>
      </c>
      <c r="R872" s="14" t="s">
        <v>64</v>
      </c>
      <c r="T872" s="15">
        <f>967.63/12</f>
        <v>80.635833333333338</v>
      </c>
      <c r="U872" s="15"/>
      <c r="V872" s="15">
        <f>+Tabla1[[#This Row],[PAGO MENSUAL]]*12</f>
        <v>967.63000000000011</v>
      </c>
      <c r="W872" s="17" t="s">
        <v>1593</v>
      </c>
      <c r="X872" s="14" t="s">
        <v>1042</v>
      </c>
      <c r="Y872" s="14" t="s">
        <v>74</v>
      </c>
      <c r="Z872" s="14" t="s">
        <v>74</v>
      </c>
      <c r="AB872" s="19"/>
      <c r="AC872" s="20"/>
      <c r="AD872" s="19"/>
      <c r="AE872" s="98"/>
    </row>
    <row r="873" spans="1:31" x14ac:dyDescent="0.3">
      <c r="A873" s="108">
        <v>873</v>
      </c>
      <c r="B873" s="46">
        <v>45768</v>
      </c>
      <c r="D873" s="13" t="s">
        <v>185</v>
      </c>
      <c r="E873" s="13" t="s">
        <v>51</v>
      </c>
      <c r="F873" s="13" t="s">
        <v>66</v>
      </c>
      <c r="G873" s="14" t="s">
        <v>396</v>
      </c>
      <c r="H873" s="14">
        <v>36864</v>
      </c>
      <c r="I873" s="14" t="s">
        <v>1615</v>
      </c>
      <c r="K873" s="21">
        <v>953587854</v>
      </c>
      <c r="L873" s="21"/>
      <c r="M873" s="14" t="s">
        <v>700</v>
      </c>
      <c r="N873" s="14" t="s">
        <v>70</v>
      </c>
      <c r="Q873" s="14" t="s">
        <v>477</v>
      </c>
      <c r="R873" s="14" t="s">
        <v>200</v>
      </c>
      <c r="T873" s="15">
        <v>91.92</v>
      </c>
      <c r="U873" s="15"/>
      <c r="V873" s="15">
        <f>+Tabla1[[#This Row],[PAGO MENSUAL]]*12</f>
        <v>1103.04</v>
      </c>
      <c r="W873" s="17" t="s">
        <v>1452</v>
      </c>
      <c r="X873" s="14" t="s">
        <v>1042</v>
      </c>
      <c r="Y873" s="14" t="s">
        <v>74</v>
      </c>
      <c r="Z873" s="14" t="s">
        <v>74</v>
      </c>
      <c r="AB873" s="19"/>
      <c r="AC873" s="20"/>
      <c r="AD873" s="19"/>
      <c r="AE873" s="98"/>
    </row>
    <row r="874" spans="1:31" x14ac:dyDescent="0.3">
      <c r="A874" s="105">
        <v>874</v>
      </c>
      <c r="B874" s="46">
        <v>45768</v>
      </c>
      <c r="D874" s="13" t="s">
        <v>185</v>
      </c>
      <c r="E874" s="13" t="s">
        <v>51</v>
      </c>
      <c r="F874" s="13" t="s">
        <v>52</v>
      </c>
      <c r="G874" s="14" t="s">
        <v>466</v>
      </c>
      <c r="H874" s="14">
        <v>16969</v>
      </c>
      <c r="I874" s="14" t="s">
        <v>1613</v>
      </c>
      <c r="K874" s="21"/>
      <c r="L874" s="21"/>
      <c r="M874" s="14" t="s">
        <v>700</v>
      </c>
      <c r="N874" s="14" t="s">
        <v>70</v>
      </c>
      <c r="Q874" s="14" t="s">
        <v>307</v>
      </c>
      <c r="R874" s="14" t="s">
        <v>295</v>
      </c>
      <c r="T874" s="15">
        <v>103.6</v>
      </c>
      <c r="U874" s="15"/>
      <c r="V874" s="15">
        <f>+Tabla1[[#This Row],[PAGO MENSUAL]]*12</f>
        <v>1243.1999999999998</v>
      </c>
      <c r="W874" s="17" t="s">
        <v>1614</v>
      </c>
      <c r="X874" s="14" t="s">
        <v>1042</v>
      </c>
      <c r="Y874" s="14" t="s">
        <v>74</v>
      </c>
      <c r="Z874" s="14" t="s">
        <v>74</v>
      </c>
      <c r="AB874" s="19"/>
      <c r="AC874" s="20"/>
      <c r="AD874" s="19"/>
      <c r="AE874" s="98"/>
    </row>
    <row r="875" spans="1:31" x14ac:dyDescent="0.3">
      <c r="A875" s="107">
        <v>875</v>
      </c>
      <c r="B875" s="46">
        <v>45769</v>
      </c>
      <c r="D875" s="13" t="s">
        <v>185</v>
      </c>
      <c r="E875" s="13" t="s">
        <v>51</v>
      </c>
      <c r="F875" s="13" t="s">
        <v>1440</v>
      </c>
      <c r="G875" s="14" t="s">
        <v>861</v>
      </c>
      <c r="H875" s="14">
        <v>4314924</v>
      </c>
      <c r="I875" s="14" t="s">
        <v>1585</v>
      </c>
      <c r="K875" s="21"/>
      <c r="L875" s="21"/>
      <c r="M875" s="14" t="s">
        <v>700</v>
      </c>
      <c r="N875" s="14" t="s">
        <v>70</v>
      </c>
      <c r="Q875" s="14" t="s">
        <v>6</v>
      </c>
      <c r="R875" s="14" t="s">
        <v>1586</v>
      </c>
      <c r="T875" s="15">
        <v>76.33</v>
      </c>
      <c r="U875" s="15"/>
      <c r="V875" s="15">
        <f>+Tabla1[[#This Row],[PAGO MENSUAL]]*12</f>
        <v>915.96</v>
      </c>
      <c r="W875" s="17" t="s">
        <v>1121</v>
      </c>
      <c r="X875" s="14" t="s">
        <v>1042</v>
      </c>
      <c r="Y875" s="14" t="s">
        <v>74</v>
      </c>
      <c r="Z875" s="14" t="s">
        <v>74</v>
      </c>
      <c r="AB875" s="19"/>
      <c r="AC875" s="20"/>
      <c r="AD875" s="19"/>
      <c r="AE875" s="98" t="s">
        <v>1587</v>
      </c>
    </row>
    <row r="876" spans="1:31" x14ac:dyDescent="0.3">
      <c r="A876" s="107">
        <v>876</v>
      </c>
      <c r="B876" s="46">
        <v>45770</v>
      </c>
      <c r="D876" s="13" t="s">
        <v>185</v>
      </c>
      <c r="E876" s="13" t="s">
        <v>51</v>
      </c>
      <c r="F876" s="13" t="s">
        <v>993</v>
      </c>
      <c r="G876" s="14" t="s">
        <v>459</v>
      </c>
      <c r="H876" s="14">
        <v>4315087</v>
      </c>
      <c r="I876" s="14" t="s">
        <v>1597</v>
      </c>
      <c r="K876" s="21"/>
      <c r="L876" s="21"/>
      <c r="M876" s="14" t="s">
        <v>700</v>
      </c>
      <c r="N876" s="14" t="s">
        <v>70</v>
      </c>
      <c r="Q876" s="14" t="s">
        <v>6</v>
      </c>
      <c r="R876" s="14" t="s">
        <v>352</v>
      </c>
      <c r="T876" s="15">
        <v>148.36000000000001</v>
      </c>
      <c r="U876" s="15"/>
      <c r="V876" s="15">
        <f>+Tabla1[[#This Row],[PAGO MENSUAL]]*12</f>
        <v>1780.3200000000002</v>
      </c>
      <c r="W876" s="17" t="s">
        <v>1121</v>
      </c>
      <c r="X876" s="14" t="s">
        <v>1042</v>
      </c>
      <c r="Y876" s="14" t="s">
        <v>74</v>
      </c>
      <c r="Z876" s="14" t="s">
        <v>74</v>
      </c>
      <c r="AB876" s="19"/>
      <c r="AC876" s="20"/>
      <c r="AD876" s="19"/>
      <c r="AE876" s="98"/>
    </row>
    <row r="877" spans="1:31" x14ac:dyDescent="0.3">
      <c r="A877" s="107">
        <v>877</v>
      </c>
      <c r="B877" s="46">
        <v>45770</v>
      </c>
      <c r="D877" s="13" t="s">
        <v>185</v>
      </c>
      <c r="E877" s="13" t="s">
        <v>51</v>
      </c>
      <c r="F877" s="13" t="s">
        <v>993</v>
      </c>
      <c r="G877" s="14" t="s">
        <v>459</v>
      </c>
      <c r="H877" s="14">
        <v>4315019</v>
      </c>
      <c r="I877" s="14" t="s">
        <v>1598</v>
      </c>
      <c r="K877" s="21"/>
      <c r="L877" s="21"/>
      <c r="M877" s="14" t="s">
        <v>700</v>
      </c>
      <c r="N877" s="14" t="s">
        <v>70</v>
      </c>
      <c r="Q877" s="14" t="s">
        <v>6</v>
      </c>
      <c r="R877" s="14" t="s">
        <v>1538</v>
      </c>
      <c r="T877" s="15">
        <v>57.96</v>
      </c>
      <c r="U877" s="15"/>
      <c r="V877" s="15">
        <f>+Tabla1[[#This Row],[PAGO MENSUAL]]*12</f>
        <v>695.52</v>
      </c>
      <c r="W877" s="17" t="s">
        <v>1121</v>
      </c>
      <c r="X877" s="14" t="s">
        <v>1042</v>
      </c>
      <c r="Y877" s="14" t="s">
        <v>74</v>
      </c>
      <c r="Z877" s="14" t="s">
        <v>74</v>
      </c>
      <c r="AB877" s="19"/>
      <c r="AC877" s="20"/>
      <c r="AD877" s="19"/>
      <c r="AE877" s="98"/>
    </row>
    <row r="878" spans="1:31" x14ac:dyDescent="0.3">
      <c r="A878" s="108">
        <v>878</v>
      </c>
      <c r="B878" s="46">
        <v>45770</v>
      </c>
      <c r="C878" s="46">
        <v>45778</v>
      </c>
      <c r="D878" s="13" t="s">
        <v>185</v>
      </c>
      <c r="E878" s="13" t="s">
        <v>51</v>
      </c>
      <c r="F878" s="13" t="s">
        <v>967</v>
      </c>
      <c r="G878" s="14" t="s">
        <v>1640</v>
      </c>
      <c r="H878" s="14" t="s">
        <v>1599</v>
      </c>
      <c r="I878" s="14" t="s">
        <v>1600</v>
      </c>
      <c r="K878" s="21"/>
      <c r="L878" s="21"/>
      <c r="M878" s="14" t="s">
        <v>700</v>
      </c>
      <c r="N878" s="14" t="s">
        <v>70</v>
      </c>
      <c r="Q878" s="14" t="s">
        <v>3</v>
      </c>
      <c r="R878" s="14" t="s">
        <v>64</v>
      </c>
      <c r="T878" s="15">
        <f>1493.76/12</f>
        <v>124.48</v>
      </c>
      <c r="U878" s="15"/>
      <c r="V878" s="15">
        <f>+Tabla1[[#This Row],[PAGO MENSUAL]]*12</f>
        <v>1493.76</v>
      </c>
      <c r="W878" s="17" t="s">
        <v>1594</v>
      </c>
      <c r="X878" s="14" t="s">
        <v>1042</v>
      </c>
      <c r="Y878" s="14" t="s">
        <v>74</v>
      </c>
      <c r="Z878" s="14" t="s">
        <v>74</v>
      </c>
      <c r="AB878" s="19"/>
      <c r="AC878" s="20"/>
      <c r="AD878" s="19"/>
      <c r="AE878" s="98"/>
    </row>
    <row r="879" spans="1:31" x14ac:dyDescent="0.3">
      <c r="A879" s="105">
        <v>879</v>
      </c>
      <c r="B879" s="46">
        <v>45770</v>
      </c>
      <c r="D879" s="13" t="s">
        <v>185</v>
      </c>
      <c r="E879" s="13" t="s">
        <v>51</v>
      </c>
      <c r="F879" s="13" t="s">
        <v>66</v>
      </c>
      <c r="G879" s="14" t="s">
        <v>175</v>
      </c>
      <c r="H879" s="14">
        <v>36895</v>
      </c>
      <c r="I879" s="14" t="s">
        <v>1603</v>
      </c>
      <c r="K879" s="21"/>
      <c r="L879" s="21"/>
      <c r="M879" s="14" t="s">
        <v>700</v>
      </c>
      <c r="N879" s="14" t="s">
        <v>70</v>
      </c>
      <c r="Q879" s="14" t="s">
        <v>477</v>
      </c>
      <c r="R879" s="14" t="s">
        <v>1602</v>
      </c>
      <c r="T879" s="15">
        <v>42.49</v>
      </c>
      <c r="U879" s="15"/>
      <c r="V879" s="15">
        <f>+Tabla1[[#This Row],[PAGO MENSUAL]]*12</f>
        <v>509.88</v>
      </c>
      <c r="W879" s="17" t="s">
        <v>1452</v>
      </c>
      <c r="X879" s="14" t="s">
        <v>1067</v>
      </c>
      <c r="Y879" s="14" t="s">
        <v>74</v>
      </c>
      <c r="Z879" s="14" t="s">
        <v>74</v>
      </c>
      <c r="AB879" s="19"/>
      <c r="AC879" s="20"/>
      <c r="AD879" s="19"/>
      <c r="AE879" s="98"/>
    </row>
    <row r="880" spans="1:31" x14ac:dyDescent="0.3">
      <c r="A880" s="107">
        <v>880</v>
      </c>
      <c r="B880" s="46">
        <v>45770</v>
      </c>
      <c r="D880" s="13" t="s">
        <v>185</v>
      </c>
      <c r="E880" s="13" t="s">
        <v>51</v>
      </c>
      <c r="F880" s="13" t="s">
        <v>66</v>
      </c>
      <c r="I880" s="14" t="s">
        <v>1621</v>
      </c>
      <c r="K880" s="21"/>
      <c r="L880" s="21"/>
      <c r="Q880" s="14" t="s">
        <v>702</v>
      </c>
      <c r="T880" s="15"/>
      <c r="U880" s="15"/>
      <c r="V880" s="15">
        <f>+Tabla1[[#This Row],[PAGO MENSUAL]]*12</f>
        <v>0</v>
      </c>
      <c r="X880" s="14" t="s">
        <v>1067</v>
      </c>
      <c r="AB880" s="19"/>
      <c r="AC880" s="20"/>
      <c r="AD880" s="19"/>
      <c r="AE880" s="98"/>
    </row>
    <row r="881" spans="1:31" x14ac:dyDescent="0.3">
      <c r="A881" s="107">
        <v>881</v>
      </c>
      <c r="B881" s="46">
        <v>45771</v>
      </c>
      <c r="D881" s="13" t="s">
        <v>185</v>
      </c>
      <c r="E881" s="13" t="s">
        <v>51</v>
      </c>
      <c r="F881" s="13" t="s">
        <v>52</v>
      </c>
      <c r="G881" s="14" t="s">
        <v>483</v>
      </c>
      <c r="H881" s="14">
        <v>4315126</v>
      </c>
      <c r="I881" s="14" t="s">
        <v>1595</v>
      </c>
      <c r="K881" s="21"/>
      <c r="L881" s="21"/>
      <c r="M881" s="14" t="s">
        <v>700</v>
      </c>
      <c r="N881" s="14" t="s">
        <v>70</v>
      </c>
      <c r="Q881" s="14" t="s">
        <v>6</v>
      </c>
      <c r="R881" s="14" t="s">
        <v>902</v>
      </c>
      <c r="T881" s="15">
        <v>39.520000000000003</v>
      </c>
      <c r="U881" s="15"/>
      <c r="V881" s="15">
        <f>+Tabla1[[#This Row],[PAGO MENSUAL]]*12</f>
        <v>474.24</v>
      </c>
      <c r="W881" s="17" t="s">
        <v>1121</v>
      </c>
      <c r="X881" s="14" t="s">
        <v>1042</v>
      </c>
      <c r="Y881" s="14" t="s">
        <v>74</v>
      </c>
      <c r="Z881" s="14" t="s">
        <v>74</v>
      </c>
      <c r="AB881" s="19"/>
      <c r="AC881" s="20"/>
      <c r="AD881" s="19"/>
      <c r="AE881" s="98" t="s">
        <v>1596</v>
      </c>
    </row>
    <row r="882" spans="1:31" x14ac:dyDescent="0.3">
      <c r="A882" s="107">
        <v>882</v>
      </c>
      <c r="B882" s="46">
        <v>45771</v>
      </c>
      <c r="D882" s="13" t="s">
        <v>185</v>
      </c>
      <c r="E882" s="13" t="s">
        <v>51</v>
      </c>
      <c r="F882" s="13" t="s">
        <v>993</v>
      </c>
      <c r="G882" s="14" t="s">
        <v>459</v>
      </c>
      <c r="H882" s="14">
        <v>4315185</v>
      </c>
      <c r="I882" s="14" t="s">
        <v>1605</v>
      </c>
      <c r="K882" s="21"/>
      <c r="L882" s="21"/>
      <c r="M882" s="14" t="s">
        <v>700</v>
      </c>
      <c r="N882" s="14" t="s">
        <v>70</v>
      </c>
      <c r="Q882" s="14" t="s">
        <v>6</v>
      </c>
      <c r="R882" s="14" t="s">
        <v>1538</v>
      </c>
      <c r="T882" s="15">
        <v>206.08</v>
      </c>
      <c r="U882" s="15"/>
      <c r="V882" s="15">
        <f>+Tabla1[[#This Row],[PAGO MENSUAL]]*12</f>
        <v>2472.96</v>
      </c>
      <c r="W882" s="17" t="s">
        <v>1121</v>
      </c>
      <c r="X882" s="14" t="s">
        <v>1042</v>
      </c>
      <c r="Y882" s="14" t="s">
        <v>74</v>
      </c>
      <c r="Z882" s="14" t="s">
        <v>74</v>
      </c>
      <c r="AB882" s="19"/>
      <c r="AC882" s="20"/>
      <c r="AD882" s="19"/>
      <c r="AE882" s="98"/>
    </row>
    <row r="883" spans="1:31" x14ac:dyDescent="0.3">
      <c r="A883" s="108">
        <v>883</v>
      </c>
      <c r="B883" s="46">
        <v>45771</v>
      </c>
      <c r="D883" s="13" t="s">
        <v>185</v>
      </c>
      <c r="E883" s="13" t="s">
        <v>51</v>
      </c>
      <c r="F883" s="13" t="s">
        <v>967</v>
      </c>
      <c r="G883" s="14" t="s">
        <v>1607</v>
      </c>
      <c r="H883" s="14">
        <v>4315091</v>
      </c>
      <c r="I883" s="14" t="s">
        <v>1606</v>
      </c>
      <c r="K883" s="21"/>
      <c r="L883" s="21"/>
      <c r="M883" s="14" t="s">
        <v>700</v>
      </c>
      <c r="N883" s="14" t="s">
        <v>70</v>
      </c>
      <c r="Q883" s="14" t="s">
        <v>6</v>
      </c>
      <c r="R883" s="14" t="s">
        <v>203</v>
      </c>
      <c r="T883" s="15">
        <v>135.18</v>
      </c>
      <c r="U883" s="15"/>
      <c r="V883" s="15">
        <f>+Tabla1[[#This Row],[PAGO MENSUAL]]*12</f>
        <v>1622.16</v>
      </c>
      <c r="W883" s="17" t="s">
        <v>1121</v>
      </c>
      <c r="X883" s="14" t="s">
        <v>1042</v>
      </c>
      <c r="Y883" s="14" t="s">
        <v>74</v>
      </c>
      <c r="Z883" s="14" t="s">
        <v>74</v>
      </c>
      <c r="AB883" s="19"/>
      <c r="AC883" s="20"/>
      <c r="AD883" s="19"/>
      <c r="AE883" s="98"/>
    </row>
    <row r="884" spans="1:31" x14ac:dyDescent="0.3">
      <c r="A884" s="105">
        <v>884</v>
      </c>
      <c r="B884" s="46">
        <v>45772</v>
      </c>
      <c r="D884" s="13" t="s">
        <v>185</v>
      </c>
      <c r="E884" s="13" t="s">
        <v>51</v>
      </c>
      <c r="F884" s="13" t="s">
        <v>1440</v>
      </c>
      <c r="G884" s="14" t="s">
        <v>566</v>
      </c>
      <c r="H884" s="14">
        <v>4315232</v>
      </c>
      <c r="I884" s="14" t="s">
        <v>1608</v>
      </c>
      <c r="K884" s="21"/>
      <c r="L884" s="21"/>
      <c r="M884" s="14" t="s">
        <v>700</v>
      </c>
      <c r="N884" s="14" t="s">
        <v>70</v>
      </c>
      <c r="Q884" s="14" t="s">
        <v>6</v>
      </c>
      <c r="R884" s="14" t="s">
        <v>314</v>
      </c>
      <c r="T884" s="15">
        <v>57.02</v>
      </c>
      <c r="U884" s="15"/>
      <c r="V884" s="15">
        <f>+Tabla1[[#This Row],[PAGO MENSUAL]]*12</f>
        <v>684.24</v>
      </c>
      <c r="W884" s="17" t="s">
        <v>1121</v>
      </c>
      <c r="X884" s="14" t="s">
        <v>1042</v>
      </c>
      <c r="Y884" s="14" t="s">
        <v>74</v>
      </c>
      <c r="Z884" s="14" t="s">
        <v>74</v>
      </c>
      <c r="AB884" s="19"/>
      <c r="AC884" s="20"/>
      <c r="AD884" s="19"/>
      <c r="AE884" s="98"/>
    </row>
    <row r="885" spans="1:31" x14ac:dyDescent="0.3">
      <c r="A885" s="107">
        <v>885</v>
      </c>
      <c r="B885" s="46">
        <v>45772</v>
      </c>
      <c r="D885" s="13" t="s">
        <v>185</v>
      </c>
      <c r="E885" s="13" t="s">
        <v>51</v>
      </c>
      <c r="F885" s="13" t="s">
        <v>1440</v>
      </c>
      <c r="G885" s="14" t="s">
        <v>566</v>
      </c>
      <c r="H885" s="14">
        <v>4315198</v>
      </c>
      <c r="I885" s="14" t="s">
        <v>1609</v>
      </c>
      <c r="K885" s="21"/>
      <c r="L885" s="21"/>
      <c r="M885" s="14" t="s">
        <v>700</v>
      </c>
      <c r="N885" s="14" t="s">
        <v>70</v>
      </c>
      <c r="Q885" s="14" t="s">
        <v>6</v>
      </c>
      <c r="R885" s="14" t="s">
        <v>277</v>
      </c>
      <c r="T885" s="15">
        <v>78.92</v>
      </c>
      <c r="U885" s="15"/>
      <c r="V885" s="15">
        <f>+Tabla1[[#This Row],[PAGO MENSUAL]]*12</f>
        <v>947.04</v>
      </c>
      <c r="W885" s="17" t="s">
        <v>1121</v>
      </c>
      <c r="X885" s="14" t="s">
        <v>1042</v>
      </c>
      <c r="Y885" s="14" t="s">
        <v>74</v>
      </c>
      <c r="Z885" s="14" t="s">
        <v>74</v>
      </c>
      <c r="AB885" s="19"/>
      <c r="AC885" s="20"/>
      <c r="AD885" s="19"/>
      <c r="AE885" s="98"/>
    </row>
    <row r="886" spans="1:31" x14ac:dyDescent="0.3">
      <c r="A886" s="107">
        <v>886</v>
      </c>
      <c r="B886" s="46">
        <v>45772</v>
      </c>
      <c r="D886" s="13" t="s">
        <v>185</v>
      </c>
      <c r="E886" s="13" t="s">
        <v>51</v>
      </c>
      <c r="F886" s="13" t="s">
        <v>1440</v>
      </c>
      <c r="G886" s="14" t="s">
        <v>566</v>
      </c>
      <c r="H886" s="14">
        <v>4315227</v>
      </c>
      <c r="I886" s="14" t="s">
        <v>1610</v>
      </c>
      <c r="K886" s="21"/>
      <c r="L886" s="21"/>
      <c r="M886" s="14" t="s">
        <v>700</v>
      </c>
      <c r="N886" s="14" t="s">
        <v>70</v>
      </c>
      <c r="Q886" s="14" t="s">
        <v>6</v>
      </c>
      <c r="R886" s="14" t="s">
        <v>277</v>
      </c>
      <c r="T886" s="15">
        <v>98.1</v>
      </c>
      <c r="U886" s="15"/>
      <c r="V886" s="15">
        <f>+Tabla1[[#This Row],[PAGO MENSUAL]]*12</f>
        <v>1177.1999999999998</v>
      </c>
      <c r="W886" s="17" t="s">
        <v>1121</v>
      </c>
      <c r="X886" s="14" t="s">
        <v>1042</v>
      </c>
      <c r="Y886" s="14" t="s">
        <v>74</v>
      </c>
      <c r="Z886" s="14" t="s">
        <v>74</v>
      </c>
      <c r="AB886" s="19"/>
      <c r="AC886" s="20"/>
      <c r="AD886" s="19"/>
      <c r="AE886" s="98"/>
    </row>
    <row r="887" spans="1:31" x14ac:dyDescent="0.3">
      <c r="A887" s="107">
        <v>887</v>
      </c>
      <c r="B887" s="46">
        <v>45772</v>
      </c>
      <c r="D887" s="13" t="s">
        <v>185</v>
      </c>
      <c r="E887" s="13" t="s">
        <v>51</v>
      </c>
      <c r="F887" s="13" t="s">
        <v>66</v>
      </c>
      <c r="G887" s="14" t="s">
        <v>860</v>
      </c>
      <c r="I887" s="14" t="s">
        <v>1612</v>
      </c>
      <c r="K887" s="21"/>
      <c r="L887" s="21"/>
      <c r="Q887" s="14" t="s">
        <v>1405</v>
      </c>
      <c r="T887" s="15"/>
      <c r="U887" s="15"/>
      <c r="V887" s="15">
        <f>+Tabla1[[#This Row],[PAGO MENSUAL]]*12</f>
        <v>0</v>
      </c>
      <c r="X887" s="14" t="s">
        <v>1067</v>
      </c>
      <c r="AB887" s="19"/>
      <c r="AC887" s="20"/>
      <c r="AD887" s="19"/>
      <c r="AE887" s="98"/>
    </row>
    <row r="888" spans="1:31" x14ac:dyDescent="0.3">
      <c r="A888" s="108">
        <v>888</v>
      </c>
      <c r="B888" s="46">
        <v>45772</v>
      </c>
      <c r="D888" s="13" t="s">
        <v>185</v>
      </c>
      <c r="E888" s="13" t="s">
        <v>51</v>
      </c>
      <c r="F888" s="13" t="s">
        <v>66</v>
      </c>
      <c r="G888" s="14" t="s">
        <v>790</v>
      </c>
      <c r="I888" s="14" t="s">
        <v>1616</v>
      </c>
      <c r="K888" s="21"/>
      <c r="L888" s="21"/>
      <c r="Q888" s="14" t="s">
        <v>477</v>
      </c>
      <c r="T888" s="15"/>
      <c r="U888" s="15"/>
      <c r="V888" s="15">
        <f>+Tabla1[[#This Row],[PAGO MENSUAL]]*12</f>
        <v>0</v>
      </c>
      <c r="X888" s="14" t="s">
        <v>1067</v>
      </c>
      <c r="AB888" s="19"/>
      <c r="AC888" s="20"/>
      <c r="AD888" s="19"/>
      <c r="AE888" s="98"/>
    </row>
    <row r="889" spans="1:31" x14ac:dyDescent="0.3">
      <c r="A889" s="105">
        <v>889</v>
      </c>
      <c r="B889" s="46">
        <v>45772</v>
      </c>
      <c r="D889" s="13" t="s">
        <v>185</v>
      </c>
      <c r="E889" s="13" t="s">
        <v>51</v>
      </c>
      <c r="F889" s="13" t="s">
        <v>66</v>
      </c>
      <c r="G889" s="14" t="s">
        <v>18</v>
      </c>
      <c r="I889" s="14" t="s">
        <v>1638</v>
      </c>
      <c r="K889" s="21"/>
      <c r="L889" s="21"/>
      <c r="Q889" s="14" t="s">
        <v>455</v>
      </c>
      <c r="T889" s="15"/>
      <c r="U889" s="15"/>
      <c r="V889" s="15">
        <f>+Tabla1[[#This Row],[PAGO MENSUAL]]*12</f>
        <v>0</v>
      </c>
      <c r="X889" s="14" t="s">
        <v>1067</v>
      </c>
      <c r="AB889" s="19"/>
      <c r="AC889" s="20"/>
      <c r="AD889" s="19"/>
      <c r="AE889" s="98"/>
    </row>
    <row r="890" spans="1:31" x14ac:dyDescent="0.3">
      <c r="A890" s="107">
        <v>890</v>
      </c>
      <c r="B890" s="46">
        <v>45772</v>
      </c>
      <c r="D890" s="13" t="s">
        <v>185</v>
      </c>
      <c r="E890" s="13" t="s">
        <v>51</v>
      </c>
      <c r="F890" s="13" t="s">
        <v>66</v>
      </c>
      <c r="G890" s="14" t="s">
        <v>18</v>
      </c>
      <c r="H890" s="14">
        <v>307215</v>
      </c>
      <c r="I890" s="14" t="s">
        <v>1639</v>
      </c>
      <c r="K890" s="21"/>
      <c r="L890" s="21"/>
      <c r="Q890" s="14" t="s">
        <v>455</v>
      </c>
      <c r="T890" s="15"/>
      <c r="U890" s="15"/>
      <c r="V890" s="15">
        <f>+Tabla1[[#This Row],[PAGO MENSUAL]]*12</f>
        <v>0</v>
      </c>
      <c r="X890" s="14" t="s">
        <v>1067</v>
      </c>
      <c r="AB890" s="19"/>
      <c r="AC890" s="20"/>
      <c r="AD890" s="19"/>
      <c r="AE890" s="98"/>
    </row>
    <row r="891" spans="1:31" x14ac:dyDescent="0.3">
      <c r="A891" s="107">
        <v>891</v>
      </c>
      <c r="B891" s="46">
        <v>45772</v>
      </c>
      <c r="D891" s="13" t="s">
        <v>185</v>
      </c>
      <c r="E891" s="13" t="s">
        <v>51</v>
      </c>
      <c r="F891" s="13" t="s">
        <v>52</v>
      </c>
      <c r="G891" s="14" t="s">
        <v>819</v>
      </c>
      <c r="H891" s="14">
        <v>7595261</v>
      </c>
      <c r="I891" s="14" t="s">
        <v>1620</v>
      </c>
      <c r="K891" s="21"/>
      <c r="L891" s="21"/>
      <c r="Q891" s="14" t="s">
        <v>132</v>
      </c>
      <c r="T891" s="15">
        <v>210</v>
      </c>
      <c r="U891" s="15"/>
      <c r="V891" s="15">
        <v>210</v>
      </c>
      <c r="X891" s="14" t="s">
        <v>1067</v>
      </c>
      <c r="AB891" s="19"/>
      <c r="AC891" s="20"/>
      <c r="AD891" s="19"/>
      <c r="AE891" s="98"/>
    </row>
    <row r="892" spans="1:31" x14ac:dyDescent="0.3">
      <c r="A892" s="107">
        <v>892</v>
      </c>
      <c r="B892" s="46">
        <v>45775</v>
      </c>
      <c r="D892" s="13" t="s">
        <v>185</v>
      </c>
      <c r="E892" s="13" t="s">
        <v>51</v>
      </c>
      <c r="F892" s="13" t="s">
        <v>967</v>
      </c>
      <c r="G892" s="14" t="s">
        <v>1607</v>
      </c>
      <c r="H892" s="14">
        <v>16994</v>
      </c>
      <c r="I892" s="14" t="s">
        <v>1611</v>
      </c>
      <c r="K892" s="21"/>
      <c r="L892" s="21"/>
      <c r="M892" s="14" t="s">
        <v>700</v>
      </c>
      <c r="N892" s="14" t="s">
        <v>70</v>
      </c>
      <c r="Q892" s="14" t="s">
        <v>307</v>
      </c>
      <c r="R892" s="14" t="s">
        <v>177</v>
      </c>
      <c r="T892" s="15">
        <v>36.18</v>
      </c>
      <c r="U892" s="15"/>
      <c r="V892" s="15">
        <f>+Tabla1[[#This Row],[PAGO MENSUAL]]*12</f>
        <v>434.15999999999997</v>
      </c>
      <c r="W892" s="17" t="s">
        <v>1614</v>
      </c>
      <c r="X892" s="14" t="s">
        <v>1042</v>
      </c>
      <c r="AB892" s="19"/>
      <c r="AC892" s="20"/>
      <c r="AD892" s="19"/>
      <c r="AE892" s="98"/>
    </row>
    <row r="893" spans="1:31" x14ac:dyDescent="0.3">
      <c r="A893" s="108">
        <v>893</v>
      </c>
      <c r="B893" s="46">
        <v>45775</v>
      </c>
      <c r="D893" s="13" t="s">
        <v>185</v>
      </c>
      <c r="E893" s="13" t="s">
        <v>51</v>
      </c>
      <c r="F893" s="13" t="s">
        <v>52</v>
      </c>
      <c r="G893" s="14" t="s">
        <v>483</v>
      </c>
      <c r="H893" s="14">
        <v>4315367</v>
      </c>
      <c r="I893" s="14" t="s">
        <v>1617</v>
      </c>
      <c r="K893" s="21"/>
      <c r="L893" s="21"/>
      <c r="M893" s="14" t="s">
        <v>700</v>
      </c>
      <c r="N893" s="14" t="s">
        <v>70</v>
      </c>
      <c r="Q893" s="14" t="s">
        <v>395</v>
      </c>
      <c r="R893" s="14" t="s">
        <v>1081</v>
      </c>
      <c r="T893" s="15">
        <v>220.65</v>
      </c>
      <c r="U893" s="15"/>
      <c r="V893" s="15">
        <f>+Tabla1[[#This Row],[PAGO MENSUAL]]*12</f>
        <v>2647.8</v>
      </c>
      <c r="W893" s="17" t="s">
        <v>1121</v>
      </c>
      <c r="X893" s="14" t="s">
        <v>1042</v>
      </c>
      <c r="Y893" s="14" t="s">
        <v>74</v>
      </c>
      <c r="Z893" s="14" t="s">
        <v>74</v>
      </c>
      <c r="AB893" s="19"/>
      <c r="AC893" s="20"/>
      <c r="AD893" s="19"/>
      <c r="AE893" s="98"/>
    </row>
    <row r="894" spans="1:31" x14ac:dyDescent="0.3">
      <c r="A894" s="105">
        <v>894</v>
      </c>
      <c r="B894" s="46">
        <v>45775</v>
      </c>
      <c r="D894" s="13" t="s">
        <v>185</v>
      </c>
      <c r="E894" s="13" t="s">
        <v>65</v>
      </c>
      <c r="F894" s="13" t="s">
        <v>52</v>
      </c>
      <c r="G894" s="14" t="s">
        <v>860</v>
      </c>
      <c r="I894" s="14" t="s">
        <v>1622</v>
      </c>
      <c r="K894" s="21"/>
      <c r="L894" s="21"/>
      <c r="T894" s="15"/>
      <c r="U894" s="15"/>
      <c r="V894" s="15">
        <f>+Tabla1[[#This Row],[PAGO MENSUAL]]*12</f>
        <v>0</v>
      </c>
      <c r="X894" s="14" t="s">
        <v>1067</v>
      </c>
      <c r="AB894" s="19"/>
      <c r="AC894" s="20"/>
      <c r="AD894" s="19"/>
      <c r="AE894" s="98"/>
    </row>
    <row r="895" spans="1:31" x14ac:dyDescent="0.3">
      <c r="A895" s="107">
        <v>895</v>
      </c>
      <c r="B895" s="46">
        <v>45775</v>
      </c>
      <c r="D895" s="13" t="s">
        <v>185</v>
      </c>
      <c r="E895" s="13" t="s">
        <v>51</v>
      </c>
      <c r="F895" s="13" t="s">
        <v>52</v>
      </c>
      <c r="G895" s="14" t="s">
        <v>860</v>
      </c>
      <c r="H895" s="14">
        <v>4315408</v>
      </c>
      <c r="I895" s="14" t="s">
        <v>1624</v>
      </c>
      <c r="K895" s="21"/>
      <c r="L895" s="21"/>
      <c r="M895" s="14" t="s">
        <v>700</v>
      </c>
      <c r="N895" s="14" t="s">
        <v>70</v>
      </c>
      <c r="Q895" s="14" t="s">
        <v>6</v>
      </c>
      <c r="R895" s="14" t="s">
        <v>1586</v>
      </c>
      <c r="T895" s="15">
        <v>59.57</v>
      </c>
      <c r="U895" s="15"/>
      <c r="V895" s="15">
        <f>+Tabla1[[#This Row],[PAGO MENSUAL]]*12</f>
        <v>714.84</v>
      </c>
      <c r="W895" s="17" t="s">
        <v>1121</v>
      </c>
      <c r="X895" s="14" t="s">
        <v>1042</v>
      </c>
      <c r="Y895" s="14" t="s">
        <v>74</v>
      </c>
      <c r="Z895" s="14" t="s">
        <v>74</v>
      </c>
      <c r="AB895" s="19"/>
      <c r="AC895" s="20"/>
      <c r="AD895" s="19"/>
      <c r="AE895" s="98"/>
    </row>
    <row r="896" spans="1:31" x14ac:dyDescent="0.3">
      <c r="A896" s="107">
        <v>896</v>
      </c>
      <c r="B896" s="46">
        <v>45776</v>
      </c>
      <c r="D896" s="13" t="s">
        <v>185</v>
      </c>
      <c r="E896" s="13" t="s">
        <v>51</v>
      </c>
      <c r="F896" s="13" t="s">
        <v>993</v>
      </c>
      <c r="G896" s="14" t="s">
        <v>459</v>
      </c>
      <c r="H896" s="14">
        <v>4315697</v>
      </c>
      <c r="I896" s="14" t="s">
        <v>1637</v>
      </c>
      <c r="K896" s="21"/>
      <c r="L896" s="21"/>
      <c r="M896" s="14" t="s">
        <v>700</v>
      </c>
      <c r="N896" s="14" t="s">
        <v>70</v>
      </c>
      <c r="Q896" s="14" t="s">
        <v>395</v>
      </c>
      <c r="R896" s="14" t="s">
        <v>1636</v>
      </c>
      <c r="T896" s="15">
        <v>167.85</v>
      </c>
      <c r="U896" s="15"/>
      <c r="V896" s="15">
        <f>+Tabla1[[#This Row],[PAGO MENSUAL]]*12</f>
        <v>2014.1999999999998</v>
      </c>
      <c r="X896" s="14" t="s">
        <v>1042</v>
      </c>
      <c r="AB896" s="19"/>
      <c r="AC896" s="20"/>
      <c r="AD896" s="19"/>
      <c r="AE896" s="98"/>
    </row>
    <row r="897" spans="1:31" x14ac:dyDescent="0.3">
      <c r="A897" s="107">
        <v>897</v>
      </c>
      <c r="B897" s="46">
        <v>45776</v>
      </c>
      <c r="D897" s="13" t="s">
        <v>185</v>
      </c>
      <c r="E897" s="13" t="s">
        <v>51</v>
      </c>
      <c r="F897" s="13" t="s">
        <v>967</v>
      </c>
      <c r="G897" s="14" t="s">
        <v>1607</v>
      </c>
      <c r="H897" s="14">
        <v>4315544</v>
      </c>
      <c r="I897" s="14" t="s">
        <v>1631</v>
      </c>
      <c r="K897" s="21"/>
      <c r="L897" s="21"/>
      <c r="M897" s="14" t="s">
        <v>700</v>
      </c>
      <c r="N897" s="14" t="s">
        <v>70</v>
      </c>
      <c r="Q897" s="14" t="s">
        <v>6</v>
      </c>
      <c r="R897" s="14" t="s">
        <v>277</v>
      </c>
      <c r="T897" s="15">
        <v>183.98</v>
      </c>
      <c r="U897" s="15"/>
      <c r="V897" s="15">
        <f>+Tabla1[[#This Row],[PAGO MENSUAL]]*12</f>
        <v>2207.7599999999998</v>
      </c>
      <c r="W897" s="17" t="s">
        <v>1121</v>
      </c>
      <c r="X897" s="14" t="s">
        <v>1042</v>
      </c>
      <c r="AB897" s="19"/>
      <c r="AC897" s="20"/>
      <c r="AD897" s="19"/>
      <c r="AE897" s="98"/>
    </row>
    <row r="898" spans="1:31" x14ac:dyDescent="0.3">
      <c r="A898" s="108">
        <v>898</v>
      </c>
      <c r="B898" s="46">
        <v>45776</v>
      </c>
      <c r="D898" s="13" t="s">
        <v>185</v>
      </c>
      <c r="E898" s="13" t="s">
        <v>51</v>
      </c>
      <c r="F898" s="13" t="s">
        <v>967</v>
      </c>
      <c r="G898" s="14" t="s">
        <v>396</v>
      </c>
      <c r="H898" s="14">
        <v>4315521</v>
      </c>
      <c r="I898" s="14" t="s">
        <v>1634</v>
      </c>
      <c r="K898" s="21"/>
      <c r="L898" s="21"/>
      <c r="M898" s="14" t="s">
        <v>700</v>
      </c>
      <c r="N898" s="14" t="s">
        <v>70</v>
      </c>
      <c r="Q898" s="14" t="s">
        <v>6</v>
      </c>
      <c r="R898" s="14" t="s">
        <v>277</v>
      </c>
      <c r="T898" s="15">
        <v>186.36</v>
      </c>
      <c r="U898" s="15"/>
      <c r="V898" s="15">
        <f>+Tabla1[[#This Row],[PAGO MENSUAL]]*12</f>
        <v>2236.3200000000002</v>
      </c>
      <c r="W898" s="17" t="s">
        <v>1121</v>
      </c>
      <c r="X898" s="14" t="s">
        <v>1042</v>
      </c>
      <c r="AB898" s="19"/>
      <c r="AC898" s="20"/>
      <c r="AD898" s="19"/>
      <c r="AE898" s="98"/>
    </row>
    <row r="899" spans="1:31" x14ac:dyDescent="0.3">
      <c r="A899" s="105">
        <v>899</v>
      </c>
      <c r="B899" s="46">
        <v>45777</v>
      </c>
      <c r="D899" s="13" t="s">
        <v>185</v>
      </c>
      <c r="E899" s="13" t="s">
        <v>51</v>
      </c>
      <c r="F899" s="13" t="s">
        <v>66</v>
      </c>
      <c r="G899" s="14" t="s">
        <v>18</v>
      </c>
      <c r="H899" s="14">
        <v>17020</v>
      </c>
      <c r="I899" s="14" t="s">
        <v>533</v>
      </c>
      <c r="K899" s="21"/>
      <c r="L899" s="21"/>
      <c r="M899" s="14" t="s">
        <v>88</v>
      </c>
      <c r="N899" s="14" t="s">
        <v>70</v>
      </c>
      <c r="Q899" s="14" t="s">
        <v>307</v>
      </c>
      <c r="R899" s="14" t="s">
        <v>177</v>
      </c>
      <c r="T899" s="15">
        <v>102.51</v>
      </c>
      <c r="U899" s="15"/>
      <c r="V899" s="15">
        <f>+Tabla1[[#This Row],[PAGO MENSUAL]]*12</f>
        <v>1230.1200000000001</v>
      </c>
      <c r="W899" s="17" t="s">
        <v>1614</v>
      </c>
      <c r="X899" s="14" t="s">
        <v>1042</v>
      </c>
      <c r="AB899" s="19"/>
      <c r="AC899" s="20"/>
      <c r="AD899" s="19"/>
      <c r="AE899" s="98"/>
    </row>
    <row r="900" spans="1:31" x14ac:dyDescent="0.3">
      <c r="A900" s="107">
        <v>900</v>
      </c>
      <c r="B900" s="46">
        <v>45777</v>
      </c>
      <c r="C900" s="46">
        <v>45778</v>
      </c>
      <c r="D900" s="13" t="s">
        <v>185</v>
      </c>
      <c r="E900" s="13" t="s">
        <v>51</v>
      </c>
      <c r="F900" s="13" t="s">
        <v>66</v>
      </c>
      <c r="G900" s="14" t="s">
        <v>790</v>
      </c>
      <c r="H900" s="14">
        <v>17013</v>
      </c>
      <c r="I900" s="14" t="s">
        <v>1629</v>
      </c>
      <c r="K900" s="21"/>
      <c r="L900" s="21"/>
      <c r="M900" s="14" t="s">
        <v>700</v>
      </c>
      <c r="N900" s="14" t="s">
        <v>70</v>
      </c>
      <c r="Q900" s="14" t="s">
        <v>307</v>
      </c>
      <c r="R900" s="14" t="s">
        <v>177</v>
      </c>
      <c r="T900" s="15">
        <v>50.51</v>
      </c>
      <c r="U900" s="15"/>
      <c r="V900" s="15">
        <f>+Tabla1[[#This Row],[PAGO MENSUAL]]*12</f>
        <v>606.12</v>
      </c>
      <c r="W900" s="17" t="s">
        <v>1614</v>
      </c>
      <c r="X900" s="14" t="s">
        <v>1042</v>
      </c>
      <c r="AB900" s="19"/>
      <c r="AC900" s="20"/>
      <c r="AD900" s="19"/>
      <c r="AE900" s="98"/>
    </row>
    <row r="901" spans="1:31" x14ac:dyDescent="0.3">
      <c r="A901" s="107">
        <v>901</v>
      </c>
      <c r="B901" s="46">
        <v>45777</v>
      </c>
      <c r="D901" s="13" t="s">
        <v>185</v>
      </c>
      <c r="E901" s="13" t="s">
        <v>51</v>
      </c>
      <c r="F901" s="13" t="s">
        <v>66</v>
      </c>
      <c r="G901" s="14" t="s">
        <v>145</v>
      </c>
      <c r="H901" s="14">
        <v>17012</v>
      </c>
      <c r="I901" s="14" t="s">
        <v>1627</v>
      </c>
      <c r="K901" s="21"/>
      <c r="L901" s="21"/>
      <c r="M901" s="14" t="s">
        <v>700</v>
      </c>
      <c r="N901" s="14" t="s">
        <v>70</v>
      </c>
      <c r="Q901" s="14" t="s">
        <v>307</v>
      </c>
      <c r="R901" s="14" t="s">
        <v>318</v>
      </c>
      <c r="T901" s="15">
        <v>78.55</v>
      </c>
      <c r="U901" s="15"/>
      <c r="V901" s="15">
        <f>+Tabla1[[#This Row],[PAGO MENSUAL]]*12</f>
        <v>942.59999999999991</v>
      </c>
      <c r="W901" s="17" t="s">
        <v>1614</v>
      </c>
      <c r="X901" s="14" t="s">
        <v>1042</v>
      </c>
      <c r="AB901" s="19"/>
      <c r="AC901" s="20"/>
      <c r="AD901" s="19"/>
      <c r="AE901" s="98"/>
    </row>
    <row r="902" spans="1:31" x14ac:dyDescent="0.3">
      <c r="A902" s="107">
        <v>902</v>
      </c>
      <c r="B902" s="46">
        <v>45777</v>
      </c>
      <c r="D902" s="13" t="s">
        <v>185</v>
      </c>
      <c r="E902" s="13" t="s">
        <v>51</v>
      </c>
      <c r="F902" s="13" t="s">
        <v>66</v>
      </c>
      <c r="G902" s="14" t="s">
        <v>218</v>
      </c>
      <c r="H902" s="14">
        <v>17017</v>
      </c>
      <c r="I902" s="14" t="s">
        <v>1628</v>
      </c>
      <c r="K902" s="21"/>
      <c r="L902" s="21"/>
      <c r="M902" s="14" t="s">
        <v>700</v>
      </c>
      <c r="N902" s="14" t="s">
        <v>70</v>
      </c>
      <c r="Q902" s="14" t="s">
        <v>307</v>
      </c>
      <c r="R902" s="14" t="s">
        <v>177</v>
      </c>
      <c r="T902" s="15">
        <v>68.34</v>
      </c>
      <c r="U902" s="15"/>
      <c r="V902" s="15">
        <f>+Tabla1[[#This Row],[PAGO MENSUAL]]*12</f>
        <v>820.08</v>
      </c>
      <c r="W902" s="17" t="s">
        <v>1614</v>
      </c>
      <c r="X902" s="14" t="s">
        <v>1042</v>
      </c>
      <c r="AB902" s="19"/>
      <c r="AC902" s="20"/>
      <c r="AD902" s="19"/>
      <c r="AE902" s="98"/>
    </row>
    <row r="903" spans="1:31" x14ac:dyDescent="0.3">
      <c r="A903" s="108">
        <v>903</v>
      </c>
      <c r="B903" s="46">
        <v>45777</v>
      </c>
      <c r="D903" s="13" t="s">
        <v>185</v>
      </c>
      <c r="E903" s="13" t="s">
        <v>51</v>
      </c>
      <c r="F903" s="13" t="s">
        <v>1006</v>
      </c>
      <c r="G903" s="14" t="s">
        <v>11</v>
      </c>
      <c r="H903" s="14">
        <v>17007</v>
      </c>
      <c r="I903" s="14" t="s">
        <v>1625</v>
      </c>
      <c r="K903" s="21"/>
      <c r="L903" s="21"/>
      <c r="M903" s="14" t="s">
        <v>700</v>
      </c>
      <c r="N903" s="14" t="s">
        <v>70</v>
      </c>
      <c r="Q903" s="14" t="s">
        <v>307</v>
      </c>
      <c r="R903" s="14" t="s">
        <v>177</v>
      </c>
      <c r="T903" s="15">
        <v>147.75</v>
      </c>
      <c r="U903" s="15"/>
      <c r="V903" s="15">
        <f>+Tabla1[[#This Row],[PAGO MENSUAL]]*12</f>
        <v>1773</v>
      </c>
      <c r="W903" s="17" t="s">
        <v>1614</v>
      </c>
      <c r="X903" s="14" t="s">
        <v>1042</v>
      </c>
      <c r="AB903" s="19"/>
      <c r="AC903" s="20"/>
      <c r="AD903" s="19"/>
      <c r="AE903" s="98"/>
    </row>
    <row r="904" spans="1:31" x14ac:dyDescent="0.3">
      <c r="A904" s="105">
        <v>904</v>
      </c>
      <c r="B904" s="46">
        <v>45777</v>
      </c>
      <c r="D904" s="13" t="s">
        <v>185</v>
      </c>
      <c r="E904" s="13" t="s">
        <v>51</v>
      </c>
      <c r="F904" s="13" t="s">
        <v>52</v>
      </c>
      <c r="G904" s="14" t="s">
        <v>466</v>
      </c>
      <c r="H904" s="14">
        <v>17010</v>
      </c>
      <c r="I904" s="14" t="s">
        <v>1626</v>
      </c>
      <c r="K904" s="21"/>
      <c r="L904" s="21"/>
      <c r="M904" s="14" t="s">
        <v>700</v>
      </c>
      <c r="N904" s="14" t="s">
        <v>70</v>
      </c>
      <c r="Q904" s="14" t="s">
        <v>307</v>
      </c>
      <c r="R904" s="14" t="s">
        <v>177</v>
      </c>
      <c r="T904" s="15">
        <v>302.58999999999997</v>
      </c>
      <c r="U904" s="15"/>
      <c r="V904" s="15">
        <f>+Tabla1[[#This Row],[PAGO MENSUAL]]*12</f>
        <v>3631.08</v>
      </c>
      <c r="W904" s="17" t="s">
        <v>1614</v>
      </c>
      <c r="X904" s="14" t="s">
        <v>1042</v>
      </c>
      <c r="AB904" s="19"/>
      <c r="AC904" s="20"/>
      <c r="AD904" s="19"/>
      <c r="AE904" s="98"/>
    </row>
    <row r="905" spans="1:31" x14ac:dyDescent="0.3">
      <c r="A905" s="107">
        <v>905</v>
      </c>
      <c r="B905" s="46">
        <v>45777</v>
      </c>
      <c r="D905" s="13" t="s">
        <v>185</v>
      </c>
      <c r="E905" s="13" t="s">
        <v>51</v>
      </c>
      <c r="F905" s="13" t="s">
        <v>52</v>
      </c>
      <c r="G905" s="14" t="s">
        <v>483</v>
      </c>
      <c r="H905" s="14">
        <v>4315942</v>
      </c>
      <c r="I905" s="14" t="s">
        <v>1630</v>
      </c>
      <c r="K905" s="21"/>
      <c r="L905" s="21"/>
      <c r="M905" s="14" t="s">
        <v>700</v>
      </c>
      <c r="N905" s="14" t="s">
        <v>70</v>
      </c>
      <c r="Q905" s="14" t="s">
        <v>6</v>
      </c>
      <c r="R905" s="14" t="s">
        <v>902</v>
      </c>
      <c r="T905" s="15">
        <v>103.71</v>
      </c>
      <c r="U905" s="15"/>
      <c r="V905" s="15">
        <f>+Tabla1[[#This Row],[PAGO MENSUAL]]*12</f>
        <v>1244.52</v>
      </c>
      <c r="W905" s="17" t="s">
        <v>1121</v>
      </c>
      <c r="X905" s="14" t="s">
        <v>1042</v>
      </c>
      <c r="AB905" s="19"/>
      <c r="AC905" s="20"/>
      <c r="AD905" s="19"/>
      <c r="AE905" s="98"/>
    </row>
    <row r="906" spans="1:31" x14ac:dyDescent="0.3">
      <c r="A906" s="107">
        <v>906</v>
      </c>
      <c r="B906" s="46">
        <v>45777</v>
      </c>
      <c r="D906" s="13" t="s">
        <v>185</v>
      </c>
      <c r="E906" s="13" t="s">
        <v>51</v>
      </c>
      <c r="F906" s="13" t="s">
        <v>66</v>
      </c>
      <c r="G906" s="14" t="s">
        <v>240</v>
      </c>
      <c r="H906" s="14">
        <v>37017</v>
      </c>
      <c r="I906" s="14" t="s">
        <v>1633</v>
      </c>
      <c r="K906" s="21"/>
      <c r="L906" s="21"/>
      <c r="M906" s="14" t="s">
        <v>700</v>
      </c>
      <c r="N906" s="14" t="s">
        <v>70</v>
      </c>
      <c r="Q906" s="14" t="s">
        <v>477</v>
      </c>
      <c r="R906" s="14" t="s">
        <v>421</v>
      </c>
      <c r="T906" s="15">
        <v>71.08</v>
      </c>
      <c r="U906" s="15"/>
      <c r="V906" s="15">
        <f>+Tabla1[[#This Row],[PAGO MENSUAL]]*12</f>
        <v>852.96</v>
      </c>
      <c r="W906" s="17" t="s">
        <v>1635</v>
      </c>
      <c r="X906" s="14" t="s">
        <v>1042</v>
      </c>
      <c r="AB906" s="19"/>
      <c r="AC906" s="20"/>
      <c r="AD906" s="19"/>
      <c r="AE906" s="98"/>
    </row>
    <row r="907" spans="1:31" x14ac:dyDescent="0.3">
      <c r="A907" s="107">
        <v>907</v>
      </c>
      <c r="B907" s="46">
        <v>45777</v>
      </c>
      <c r="D907" s="13" t="s">
        <v>185</v>
      </c>
      <c r="E907" s="13" t="s">
        <v>51</v>
      </c>
      <c r="F907" s="13" t="s">
        <v>66</v>
      </c>
      <c r="G907" s="14" t="s">
        <v>240</v>
      </c>
      <c r="H907" s="14" t="s">
        <v>1632</v>
      </c>
      <c r="I907" s="14" t="s">
        <v>1633</v>
      </c>
      <c r="K907" s="21"/>
      <c r="L907" s="21"/>
      <c r="M907" s="14" t="s">
        <v>700</v>
      </c>
      <c r="N907" s="14" t="s">
        <v>70</v>
      </c>
      <c r="Q907" s="14" t="s">
        <v>3</v>
      </c>
      <c r="R907" s="14" t="s">
        <v>64</v>
      </c>
      <c r="T907" s="15">
        <f>354.96/12</f>
        <v>29.58</v>
      </c>
      <c r="U907" s="15"/>
      <c r="V907" s="15">
        <f>+Tabla1[[#This Row],[PAGO MENSUAL]]*12</f>
        <v>354.96</v>
      </c>
      <c r="W907" s="17" t="s">
        <v>1452</v>
      </c>
      <c r="X907" s="14" t="s">
        <v>1042</v>
      </c>
      <c r="Y907" s="14" t="s">
        <v>74</v>
      </c>
      <c r="Z907" s="14" t="s">
        <v>74</v>
      </c>
      <c r="AB907" s="19"/>
      <c r="AC907" s="20"/>
      <c r="AD907" s="19"/>
      <c r="AE907" s="98"/>
    </row>
    <row r="908" spans="1:31" x14ac:dyDescent="0.3">
      <c r="A908" s="108">
        <v>908</v>
      </c>
      <c r="B908" s="46">
        <v>45778</v>
      </c>
      <c r="D908" s="13" t="s">
        <v>453</v>
      </c>
      <c r="E908" s="13" t="s">
        <v>51</v>
      </c>
      <c r="F908" s="13" t="s">
        <v>66</v>
      </c>
      <c r="G908" s="14" t="s">
        <v>16</v>
      </c>
      <c r="H908" s="14" t="s">
        <v>1663</v>
      </c>
      <c r="I908" s="14" t="s">
        <v>1664</v>
      </c>
      <c r="K908" s="21"/>
      <c r="L908" s="21"/>
      <c r="M908" s="14" t="s">
        <v>88</v>
      </c>
      <c r="N908" s="14" t="s">
        <v>70</v>
      </c>
      <c r="Q908" s="14" t="s">
        <v>3</v>
      </c>
      <c r="R908" s="14" t="s">
        <v>64</v>
      </c>
      <c r="T908" s="15">
        <f>1206.27/12</f>
        <v>100.52249999999999</v>
      </c>
      <c r="U908" s="15"/>
      <c r="V908" s="15">
        <f>+Tabla1[[#This Row],[PAGO MENSUAL]]*12</f>
        <v>1206.27</v>
      </c>
      <c r="W908" s="17" t="s">
        <v>1452</v>
      </c>
      <c r="X908" s="14" t="s">
        <v>1067</v>
      </c>
      <c r="AB908" s="19"/>
      <c r="AC908" s="20"/>
      <c r="AD908" s="19"/>
      <c r="AE908" s="98"/>
    </row>
    <row r="909" spans="1:31" x14ac:dyDescent="0.3">
      <c r="A909" s="105">
        <v>909</v>
      </c>
      <c r="B909" s="46">
        <v>45783</v>
      </c>
      <c r="C909" s="46">
        <v>45782</v>
      </c>
      <c r="D909" s="13" t="s">
        <v>453</v>
      </c>
      <c r="E909" s="13" t="s">
        <v>51</v>
      </c>
      <c r="F909" s="13" t="s">
        <v>967</v>
      </c>
      <c r="G909" s="14" t="s">
        <v>1640</v>
      </c>
      <c r="H909" s="14" t="s">
        <v>1646</v>
      </c>
      <c r="I909" s="14" t="s">
        <v>1647</v>
      </c>
      <c r="K909" s="21"/>
      <c r="L909" s="21"/>
      <c r="M909" s="14" t="s">
        <v>88</v>
      </c>
      <c r="N909" s="14" t="s">
        <v>70</v>
      </c>
      <c r="Q909" s="14" t="s">
        <v>3</v>
      </c>
      <c r="R909" s="14" t="s">
        <v>64</v>
      </c>
      <c r="T909" s="15">
        <v>41.23</v>
      </c>
      <c r="U909" s="15"/>
      <c r="V909" s="15">
        <f>+Tabla1[[#This Row],[PAGO MENSUAL]]*12</f>
        <v>494.76</v>
      </c>
      <c r="W909" s="17" t="s">
        <v>1496</v>
      </c>
      <c r="X909" s="14" t="s">
        <v>1042</v>
      </c>
      <c r="AB909" s="19"/>
      <c r="AC909" s="20"/>
      <c r="AD909" s="19"/>
      <c r="AE909" s="98"/>
    </row>
    <row r="910" spans="1:31" x14ac:dyDescent="0.3">
      <c r="A910" s="107">
        <v>910</v>
      </c>
      <c r="B910" s="46">
        <v>45783</v>
      </c>
      <c r="C910" s="46">
        <v>45782</v>
      </c>
      <c r="D910" s="13" t="s">
        <v>453</v>
      </c>
      <c r="E910" s="13" t="s">
        <v>51</v>
      </c>
      <c r="F910" s="13" t="s">
        <v>967</v>
      </c>
      <c r="G910" s="14" t="s">
        <v>1640</v>
      </c>
      <c r="H910" s="14" t="s">
        <v>1649</v>
      </c>
      <c r="I910" s="14" t="s">
        <v>1648</v>
      </c>
      <c r="K910" s="21"/>
      <c r="L910" s="21"/>
      <c r="M910" s="14" t="s">
        <v>88</v>
      </c>
      <c r="N910" s="14" t="s">
        <v>70</v>
      </c>
      <c r="Q910" s="14" t="s">
        <v>3</v>
      </c>
      <c r="R910" s="14" t="s">
        <v>64</v>
      </c>
      <c r="T910" s="15">
        <v>30.94</v>
      </c>
      <c r="U910" s="15"/>
      <c r="V910" s="15">
        <f>+Tabla1[[#This Row],[PAGO MENSUAL]]*12</f>
        <v>371.28000000000003</v>
      </c>
      <c r="W910" s="17" t="s">
        <v>1496</v>
      </c>
      <c r="X910" s="14" t="s">
        <v>1042</v>
      </c>
      <c r="AB910" s="19"/>
      <c r="AC910" s="20"/>
      <c r="AD910" s="19"/>
      <c r="AE910" s="98"/>
    </row>
    <row r="911" spans="1:31" x14ac:dyDescent="0.3">
      <c r="A911" s="107">
        <v>911</v>
      </c>
      <c r="B911" s="46">
        <v>45783</v>
      </c>
      <c r="D911" s="13" t="s">
        <v>453</v>
      </c>
      <c r="E911" s="13" t="s">
        <v>51</v>
      </c>
      <c r="F911" s="13" t="s">
        <v>967</v>
      </c>
      <c r="G911" s="14" t="s">
        <v>1640</v>
      </c>
      <c r="H911" s="14">
        <v>4316072</v>
      </c>
      <c r="I911" s="14" t="s">
        <v>1650</v>
      </c>
      <c r="K911" s="21"/>
      <c r="L911" s="21"/>
      <c r="M911" s="14" t="s">
        <v>88</v>
      </c>
      <c r="N911" s="14" t="s">
        <v>70</v>
      </c>
      <c r="Q911" s="14" t="s">
        <v>6</v>
      </c>
      <c r="R911" s="14" t="s">
        <v>352</v>
      </c>
      <c r="T911" s="15">
        <v>135.03</v>
      </c>
      <c r="U911" s="15"/>
      <c r="V911" s="15">
        <f>+Tabla1[[#This Row],[PAGO MENSUAL]]*12</f>
        <v>1620.3600000000001</v>
      </c>
      <c r="W911" s="17" t="s">
        <v>1651</v>
      </c>
      <c r="X911" s="14" t="s">
        <v>1042</v>
      </c>
      <c r="AB911" s="19"/>
      <c r="AC911" s="20"/>
      <c r="AD911" s="19"/>
      <c r="AE911" s="98"/>
    </row>
    <row r="912" spans="1:31" x14ac:dyDescent="0.3">
      <c r="A912" s="107">
        <v>912</v>
      </c>
      <c r="B912" s="46">
        <v>45783</v>
      </c>
      <c r="D912" s="13" t="s">
        <v>453</v>
      </c>
      <c r="E912" s="13" t="s">
        <v>51</v>
      </c>
      <c r="F912" s="13" t="s">
        <v>967</v>
      </c>
      <c r="G912" s="14" t="s">
        <v>1640</v>
      </c>
      <c r="H912" s="14" t="s">
        <v>1653</v>
      </c>
      <c r="I912" s="14" t="s">
        <v>1652</v>
      </c>
      <c r="K912" s="21"/>
      <c r="L912" s="21"/>
      <c r="M912" s="14" t="s">
        <v>88</v>
      </c>
      <c r="N912" s="14" t="s">
        <v>70</v>
      </c>
      <c r="Q912" s="14" t="s">
        <v>3</v>
      </c>
      <c r="R912" s="14" t="s">
        <v>64</v>
      </c>
      <c r="T912" s="15">
        <v>37.53</v>
      </c>
      <c r="U912" s="15"/>
      <c r="V912" s="15">
        <f>+Tabla1[[#This Row],[PAGO MENSUAL]]*12</f>
        <v>450.36</v>
      </c>
      <c r="W912" s="17" t="s">
        <v>1496</v>
      </c>
      <c r="X912" s="14" t="s">
        <v>1042</v>
      </c>
      <c r="AB912" s="19"/>
      <c r="AC912" s="20"/>
      <c r="AD912" s="19"/>
      <c r="AE912" s="98"/>
    </row>
    <row r="913" spans="1:31" x14ac:dyDescent="0.3">
      <c r="A913" s="108">
        <v>913</v>
      </c>
      <c r="B913" s="46">
        <v>45783</v>
      </c>
      <c r="D913" s="13" t="s">
        <v>453</v>
      </c>
      <c r="E913" s="13" t="s">
        <v>51</v>
      </c>
      <c r="F913" s="13" t="s">
        <v>967</v>
      </c>
      <c r="G913" s="14" t="s">
        <v>1640</v>
      </c>
      <c r="H913" s="14">
        <v>4316063</v>
      </c>
      <c r="I913" s="14" t="s">
        <v>1652</v>
      </c>
      <c r="K913" s="21"/>
      <c r="L913" s="21"/>
      <c r="M913" s="14" t="s">
        <v>88</v>
      </c>
      <c r="N913" s="14" t="s">
        <v>70</v>
      </c>
      <c r="Q913" s="14" t="s">
        <v>6</v>
      </c>
      <c r="R913" s="14" t="s">
        <v>1058</v>
      </c>
      <c r="T913" s="15">
        <v>284.74</v>
      </c>
      <c r="U913" s="15"/>
      <c r="V913" s="15">
        <f>+Tabla1[[#This Row],[PAGO MENSUAL]]*12</f>
        <v>3416.88</v>
      </c>
      <c r="W913" s="17" t="s">
        <v>1654</v>
      </c>
      <c r="X913" s="14" t="s">
        <v>1042</v>
      </c>
      <c r="AB913" s="19"/>
      <c r="AC913" s="20"/>
      <c r="AD913" s="19"/>
      <c r="AE913" s="98"/>
    </row>
    <row r="914" spans="1:31" x14ac:dyDescent="0.3">
      <c r="A914" s="105">
        <v>914</v>
      </c>
      <c r="B914" s="46">
        <v>45783</v>
      </c>
      <c r="D914" s="13" t="s">
        <v>453</v>
      </c>
      <c r="E914" s="13" t="s">
        <v>51</v>
      </c>
      <c r="F914" s="13" t="s">
        <v>967</v>
      </c>
      <c r="G914" s="14" t="s">
        <v>1640</v>
      </c>
      <c r="H914" s="14" t="s">
        <v>1661</v>
      </c>
      <c r="I914" s="14" t="s">
        <v>1660</v>
      </c>
      <c r="K914" s="21"/>
      <c r="L914" s="21"/>
      <c r="Q914" s="14" t="s">
        <v>3</v>
      </c>
      <c r="R914" s="14" t="s">
        <v>64</v>
      </c>
      <c r="T914" s="15">
        <f>1333.32/12</f>
        <v>111.11</v>
      </c>
      <c r="U914" s="15"/>
      <c r="V914" s="15">
        <f>+Tabla1[[#This Row],[PAGO MENSUAL]]*12</f>
        <v>1333.32</v>
      </c>
      <c r="X914" s="14" t="s">
        <v>1067</v>
      </c>
      <c r="AB914" s="19"/>
      <c r="AC914" s="20"/>
      <c r="AD914" s="19"/>
      <c r="AE914" s="98"/>
    </row>
    <row r="915" spans="1:31" x14ac:dyDescent="0.3">
      <c r="A915" s="107">
        <v>915</v>
      </c>
      <c r="B915" s="46">
        <v>45784</v>
      </c>
      <c r="D915" s="13" t="s">
        <v>453</v>
      </c>
      <c r="E915" s="13" t="s">
        <v>51</v>
      </c>
      <c r="F915" s="13" t="s">
        <v>66</v>
      </c>
      <c r="G915" s="14" t="s">
        <v>16</v>
      </c>
      <c r="I915" s="14" t="s">
        <v>1659</v>
      </c>
      <c r="K915" s="21"/>
      <c r="L915" s="21"/>
      <c r="Q915" s="14" t="s">
        <v>307</v>
      </c>
      <c r="T915" s="15"/>
      <c r="U915" s="15"/>
      <c r="V915" s="15">
        <f>+Tabla1[[#This Row],[PAGO MENSUAL]]*12</f>
        <v>0</v>
      </c>
      <c r="X915" s="14" t="s">
        <v>1067</v>
      </c>
      <c r="AB915" s="19"/>
      <c r="AC915" s="20"/>
      <c r="AD915" s="19"/>
      <c r="AE915" s="98"/>
    </row>
    <row r="916" spans="1:31" x14ac:dyDescent="0.3">
      <c r="A916" s="107">
        <v>916</v>
      </c>
      <c r="B916" s="46">
        <v>45784</v>
      </c>
      <c r="D916" s="13" t="s">
        <v>453</v>
      </c>
      <c r="E916" s="13" t="s">
        <v>51</v>
      </c>
      <c r="F916" s="13" t="s">
        <v>66</v>
      </c>
      <c r="G916" s="14" t="s">
        <v>674</v>
      </c>
      <c r="I916" s="14" t="s">
        <v>1666</v>
      </c>
      <c r="K916" s="21"/>
      <c r="L916" s="21"/>
      <c r="M916" s="14" t="s">
        <v>700</v>
      </c>
      <c r="N916" s="14" t="s">
        <v>70</v>
      </c>
      <c r="Q916" s="14" t="s">
        <v>455</v>
      </c>
      <c r="R916" s="14" t="s">
        <v>295</v>
      </c>
      <c r="T916" s="15">
        <v>217.58</v>
      </c>
      <c r="U916" s="15"/>
      <c r="V916" s="15">
        <f>+Tabla1[[#This Row],[PAGO MENSUAL]]*12</f>
        <v>2610.96</v>
      </c>
      <c r="W916" s="17" t="s">
        <v>1452</v>
      </c>
      <c r="X916" s="14" t="s">
        <v>1067</v>
      </c>
      <c r="AB916" s="19"/>
      <c r="AC916" s="20"/>
      <c r="AD916" s="19"/>
      <c r="AE916" s="98"/>
    </row>
    <row r="917" spans="1:31" x14ac:dyDescent="0.3">
      <c r="A917" s="107">
        <v>917</v>
      </c>
      <c r="B917" s="46">
        <v>45785</v>
      </c>
      <c r="D917" s="13" t="s">
        <v>453</v>
      </c>
      <c r="E917" s="13" t="s">
        <v>51</v>
      </c>
      <c r="F917" s="13" t="s">
        <v>967</v>
      </c>
      <c r="G917" s="14" t="s">
        <v>1643</v>
      </c>
      <c r="H917" s="14">
        <v>17027</v>
      </c>
      <c r="I917" s="14" t="s">
        <v>1644</v>
      </c>
      <c r="K917" s="21"/>
      <c r="L917" s="21"/>
      <c r="M917" s="14" t="s">
        <v>700</v>
      </c>
      <c r="N917" s="14" t="s">
        <v>70</v>
      </c>
      <c r="Q917" s="14" t="s">
        <v>307</v>
      </c>
      <c r="R917" s="14" t="s">
        <v>177</v>
      </c>
      <c r="T917" s="15">
        <v>64.45</v>
      </c>
      <c r="U917" s="15"/>
      <c r="V917" s="15">
        <f>+Tabla1[[#This Row],[PAGO MENSUAL]]*12</f>
        <v>773.40000000000009</v>
      </c>
      <c r="W917" s="17" t="s">
        <v>1645</v>
      </c>
      <c r="X917" s="14" t="s">
        <v>1042</v>
      </c>
      <c r="AB917" s="19"/>
      <c r="AC917" s="20"/>
      <c r="AD917" s="19"/>
      <c r="AE917" s="98"/>
    </row>
    <row r="918" spans="1:31" x14ac:dyDescent="0.3">
      <c r="A918" s="108">
        <v>918</v>
      </c>
      <c r="B918" s="46">
        <v>45785</v>
      </c>
      <c r="D918" s="13" t="s">
        <v>453</v>
      </c>
      <c r="E918" s="13" t="s">
        <v>51</v>
      </c>
      <c r="F918" s="13" t="s">
        <v>66</v>
      </c>
      <c r="G918" s="14" t="s">
        <v>145</v>
      </c>
      <c r="H918" s="14">
        <v>17044</v>
      </c>
      <c r="I918" s="14" t="s">
        <v>1658</v>
      </c>
      <c r="K918" s="21"/>
      <c r="L918" s="21"/>
      <c r="M918" s="14" t="s">
        <v>700</v>
      </c>
      <c r="N918" s="14" t="s">
        <v>70</v>
      </c>
      <c r="Q918" s="14" t="s">
        <v>307</v>
      </c>
      <c r="R918" s="14" t="s">
        <v>318</v>
      </c>
      <c r="T918" s="15">
        <v>69.19</v>
      </c>
      <c r="U918" s="15"/>
      <c r="V918" s="15">
        <f>+Tabla1[[#This Row],[PAGO MENSUAL]]*12</f>
        <v>830.28</v>
      </c>
      <c r="W918" s="17" t="s">
        <v>1645</v>
      </c>
      <c r="X918" s="14" t="s">
        <v>1067</v>
      </c>
      <c r="AB918" s="19"/>
      <c r="AC918" s="20"/>
      <c r="AD918" s="19"/>
      <c r="AE918" s="98"/>
    </row>
    <row r="919" spans="1:31" x14ac:dyDescent="0.3">
      <c r="A919" s="105">
        <v>919</v>
      </c>
      <c r="B919" s="46">
        <v>45786</v>
      </c>
      <c r="D919" s="13" t="s">
        <v>453</v>
      </c>
      <c r="E919" s="13" t="s">
        <v>51</v>
      </c>
      <c r="F919" s="13" t="s">
        <v>1440</v>
      </c>
      <c r="G919" s="14" t="s">
        <v>566</v>
      </c>
      <c r="H919" s="14">
        <v>4316276</v>
      </c>
      <c r="I919" s="14" t="s">
        <v>1641</v>
      </c>
      <c r="K919" s="21"/>
      <c r="L919" s="21"/>
      <c r="M919" s="14" t="s">
        <v>88</v>
      </c>
      <c r="N919" s="14" t="s">
        <v>70</v>
      </c>
      <c r="Q919" s="14" t="s">
        <v>6</v>
      </c>
      <c r="R919" s="14" t="s">
        <v>229</v>
      </c>
      <c r="T919" s="15">
        <v>49.92</v>
      </c>
      <c r="U919" s="15"/>
      <c r="V919" s="15">
        <f>+Tabla1[[#This Row],[PAGO MENSUAL]]*12</f>
        <v>599.04</v>
      </c>
      <c r="W919" s="17" t="s">
        <v>1642</v>
      </c>
      <c r="X919" s="14" t="s">
        <v>1042</v>
      </c>
      <c r="AB919" s="19"/>
      <c r="AC919" s="20"/>
      <c r="AD919" s="19"/>
      <c r="AE919" s="98"/>
    </row>
    <row r="920" spans="1:31" x14ac:dyDescent="0.3">
      <c r="A920" s="107">
        <v>920</v>
      </c>
      <c r="B920" s="46">
        <v>45786</v>
      </c>
      <c r="D920" s="13" t="s">
        <v>453</v>
      </c>
      <c r="E920" s="13" t="s">
        <v>51</v>
      </c>
      <c r="F920" s="13" t="s">
        <v>967</v>
      </c>
      <c r="G920" s="14" t="s">
        <v>1640</v>
      </c>
      <c r="H920" s="14">
        <v>17047</v>
      </c>
      <c r="I920" s="14" t="s">
        <v>1655</v>
      </c>
      <c r="K920" s="21"/>
      <c r="L920" s="21"/>
      <c r="M920" s="14" t="s">
        <v>700</v>
      </c>
      <c r="N920" s="14" t="s">
        <v>70</v>
      </c>
      <c r="Q920" s="14" t="s">
        <v>307</v>
      </c>
      <c r="R920" s="14" t="s">
        <v>232</v>
      </c>
      <c r="T920" s="15">
        <v>205.71</v>
      </c>
      <c r="U920" s="15"/>
      <c r="V920" s="15">
        <f>+Tabla1[[#This Row],[PAGO MENSUAL]]*12</f>
        <v>2468.52</v>
      </c>
      <c r="W920" s="17" t="s">
        <v>1645</v>
      </c>
      <c r="X920" s="14" t="s">
        <v>1067</v>
      </c>
      <c r="AB920" s="19"/>
      <c r="AC920" s="20"/>
      <c r="AD920" s="19"/>
      <c r="AE920" s="98"/>
    </row>
    <row r="921" spans="1:31" x14ac:dyDescent="0.3">
      <c r="A921" s="107">
        <v>921</v>
      </c>
      <c r="B921" s="46">
        <v>45786</v>
      </c>
      <c r="D921" s="13" t="s">
        <v>453</v>
      </c>
      <c r="E921" s="13" t="s">
        <v>51</v>
      </c>
      <c r="F921" s="13" t="s">
        <v>967</v>
      </c>
      <c r="G921" s="14" t="s">
        <v>396</v>
      </c>
      <c r="I921" s="14" t="s">
        <v>1656</v>
      </c>
      <c r="K921" s="21"/>
      <c r="L921" s="21"/>
      <c r="Q921" s="14" t="s">
        <v>307</v>
      </c>
      <c r="T921" s="15"/>
      <c r="U921" s="15"/>
      <c r="V921" s="15">
        <f>+Tabla1[[#This Row],[PAGO MENSUAL]]*12</f>
        <v>0</v>
      </c>
      <c r="X921" s="14" t="s">
        <v>1067</v>
      </c>
      <c r="AB921" s="19"/>
      <c r="AC921" s="20"/>
      <c r="AD921" s="19"/>
      <c r="AE921" s="98"/>
    </row>
    <row r="922" spans="1:31" x14ac:dyDescent="0.3">
      <c r="A922" s="107">
        <v>922</v>
      </c>
      <c r="B922" s="46">
        <v>45786</v>
      </c>
      <c r="D922" s="13" t="s">
        <v>453</v>
      </c>
      <c r="E922" s="13" t="s">
        <v>51</v>
      </c>
      <c r="F922" s="13" t="s">
        <v>967</v>
      </c>
      <c r="G922" s="14" t="s">
        <v>1640</v>
      </c>
      <c r="H922" s="14">
        <v>17046</v>
      </c>
      <c r="I922" s="14" t="s">
        <v>1657</v>
      </c>
      <c r="K922" s="21"/>
      <c r="L922" s="21"/>
      <c r="M922" s="14" t="s">
        <v>700</v>
      </c>
      <c r="N922" s="14" t="s">
        <v>70</v>
      </c>
      <c r="Q922" s="14" t="s">
        <v>307</v>
      </c>
      <c r="R922" s="14" t="s">
        <v>318</v>
      </c>
      <c r="T922" s="15">
        <v>109.97</v>
      </c>
      <c r="U922" s="15"/>
      <c r="V922" s="15">
        <f>+Tabla1[[#This Row],[PAGO MENSUAL]]*12</f>
        <v>1319.6399999999999</v>
      </c>
      <c r="W922" s="17" t="s">
        <v>1645</v>
      </c>
      <c r="X922" s="14" t="s">
        <v>1067</v>
      </c>
      <c r="AB922" s="19"/>
      <c r="AC922" s="20"/>
      <c r="AD922" s="19"/>
      <c r="AE922" s="98"/>
    </row>
    <row r="923" spans="1:31" x14ac:dyDescent="0.3">
      <c r="A923" s="108">
        <v>923</v>
      </c>
      <c r="B923" s="46">
        <v>45786</v>
      </c>
      <c r="D923" s="13" t="s">
        <v>453</v>
      </c>
      <c r="E923" s="13" t="s">
        <v>51</v>
      </c>
      <c r="F923" s="13" t="s">
        <v>52</v>
      </c>
      <c r="G923" s="14" t="s">
        <v>860</v>
      </c>
      <c r="I923" s="14" t="s">
        <v>1665</v>
      </c>
      <c r="K923" s="21"/>
      <c r="L923" s="21"/>
      <c r="Q923" s="14" t="s">
        <v>3</v>
      </c>
      <c r="T923" s="15"/>
      <c r="U923" s="15"/>
      <c r="V923" s="15">
        <f>+Tabla1[[#This Row],[PAGO MENSUAL]]*12</f>
        <v>0</v>
      </c>
      <c r="X923" s="14" t="s">
        <v>1067</v>
      </c>
      <c r="AB923" s="19"/>
      <c r="AC923" s="20"/>
      <c r="AD923" s="19"/>
      <c r="AE923" s="98"/>
    </row>
    <row r="924" spans="1:31" x14ac:dyDescent="0.3">
      <c r="A924" s="105">
        <v>924</v>
      </c>
      <c r="B924" s="46">
        <v>45789</v>
      </c>
      <c r="D924" s="13" t="s">
        <v>453</v>
      </c>
      <c r="E924" s="13" t="s">
        <v>51</v>
      </c>
      <c r="F924" s="13" t="s">
        <v>1440</v>
      </c>
      <c r="G924" s="14" t="s">
        <v>566</v>
      </c>
      <c r="H924" s="14">
        <v>4316275</v>
      </c>
      <c r="I924" s="14" t="s">
        <v>1641</v>
      </c>
      <c r="K924" s="21"/>
      <c r="L924" s="21"/>
      <c r="M924" s="14" t="s">
        <v>700</v>
      </c>
      <c r="N924" s="14" t="s">
        <v>70</v>
      </c>
      <c r="Q924" s="14" t="s">
        <v>6</v>
      </c>
      <c r="R924" s="14" t="s">
        <v>277</v>
      </c>
      <c r="T924" s="15">
        <v>98.1</v>
      </c>
      <c r="U924" s="15"/>
      <c r="V924" s="15">
        <f>+Tabla1[[#This Row],[PAGO MENSUAL]]*12</f>
        <v>1177.1999999999998</v>
      </c>
      <c r="W924" s="17" t="s">
        <v>1662</v>
      </c>
      <c r="X924" s="14" t="s">
        <v>1042</v>
      </c>
      <c r="Y924" s="14" t="s">
        <v>74</v>
      </c>
      <c r="Z924" s="14" t="s">
        <v>74</v>
      </c>
      <c r="AB924" s="19"/>
      <c r="AC924" s="20"/>
      <c r="AD924" s="19"/>
      <c r="AE924" s="98"/>
    </row>
    <row r="925" spans="1:31" x14ac:dyDescent="0.3">
      <c r="A925" s="107">
        <v>925</v>
      </c>
      <c r="B925" s="46">
        <v>45831</v>
      </c>
      <c r="D925" s="13" t="s">
        <v>453</v>
      </c>
      <c r="E925" s="13" t="s">
        <v>51</v>
      </c>
      <c r="F925" s="13" t="s">
        <v>1440</v>
      </c>
      <c r="G925" s="14" t="s">
        <v>566</v>
      </c>
      <c r="H925" s="14">
        <v>4316275</v>
      </c>
      <c r="I925" s="14" t="s">
        <v>1641</v>
      </c>
      <c r="K925" s="21"/>
      <c r="L925" s="21"/>
      <c r="T925" s="15"/>
      <c r="U925" s="15"/>
      <c r="V925" s="15">
        <f>+Tabla1[[#This Row],[PAGO MENSUAL]]*12</f>
        <v>0</v>
      </c>
      <c r="X925" s="14" t="s">
        <v>1067</v>
      </c>
      <c r="AB925" s="19"/>
      <c r="AC925" s="20"/>
      <c r="AD925" s="19"/>
      <c r="AE925" s="98"/>
    </row>
    <row r="926" spans="1:31" x14ac:dyDescent="0.3">
      <c r="A926" s="107">
        <v>926</v>
      </c>
      <c r="K926" s="21"/>
      <c r="L926" s="21"/>
      <c r="T926" s="15"/>
      <c r="U926" s="15"/>
      <c r="V926" s="15">
        <f>+Tabla1[[#This Row],[PAGO MENSUAL]]*12</f>
        <v>0</v>
      </c>
      <c r="X926" s="14" t="s">
        <v>1067</v>
      </c>
      <c r="AB926" s="19"/>
      <c r="AC926" s="20"/>
      <c r="AD926" s="19"/>
      <c r="AE926" s="98"/>
    </row>
    <row r="927" spans="1:31" x14ac:dyDescent="0.3">
      <c r="A927" s="107">
        <v>927</v>
      </c>
      <c r="K927" s="21"/>
      <c r="L927" s="21"/>
      <c r="T927" s="15"/>
      <c r="U927" s="15"/>
      <c r="V927" s="15"/>
      <c r="X927" s="14" t="s">
        <v>1067</v>
      </c>
      <c r="AB927" s="19"/>
      <c r="AC927" s="20"/>
      <c r="AD927" s="19"/>
      <c r="AE927" s="98"/>
    </row>
    <row r="928" spans="1:31" x14ac:dyDescent="0.3">
      <c r="A928" s="108">
        <v>928</v>
      </c>
      <c r="K928" s="21"/>
      <c r="L928" s="21"/>
      <c r="T928" s="15"/>
      <c r="U928" s="15"/>
      <c r="V928" s="15"/>
      <c r="X928" s="14" t="s">
        <v>1067</v>
      </c>
      <c r="AB928" s="19"/>
      <c r="AC928" s="20"/>
      <c r="AD928" s="19"/>
      <c r="AE928" s="98"/>
    </row>
    <row r="929" spans="1:31" x14ac:dyDescent="0.3">
      <c r="A929" s="105">
        <v>929</v>
      </c>
      <c r="K929" s="21"/>
      <c r="L929" s="21"/>
      <c r="T929" s="15"/>
      <c r="U929" s="15"/>
      <c r="V929" s="15"/>
      <c r="X929" s="14" t="s">
        <v>1067</v>
      </c>
      <c r="AB929" s="19"/>
      <c r="AC929" s="20"/>
      <c r="AD929" s="19"/>
      <c r="AE929" s="98"/>
    </row>
    <row r="930" spans="1:31" x14ac:dyDescent="0.3">
      <c r="A930" s="107">
        <v>930</v>
      </c>
      <c r="K930" s="21"/>
      <c r="L930" s="21"/>
      <c r="T930" s="15"/>
      <c r="U930" s="15"/>
      <c r="V930" s="15"/>
      <c r="X930" s="14" t="s">
        <v>1067</v>
      </c>
      <c r="AB930" s="19"/>
      <c r="AC930" s="20"/>
      <c r="AD930" s="19"/>
      <c r="AE930" s="98"/>
    </row>
    <row r="931" spans="1:31" x14ac:dyDescent="0.3">
      <c r="A931" s="107">
        <v>931</v>
      </c>
      <c r="K931" s="21"/>
      <c r="L931" s="21"/>
      <c r="T931" s="15"/>
      <c r="U931" s="15"/>
      <c r="V931" s="15"/>
      <c r="X931" s="14" t="s">
        <v>1067</v>
      </c>
      <c r="AB931" s="19"/>
      <c r="AC931" s="20"/>
      <c r="AD931" s="19"/>
      <c r="AE931" s="98"/>
    </row>
    <row r="932" spans="1:31" x14ac:dyDescent="0.3">
      <c r="A932" s="107">
        <v>932</v>
      </c>
      <c r="K932" s="21"/>
      <c r="L932" s="21"/>
      <c r="T932" s="15"/>
      <c r="U932" s="15"/>
      <c r="V932" s="15"/>
      <c r="X932" s="14" t="s">
        <v>1067</v>
      </c>
      <c r="AB932" s="19"/>
      <c r="AC932" s="20"/>
      <c r="AD932" s="19"/>
      <c r="AE932" s="98"/>
    </row>
    <row r="933" spans="1:31" x14ac:dyDescent="0.3">
      <c r="A933" s="108">
        <v>933</v>
      </c>
      <c r="K933" s="21"/>
      <c r="L933" s="21"/>
      <c r="T933" s="15"/>
      <c r="U933" s="15"/>
      <c r="V933" s="15"/>
      <c r="X933" s="14" t="s">
        <v>1067</v>
      </c>
      <c r="AB933" s="19"/>
      <c r="AC933" s="20"/>
      <c r="AD933" s="19"/>
      <c r="AE933" s="98"/>
    </row>
    <row r="934" spans="1:31" x14ac:dyDescent="0.3">
      <c r="A934" s="105">
        <v>934</v>
      </c>
      <c r="K934" s="21"/>
      <c r="L934" s="21"/>
      <c r="T934" s="15"/>
      <c r="U934" s="15"/>
      <c r="V934" s="15"/>
      <c r="X934" s="14" t="s">
        <v>1067</v>
      </c>
      <c r="AB934" s="19"/>
      <c r="AC934" s="20"/>
      <c r="AD934" s="19"/>
      <c r="AE934" s="98"/>
    </row>
    <row r="935" spans="1:31" x14ac:dyDescent="0.3">
      <c r="A935" s="107">
        <v>935</v>
      </c>
      <c r="K935" s="21"/>
      <c r="L935" s="21"/>
      <c r="T935" s="15"/>
      <c r="U935" s="15"/>
      <c r="V935" s="15"/>
      <c r="X935" s="14" t="s">
        <v>1067</v>
      </c>
      <c r="AB935" s="19"/>
      <c r="AC935" s="20"/>
      <c r="AD935" s="19"/>
      <c r="AE935" s="98"/>
    </row>
    <row r="936" spans="1:31" x14ac:dyDescent="0.3">
      <c r="A936" s="107">
        <v>936</v>
      </c>
      <c r="K936" s="21"/>
      <c r="L936" s="21"/>
      <c r="T936" s="15"/>
      <c r="U936" s="15"/>
      <c r="V936" s="15"/>
      <c r="X936" s="14" t="s">
        <v>1067</v>
      </c>
      <c r="AB936" s="19"/>
      <c r="AC936" s="20"/>
      <c r="AD936" s="19"/>
      <c r="AE936" s="98"/>
    </row>
    <row r="937" spans="1:31" x14ac:dyDescent="0.3">
      <c r="A937" s="107">
        <v>937</v>
      </c>
      <c r="K937" s="21"/>
      <c r="L937" s="21"/>
      <c r="T937" s="15"/>
      <c r="U937" s="15"/>
      <c r="V937" s="15"/>
      <c r="X937" s="14" t="s">
        <v>1067</v>
      </c>
      <c r="AB937" s="19"/>
      <c r="AC937" s="20"/>
      <c r="AD937" s="19"/>
      <c r="AE937" s="98"/>
    </row>
    <row r="938" spans="1:31" x14ac:dyDescent="0.3">
      <c r="A938" s="108">
        <v>938</v>
      </c>
      <c r="K938" s="21"/>
      <c r="L938" s="21"/>
      <c r="T938" s="15"/>
      <c r="U938" s="15"/>
      <c r="V938" s="15"/>
      <c r="X938" s="14" t="s">
        <v>1067</v>
      </c>
      <c r="AB938" s="19"/>
      <c r="AC938" s="20"/>
      <c r="AD938" s="19"/>
      <c r="AE938" s="98"/>
    </row>
    <row r="939" spans="1:31" x14ac:dyDescent="0.3">
      <c r="A939" s="105">
        <v>939</v>
      </c>
      <c r="K939" s="21"/>
      <c r="L939" s="21"/>
      <c r="T939" s="15"/>
      <c r="U939" s="15"/>
      <c r="V939" s="15"/>
      <c r="X939" s="14" t="s">
        <v>1067</v>
      </c>
      <c r="AB939" s="19"/>
      <c r="AC939" s="20"/>
      <c r="AD939" s="19"/>
      <c r="AE939" s="98"/>
    </row>
    <row r="940" spans="1:31" x14ac:dyDescent="0.3">
      <c r="A940" s="107">
        <v>940</v>
      </c>
      <c r="K940" s="21"/>
      <c r="L940" s="21"/>
      <c r="T940" s="15"/>
      <c r="U940" s="15"/>
      <c r="V940" s="15"/>
      <c r="X940" s="14" t="s">
        <v>1067</v>
      </c>
      <c r="AB940" s="19"/>
      <c r="AC940" s="20"/>
      <c r="AD940" s="19"/>
      <c r="AE940" s="98"/>
    </row>
    <row r="941" spans="1:31" x14ac:dyDescent="0.3">
      <c r="A941" s="107">
        <v>941</v>
      </c>
      <c r="K941" s="21"/>
      <c r="L941" s="21"/>
      <c r="T941" s="15"/>
      <c r="U941" s="15"/>
      <c r="V941" s="15"/>
      <c r="X941" s="14" t="s">
        <v>1067</v>
      </c>
      <c r="AB941" s="19"/>
      <c r="AC941" s="20"/>
      <c r="AD941" s="19"/>
      <c r="AE941" s="98"/>
    </row>
    <row r="942" spans="1:31" x14ac:dyDescent="0.3">
      <c r="A942" s="107">
        <v>942</v>
      </c>
      <c r="K942" s="21"/>
      <c r="L942" s="21"/>
      <c r="T942" s="15"/>
      <c r="U942" s="15"/>
      <c r="V942" s="15"/>
      <c r="X942" s="14" t="s">
        <v>1067</v>
      </c>
      <c r="AB942" s="19"/>
      <c r="AC942" s="20"/>
      <c r="AD942" s="19"/>
      <c r="AE942" s="98"/>
    </row>
    <row r="943" spans="1:31" x14ac:dyDescent="0.3">
      <c r="A943" s="108">
        <v>943</v>
      </c>
      <c r="K943" s="21"/>
      <c r="L943" s="21"/>
      <c r="T943" s="15"/>
      <c r="U943" s="15"/>
      <c r="V943" s="15"/>
      <c r="X943" s="14" t="s">
        <v>1067</v>
      </c>
      <c r="AB943" s="19"/>
      <c r="AC943" s="20"/>
      <c r="AD943" s="19"/>
      <c r="AE943" s="98"/>
    </row>
    <row r="944" spans="1:31" x14ac:dyDescent="0.3">
      <c r="A944" s="105">
        <v>944</v>
      </c>
      <c r="K944" s="21"/>
      <c r="L944" s="21"/>
      <c r="T944" s="15"/>
      <c r="U944" s="15"/>
      <c r="V944" s="15"/>
      <c r="X944" s="14" t="s">
        <v>1067</v>
      </c>
      <c r="AB944" s="19"/>
      <c r="AC944" s="20"/>
      <c r="AD944" s="19"/>
      <c r="AE944" s="98"/>
    </row>
    <row r="945" spans="1:31" x14ac:dyDescent="0.3">
      <c r="A945" s="107">
        <v>945</v>
      </c>
      <c r="K945" s="21"/>
      <c r="L945" s="21"/>
      <c r="T945" s="15"/>
      <c r="U945" s="15"/>
      <c r="V945" s="15"/>
      <c r="X945" s="14" t="s">
        <v>1067</v>
      </c>
      <c r="AB945" s="19"/>
      <c r="AC945" s="20"/>
      <c r="AD945" s="19"/>
      <c r="AE945" s="98"/>
    </row>
    <row r="946" spans="1:31" x14ac:dyDescent="0.3">
      <c r="A946" s="107">
        <v>946</v>
      </c>
      <c r="K946" s="21"/>
      <c r="L946" s="21"/>
      <c r="T946" s="15"/>
      <c r="U946" s="15"/>
      <c r="V946" s="15"/>
      <c r="X946" s="14" t="s">
        <v>1067</v>
      </c>
      <c r="AB946" s="19"/>
      <c r="AC946" s="20"/>
      <c r="AD946" s="19"/>
      <c r="AE946" s="98"/>
    </row>
    <row r="947" spans="1:31" x14ac:dyDescent="0.3">
      <c r="A947" s="107">
        <v>947</v>
      </c>
      <c r="K947" s="21"/>
      <c r="L947" s="21"/>
      <c r="T947" s="15"/>
      <c r="U947" s="15"/>
      <c r="V947" s="15"/>
      <c r="X947" s="14" t="s">
        <v>1067</v>
      </c>
      <c r="AB947" s="19"/>
      <c r="AC947" s="20"/>
      <c r="AD947" s="19"/>
      <c r="AE947" s="98"/>
    </row>
    <row r="948" spans="1:31" x14ac:dyDescent="0.3">
      <c r="A948" s="108">
        <v>948</v>
      </c>
      <c r="K948" s="21"/>
      <c r="L948" s="21"/>
      <c r="T948" s="15"/>
      <c r="U948" s="15"/>
      <c r="V948" s="15"/>
      <c r="X948" s="14" t="s">
        <v>1067</v>
      </c>
      <c r="AB948" s="19"/>
      <c r="AC948" s="20"/>
      <c r="AD948" s="19"/>
      <c r="AE948" s="98"/>
    </row>
    <row r="949" spans="1:31" x14ac:dyDescent="0.3">
      <c r="A949" s="105">
        <v>949</v>
      </c>
      <c r="K949" s="21"/>
      <c r="L949" s="21"/>
      <c r="T949" s="15"/>
      <c r="U949" s="15"/>
      <c r="V949" s="15"/>
      <c r="X949" s="14" t="s">
        <v>1067</v>
      </c>
      <c r="AB949" s="19"/>
      <c r="AC949" s="20"/>
      <c r="AD949" s="19"/>
      <c r="AE949" s="98"/>
    </row>
    <row r="950" spans="1:31" x14ac:dyDescent="0.3">
      <c r="A950" s="107">
        <v>950</v>
      </c>
      <c r="K950" s="21"/>
      <c r="L950" s="21"/>
      <c r="T950" s="15"/>
      <c r="U950" s="15"/>
      <c r="V950" s="15"/>
      <c r="X950" s="14" t="s">
        <v>1067</v>
      </c>
      <c r="AB950" s="19"/>
      <c r="AC950" s="20"/>
      <c r="AD950" s="19"/>
      <c r="AE950" s="98"/>
    </row>
    <row r="951" spans="1:31" x14ac:dyDescent="0.3">
      <c r="A951" s="107">
        <v>951</v>
      </c>
      <c r="K951" s="21"/>
      <c r="L951" s="21"/>
      <c r="T951" s="15"/>
      <c r="U951" s="15"/>
      <c r="V951" s="15"/>
      <c r="X951" s="14" t="s">
        <v>1067</v>
      </c>
      <c r="AB951" s="19"/>
      <c r="AC951" s="20"/>
      <c r="AD951" s="19"/>
      <c r="AE951" s="98"/>
    </row>
    <row r="952" spans="1:31" x14ac:dyDescent="0.3">
      <c r="A952" s="107">
        <v>952</v>
      </c>
      <c r="K952" s="21"/>
      <c r="L952" s="21"/>
      <c r="T952" s="15"/>
      <c r="U952" s="15"/>
      <c r="V952" s="15"/>
      <c r="X952" s="14" t="s">
        <v>1067</v>
      </c>
      <c r="AB952" s="19"/>
      <c r="AC952" s="20"/>
      <c r="AD952" s="19"/>
      <c r="AE952" s="98"/>
    </row>
    <row r="953" spans="1:31" x14ac:dyDescent="0.3">
      <c r="A953" s="108">
        <v>953</v>
      </c>
      <c r="K953" s="21"/>
      <c r="L953" s="21"/>
      <c r="T953" s="15"/>
      <c r="U953" s="15"/>
      <c r="V953" s="15"/>
      <c r="X953" s="14" t="s">
        <v>1067</v>
      </c>
      <c r="AB953" s="19"/>
      <c r="AC953" s="20"/>
      <c r="AD953" s="19"/>
      <c r="AE953" s="98"/>
    </row>
    <row r="954" spans="1:31" x14ac:dyDescent="0.3">
      <c r="A954" s="105">
        <v>954</v>
      </c>
      <c r="K954" s="21"/>
      <c r="L954" s="21"/>
      <c r="T954" s="15"/>
      <c r="U954" s="15"/>
      <c r="V954" s="15"/>
      <c r="X954" s="14" t="s">
        <v>1067</v>
      </c>
      <c r="AB954" s="19"/>
      <c r="AC954" s="20"/>
      <c r="AD954" s="19"/>
      <c r="AE954" s="98"/>
    </row>
    <row r="955" spans="1:31" x14ac:dyDescent="0.3">
      <c r="A955" s="107">
        <v>955</v>
      </c>
      <c r="K955" s="21"/>
      <c r="L955" s="21"/>
      <c r="T955" s="15"/>
      <c r="U955" s="15"/>
      <c r="V955" s="15"/>
      <c r="X955" s="14" t="s">
        <v>1067</v>
      </c>
      <c r="AB955" s="19"/>
      <c r="AC955" s="20"/>
      <c r="AD955" s="19"/>
      <c r="AE955" s="98"/>
    </row>
    <row r="956" spans="1:31" x14ac:dyDescent="0.3">
      <c r="A956" s="107">
        <v>956</v>
      </c>
      <c r="K956" s="21"/>
      <c r="L956" s="21"/>
      <c r="T956" s="15"/>
      <c r="U956" s="15"/>
      <c r="V956" s="15"/>
      <c r="X956" s="14" t="s">
        <v>1067</v>
      </c>
      <c r="AB956" s="19"/>
      <c r="AC956" s="20"/>
      <c r="AD956" s="19"/>
      <c r="AE956" s="98"/>
    </row>
    <row r="957" spans="1:31" x14ac:dyDescent="0.3">
      <c r="A957" s="107">
        <v>957</v>
      </c>
      <c r="K957" s="21"/>
      <c r="L957" s="21"/>
      <c r="T957" s="15"/>
      <c r="U957" s="15"/>
      <c r="V957" s="15"/>
      <c r="X957" s="14" t="s">
        <v>1067</v>
      </c>
      <c r="AB957" s="19"/>
      <c r="AC957" s="20"/>
      <c r="AD957" s="19"/>
      <c r="AE957" s="98"/>
    </row>
    <row r="958" spans="1:31" x14ac:dyDescent="0.3">
      <c r="A958" s="108">
        <v>958</v>
      </c>
      <c r="K958" s="21"/>
      <c r="L958" s="21"/>
      <c r="T958" s="15"/>
      <c r="U958" s="15"/>
      <c r="V958" s="15"/>
      <c r="AB958" s="19"/>
      <c r="AC958" s="20"/>
      <c r="AD958" s="19"/>
      <c r="AE958" s="98"/>
    </row>
    <row r="959" spans="1:31" x14ac:dyDescent="0.3">
      <c r="A959" s="105">
        <v>959</v>
      </c>
      <c r="K959" s="21"/>
      <c r="L959" s="21"/>
      <c r="T959" s="15"/>
      <c r="U959" s="15"/>
      <c r="V959" s="15"/>
      <c r="AB959" s="19"/>
      <c r="AC959" s="20"/>
      <c r="AD959" s="19"/>
      <c r="AE959" s="98"/>
    </row>
    <row r="960" spans="1:31" x14ac:dyDescent="0.3">
      <c r="A960" s="107">
        <v>960</v>
      </c>
      <c r="K960" s="21"/>
      <c r="L960" s="21"/>
      <c r="T960" s="15"/>
      <c r="U960" s="15"/>
      <c r="V960" s="15"/>
      <c r="AB960" s="19"/>
      <c r="AC960" s="20"/>
      <c r="AD960" s="19"/>
      <c r="AE960" s="98"/>
    </row>
    <row r="961" spans="1:31" x14ac:dyDescent="0.3">
      <c r="A961" s="107">
        <v>961</v>
      </c>
      <c r="K961" s="21"/>
      <c r="L961" s="21"/>
      <c r="T961" s="15"/>
      <c r="U961" s="15"/>
      <c r="V961" s="15"/>
      <c r="AB961" s="19"/>
      <c r="AC961" s="20"/>
      <c r="AD961" s="19"/>
      <c r="AE961" s="98"/>
    </row>
    <row r="962" spans="1:31" x14ac:dyDescent="0.3">
      <c r="A962" s="107">
        <v>962</v>
      </c>
      <c r="K962" s="21"/>
      <c r="L962" s="21"/>
      <c r="T962" s="15"/>
      <c r="U962" s="15"/>
      <c r="V962" s="15"/>
      <c r="AB962" s="19"/>
      <c r="AC962" s="20"/>
      <c r="AD962" s="19"/>
      <c r="AE962" s="98"/>
    </row>
    <row r="963" spans="1:31" x14ac:dyDescent="0.3">
      <c r="A963" s="108">
        <v>963</v>
      </c>
      <c r="K963" s="21"/>
      <c r="L963" s="21"/>
      <c r="T963" s="15"/>
      <c r="U963" s="15"/>
      <c r="V963" s="15"/>
      <c r="AB963" s="19"/>
      <c r="AC963" s="20"/>
      <c r="AD963" s="19"/>
      <c r="AE963" s="98"/>
    </row>
    <row r="964" spans="1:31" x14ac:dyDescent="0.3">
      <c r="A964" s="105">
        <v>964</v>
      </c>
      <c r="K964" s="21"/>
      <c r="L964" s="21"/>
      <c r="T964" s="15"/>
      <c r="U964" s="15"/>
      <c r="V964" s="15"/>
      <c r="AB964" s="19"/>
      <c r="AC964" s="20"/>
      <c r="AD964" s="19"/>
      <c r="AE964" s="98"/>
    </row>
    <row r="965" spans="1:31" x14ac:dyDescent="0.3">
      <c r="A965" s="107">
        <v>965</v>
      </c>
      <c r="K965" s="21"/>
      <c r="L965" s="21"/>
      <c r="T965" s="15"/>
      <c r="U965" s="15"/>
      <c r="V965" s="15"/>
      <c r="AB965" s="19"/>
      <c r="AC965" s="20"/>
      <c r="AD965" s="19"/>
      <c r="AE965" s="98"/>
    </row>
    <row r="966" spans="1:31" x14ac:dyDescent="0.3">
      <c r="A966" s="107">
        <v>966</v>
      </c>
      <c r="K966" s="21"/>
      <c r="L966" s="21"/>
      <c r="T966" s="15"/>
      <c r="U966" s="15"/>
      <c r="V966" s="15"/>
      <c r="AB966" s="19"/>
      <c r="AC966" s="20"/>
      <c r="AD966" s="19"/>
      <c r="AE966" s="98"/>
    </row>
    <row r="967" spans="1:31" x14ac:dyDescent="0.3">
      <c r="A967" s="107">
        <v>967</v>
      </c>
      <c r="K967" s="21"/>
      <c r="L967" s="21"/>
      <c r="T967" s="15"/>
      <c r="U967" s="15"/>
      <c r="V967" s="15"/>
      <c r="AB967" s="19"/>
      <c r="AC967" s="20"/>
      <c r="AD967" s="19"/>
      <c r="AE967" s="98"/>
    </row>
    <row r="968" spans="1:31" x14ac:dyDescent="0.3">
      <c r="A968" s="108">
        <v>968</v>
      </c>
      <c r="K968" s="21"/>
      <c r="L968" s="21"/>
      <c r="T968" s="15"/>
      <c r="U968" s="15"/>
      <c r="V968" s="15"/>
      <c r="AB968" s="19"/>
      <c r="AC968" s="20"/>
      <c r="AD968" s="19"/>
      <c r="AE968" s="98"/>
    </row>
    <row r="969" spans="1:31" x14ac:dyDescent="0.3">
      <c r="A969" s="105">
        <v>969</v>
      </c>
      <c r="K969" s="21"/>
      <c r="L969" s="21"/>
      <c r="T969" s="15"/>
      <c r="U969" s="15"/>
      <c r="V969" s="15"/>
      <c r="AB969" s="19"/>
      <c r="AC969" s="20"/>
      <c r="AD969" s="19"/>
      <c r="AE969" s="98"/>
    </row>
    <row r="970" spans="1:31" x14ac:dyDescent="0.3">
      <c r="A970" s="107">
        <v>970</v>
      </c>
      <c r="K970" s="21"/>
      <c r="L970" s="21"/>
      <c r="T970" s="15"/>
      <c r="U970" s="15"/>
      <c r="V970" s="15"/>
      <c r="AB970" s="19"/>
      <c r="AC970" s="20"/>
      <c r="AD970" s="19"/>
      <c r="AE970" s="98"/>
    </row>
    <row r="971" spans="1:31" x14ac:dyDescent="0.3">
      <c r="A971" s="107">
        <v>971</v>
      </c>
      <c r="K971" s="21"/>
      <c r="L971" s="21"/>
      <c r="T971" s="15"/>
      <c r="U971" s="15"/>
      <c r="V971" s="15"/>
      <c r="AB971" s="19"/>
      <c r="AC971" s="20"/>
      <c r="AD971" s="19"/>
      <c r="AE971" s="98"/>
    </row>
    <row r="972" spans="1:31" x14ac:dyDescent="0.3">
      <c r="A972" s="107">
        <v>972</v>
      </c>
      <c r="K972" s="21"/>
      <c r="L972" s="21"/>
      <c r="T972" s="15"/>
      <c r="U972" s="15"/>
      <c r="V972" s="15"/>
      <c r="AB972" s="19"/>
      <c r="AC972" s="20"/>
      <c r="AD972" s="19"/>
      <c r="AE972" s="98"/>
    </row>
    <row r="973" spans="1:31" x14ac:dyDescent="0.3">
      <c r="A973" s="108">
        <v>973</v>
      </c>
      <c r="K973" s="21"/>
      <c r="L973" s="21"/>
      <c r="T973" s="15"/>
      <c r="U973" s="15"/>
      <c r="V973" s="15"/>
      <c r="AB973" s="19"/>
      <c r="AC973" s="20"/>
      <c r="AD973" s="19"/>
      <c r="AE973" s="98"/>
    </row>
    <row r="974" spans="1:31" x14ac:dyDescent="0.3">
      <c r="A974" s="105">
        <v>974</v>
      </c>
      <c r="K974" s="21"/>
      <c r="L974" s="21"/>
      <c r="T974" s="15"/>
      <c r="U974" s="15"/>
      <c r="V974" s="15"/>
      <c r="AB974" s="19"/>
      <c r="AC974" s="20"/>
      <c r="AD974" s="19"/>
      <c r="AE974" s="98"/>
    </row>
    <row r="975" spans="1:31" x14ac:dyDescent="0.3">
      <c r="A975" s="107">
        <v>975</v>
      </c>
      <c r="K975" s="21"/>
      <c r="L975" s="21"/>
      <c r="T975" s="15"/>
      <c r="U975" s="15"/>
      <c r="V975" s="15"/>
      <c r="AB975" s="19"/>
      <c r="AC975" s="20"/>
      <c r="AD975" s="19"/>
      <c r="AE975" s="98"/>
    </row>
    <row r="976" spans="1:31" x14ac:dyDescent="0.3">
      <c r="A976" s="107">
        <v>976</v>
      </c>
      <c r="K976" s="21"/>
      <c r="L976" s="21"/>
      <c r="T976" s="15"/>
      <c r="U976" s="15"/>
      <c r="V976" s="15"/>
      <c r="AB976" s="19"/>
      <c r="AC976" s="20"/>
      <c r="AD976" s="19"/>
      <c r="AE976" s="98"/>
    </row>
    <row r="977" spans="1:31" x14ac:dyDescent="0.3">
      <c r="A977" s="107">
        <v>977</v>
      </c>
      <c r="K977" s="21"/>
      <c r="L977" s="21"/>
      <c r="T977" s="15"/>
      <c r="U977" s="15"/>
      <c r="V977" s="15"/>
      <c r="AB977" s="19"/>
      <c r="AC977" s="20"/>
      <c r="AD977" s="19"/>
      <c r="AE977" s="98"/>
    </row>
    <row r="978" spans="1:31" x14ac:dyDescent="0.3">
      <c r="A978" s="108">
        <v>978</v>
      </c>
      <c r="K978" s="21"/>
      <c r="L978" s="21"/>
      <c r="T978" s="15"/>
      <c r="U978" s="15"/>
      <c r="V978" s="15"/>
      <c r="AB978" s="19"/>
      <c r="AC978" s="20"/>
      <c r="AD978" s="19"/>
      <c r="AE978" s="98"/>
    </row>
    <row r="979" spans="1:31" x14ac:dyDescent="0.3">
      <c r="A979" s="105">
        <v>979</v>
      </c>
      <c r="K979" s="21"/>
      <c r="L979" s="21"/>
      <c r="T979" s="15"/>
      <c r="U979" s="15"/>
      <c r="V979" s="15"/>
      <c r="AB979" s="19"/>
      <c r="AC979" s="20"/>
      <c r="AD979" s="19"/>
      <c r="AE979" s="98"/>
    </row>
    <row r="980" spans="1:31" x14ac:dyDescent="0.3">
      <c r="A980" s="107">
        <v>980</v>
      </c>
      <c r="K980" s="21"/>
      <c r="L980" s="21"/>
      <c r="T980" s="15"/>
      <c r="U980" s="15"/>
      <c r="V980" s="15"/>
      <c r="AB980" s="19"/>
      <c r="AC980" s="20"/>
      <c r="AD980" s="19"/>
      <c r="AE980" s="98"/>
    </row>
    <row r="981" spans="1:31" x14ac:dyDescent="0.3">
      <c r="A981" s="107">
        <v>981</v>
      </c>
      <c r="K981" s="21"/>
      <c r="L981" s="21"/>
      <c r="T981" s="15"/>
      <c r="U981" s="15"/>
      <c r="V981" s="15"/>
      <c r="AB981" s="19"/>
      <c r="AC981" s="20"/>
      <c r="AD981" s="19"/>
      <c r="AE981" s="98"/>
    </row>
    <row r="982" spans="1:31" x14ac:dyDescent="0.3">
      <c r="A982" s="107">
        <v>982</v>
      </c>
      <c r="K982" s="21"/>
      <c r="L982" s="21"/>
      <c r="T982" s="15"/>
      <c r="U982" s="15"/>
      <c r="V982" s="15"/>
      <c r="AB982" s="19"/>
      <c r="AC982" s="20"/>
      <c r="AD982" s="19"/>
      <c r="AE982" s="98"/>
    </row>
    <row r="983" spans="1:31" x14ac:dyDescent="0.3">
      <c r="A983" s="108">
        <v>983</v>
      </c>
      <c r="K983" s="21"/>
      <c r="L983" s="21"/>
      <c r="T983" s="15"/>
      <c r="U983" s="15"/>
      <c r="V983" s="15"/>
      <c r="AB983" s="19"/>
      <c r="AC983" s="20"/>
      <c r="AD983" s="19"/>
      <c r="AE983" s="98"/>
    </row>
    <row r="984" spans="1:31" x14ac:dyDescent="0.3">
      <c r="A984" s="105">
        <v>984</v>
      </c>
      <c r="K984" s="21"/>
      <c r="L984" s="21"/>
      <c r="T984" s="15"/>
      <c r="U984" s="15"/>
      <c r="V984" s="15"/>
      <c r="AB984" s="19"/>
      <c r="AC984" s="20"/>
      <c r="AD984" s="19"/>
      <c r="AE984" s="98"/>
    </row>
    <row r="985" spans="1:31" x14ac:dyDescent="0.3">
      <c r="A985" s="107">
        <v>985</v>
      </c>
      <c r="K985" s="21"/>
      <c r="L985" s="21"/>
      <c r="T985" s="15"/>
      <c r="U985" s="15"/>
      <c r="V985" s="15"/>
      <c r="AB985" s="19"/>
      <c r="AC985" s="20"/>
      <c r="AD985" s="19"/>
      <c r="AE985" s="98"/>
    </row>
    <row r="986" spans="1:31" x14ac:dyDescent="0.3">
      <c r="A986" s="107">
        <v>986</v>
      </c>
      <c r="K986" s="21"/>
      <c r="L986" s="21"/>
      <c r="T986" s="15"/>
      <c r="U986" s="15"/>
      <c r="V986" s="15"/>
      <c r="AB986" s="19"/>
      <c r="AC986" s="20"/>
      <c r="AD986" s="19"/>
      <c r="AE986" s="98"/>
    </row>
    <row r="987" spans="1:31" x14ac:dyDescent="0.3">
      <c r="A987" s="107">
        <v>987</v>
      </c>
      <c r="K987" s="21"/>
      <c r="L987" s="21"/>
      <c r="T987" s="15"/>
      <c r="U987" s="15"/>
      <c r="V987" s="15"/>
      <c r="AB987" s="19"/>
      <c r="AC987" s="20"/>
      <c r="AD987" s="19"/>
      <c r="AE987" s="98"/>
    </row>
    <row r="988" spans="1:31" x14ac:dyDescent="0.3">
      <c r="A988" s="108">
        <v>988</v>
      </c>
      <c r="K988" s="21"/>
      <c r="L988" s="21"/>
      <c r="T988" s="15"/>
      <c r="U988" s="15"/>
      <c r="V988" s="15"/>
      <c r="AB988" s="19"/>
      <c r="AC988" s="20"/>
      <c r="AD988" s="19"/>
      <c r="AE988" s="98"/>
    </row>
    <row r="989" spans="1:31" x14ac:dyDescent="0.3">
      <c r="A989" s="105">
        <v>989</v>
      </c>
      <c r="K989" s="21"/>
      <c r="L989" s="21"/>
      <c r="T989" s="15"/>
      <c r="U989" s="15"/>
      <c r="V989" s="15"/>
      <c r="AB989" s="19"/>
      <c r="AC989" s="20"/>
      <c r="AD989" s="19"/>
      <c r="AE989" s="98"/>
    </row>
    <row r="990" spans="1:31" x14ac:dyDescent="0.3">
      <c r="A990" s="107">
        <v>990</v>
      </c>
      <c r="K990" s="21"/>
      <c r="L990" s="21"/>
      <c r="T990" s="15"/>
      <c r="U990" s="15"/>
      <c r="V990" s="15"/>
      <c r="AB990" s="19"/>
      <c r="AC990" s="20"/>
      <c r="AD990" s="19"/>
      <c r="AE990" s="98"/>
    </row>
    <row r="991" spans="1:31" x14ac:dyDescent="0.3">
      <c r="A991" s="107">
        <v>991</v>
      </c>
      <c r="K991" s="21"/>
      <c r="L991" s="21"/>
      <c r="T991" s="15"/>
      <c r="U991" s="15"/>
      <c r="V991" s="15"/>
      <c r="AB991" s="19"/>
      <c r="AC991" s="20"/>
      <c r="AD991" s="19"/>
      <c r="AE991" s="98"/>
    </row>
    <row r="992" spans="1:31" x14ac:dyDescent="0.3">
      <c r="A992" s="107">
        <v>992</v>
      </c>
      <c r="K992" s="21"/>
      <c r="L992" s="21"/>
      <c r="T992" s="15"/>
      <c r="U992" s="15"/>
      <c r="V992" s="15"/>
      <c r="AB992" s="19"/>
      <c r="AC992" s="20"/>
      <c r="AD992" s="19"/>
      <c r="AE992" s="98"/>
    </row>
    <row r="993" spans="1:31" x14ac:dyDescent="0.3">
      <c r="A993" s="108">
        <v>993</v>
      </c>
      <c r="K993" s="21"/>
      <c r="L993" s="21"/>
      <c r="T993" s="15"/>
      <c r="U993" s="15"/>
      <c r="V993" s="15"/>
      <c r="AB993" s="19"/>
      <c r="AC993" s="20"/>
      <c r="AD993" s="19"/>
      <c r="AE993" s="98"/>
    </row>
    <row r="994" spans="1:31" x14ac:dyDescent="0.3">
      <c r="A994" s="105">
        <v>994</v>
      </c>
      <c r="K994" s="21"/>
      <c r="L994" s="21"/>
      <c r="T994" s="15"/>
      <c r="U994" s="15"/>
      <c r="V994" s="15"/>
      <c r="AB994" s="19"/>
      <c r="AC994" s="20"/>
      <c r="AD994" s="19"/>
      <c r="AE994" s="98"/>
    </row>
    <row r="995" spans="1:31" x14ac:dyDescent="0.3">
      <c r="A995" s="107">
        <v>995</v>
      </c>
      <c r="K995" s="21"/>
      <c r="L995" s="21"/>
      <c r="T995" s="15"/>
      <c r="U995" s="15"/>
      <c r="V995" s="15"/>
      <c r="AB995" s="19"/>
      <c r="AC995" s="20"/>
      <c r="AD995" s="19"/>
      <c r="AE995" s="98"/>
    </row>
    <row r="996" spans="1:31" x14ac:dyDescent="0.3">
      <c r="A996" s="107">
        <v>996</v>
      </c>
      <c r="K996" s="21"/>
      <c r="L996" s="21"/>
      <c r="T996" s="15"/>
      <c r="U996" s="15"/>
      <c r="V996" s="15"/>
      <c r="AB996" s="19"/>
      <c r="AC996" s="20"/>
      <c r="AD996" s="19"/>
      <c r="AE996" s="98"/>
    </row>
    <row r="997" spans="1:31" x14ac:dyDescent="0.3">
      <c r="A997" s="107">
        <v>997</v>
      </c>
      <c r="K997" s="21"/>
      <c r="L997" s="21"/>
      <c r="T997" s="15"/>
      <c r="U997" s="15"/>
      <c r="V997" s="15"/>
      <c r="AB997" s="19"/>
      <c r="AC997" s="20"/>
      <c r="AD997" s="19"/>
      <c r="AE997" s="98"/>
    </row>
    <row r="998" spans="1:31" x14ac:dyDescent="0.3">
      <c r="A998" s="108">
        <v>998</v>
      </c>
      <c r="K998" s="21"/>
      <c r="L998" s="21"/>
      <c r="T998" s="15"/>
      <c r="U998" s="15"/>
      <c r="V998" s="15"/>
      <c r="AB998" s="19"/>
      <c r="AC998" s="20"/>
      <c r="AD998" s="19"/>
      <c r="AE998" s="98"/>
    </row>
    <row r="999" spans="1:31" x14ac:dyDescent="0.3">
      <c r="A999" s="105">
        <v>999</v>
      </c>
      <c r="K999" s="21"/>
      <c r="L999" s="21"/>
      <c r="T999" s="15"/>
      <c r="U999" s="15"/>
      <c r="V999" s="15"/>
      <c r="AB999" s="19"/>
      <c r="AC999" s="20"/>
      <c r="AD999" s="19"/>
      <c r="AE999" s="98"/>
    </row>
    <row r="1000" spans="1:31" x14ac:dyDescent="0.3">
      <c r="A1000" s="107">
        <v>1000</v>
      </c>
      <c r="K1000" s="21"/>
      <c r="L1000" s="21"/>
      <c r="T1000" s="15"/>
      <c r="U1000" s="15"/>
      <c r="V1000" s="15"/>
      <c r="AB1000" s="19"/>
      <c r="AC1000" s="20"/>
      <c r="AD1000" s="19"/>
      <c r="AE1000" s="98"/>
    </row>
    <row r="1001" spans="1:31" x14ac:dyDescent="0.3">
      <c r="A1001" s="107">
        <v>1001</v>
      </c>
      <c r="K1001" s="21"/>
      <c r="L1001" s="21"/>
      <c r="T1001" s="15"/>
      <c r="U1001" s="15"/>
      <c r="V1001" s="15"/>
      <c r="AB1001" s="19"/>
      <c r="AC1001" s="20"/>
      <c r="AD1001" s="19"/>
      <c r="AE1001" s="98"/>
    </row>
    <row r="1002" spans="1:31" x14ac:dyDescent="0.3">
      <c r="A1002" s="107">
        <v>1002</v>
      </c>
      <c r="K1002" s="21"/>
      <c r="L1002" s="21"/>
      <c r="T1002" s="15"/>
      <c r="U1002" s="15"/>
      <c r="AB1002" s="19"/>
      <c r="AC1002" s="20"/>
      <c r="AD1002" s="19"/>
      <c r="AE1002" s="98"/>
    </row>
    <row r="1003" spans="1:31" x14ac:dyDescent="0.3">
      <c r="A1003" s="108">
        <v>1003</v>
      </c>
      <c r="K1003" s="21"/>
      <c r="L1003" s="21"/>
      <c r="T1003" s="15"/>
      <c r="U1003" s="15"/>
      <c r="AB1003" s="19"/>
      <c r="AC1003" s="20"/>
      <c r="AD1003" s="19"/>
      <c r="AE1003" s="98"/>
    </row>
    <row r="1004" spans="1:31" x14ac:dyDescent="0.3">
      <c r="A1004" s="105">
        <v>1004</v>
      </c>
      <c r="K1004" s="21"/>
      <c r="L1004" s="21"/>
      <c r="T1004" s="15"/>
      <c r="U1004" s="15"/>
      <c r="AB1004" s="19"/>
      <c r="AC1004" s="20"/>
      <c r="AD1004" s="19"/>
      <c r="AE1004" s="98"/>
    </row>
    <row r="1005" spans="1:31" x14ac:dyDescent="0.3">
      <c r="A1005" s="107">
        <v>1005</v>
      </c>
      <c r="K1005" s="21"/>
      <c r="L1005" s="21"/>
      <c r="T1005" s="15"/>
      <c r="U1005" s="15"/>
      <c r="AB1005" s="19"/>
      <c r="AC1005" s="20"/>
      <c r="AD1005" s="19"/>
      <c r="AE1005" s="98"/>
    </row>
    <row r="1006" spans="1:31" x14ac:dyDescent="0.3">
      <c r="A1006" s="107">
        <v>1006</v>
      </c>
      <c r="K1006" s="21"/>
      <c r="L1006" s="21"/>
      <c r="T1006" s="15"/>
      <c r="U1006" s="15"/>
      <c r="AB1006" s="19"/>
      <c r="AC1006" s="20"/>
      <c r="AD1006" s="19"/>
      <c r="AE1006" s="98"/>
    </row>
    <row r="1007" spans="1:31" x14ac:dyDescent="0.3">
      <c r="A1007" s="107">
        <v>1007</v>
      </c>
      <c r="K1007" s="21"/>
      <c r="L1007" s="21"/>
      <c r="T1007" s="15"/>
      <c r="U1007" s="15"/>
      <c r="AB1007" s="19"/>
      <c r="AC1007" s="20"/>
      <c r="AD1007" s="19"/>
      <c r="AE1007" s="98"/>
    </row>
    <row r="1008" spans="1:31" x14ac:dyDescent="0.3">
      <c r="A1008" s="108">
        <v>1008</v>
      </c>
      <c r="K1008" s="21"/>
      <c r="L1008" s="21"/>
      <c r="T1008" s="15"/>
      <c r="U1008" s="15"/>
      <c r="AB1008" s="19"/>
      <c r="AC1008" s="20"/>
      <c r="AD1008" s="19"/>
      <c r="AE1008" s="98"/>
    </row>
    <row r="1009" spans="1:31" x14ac:dyDescent="0.3">
      <c r="A1009" s="105">
        <v>1009</v>
      </c>
      <c r="K1009" s="21"/>
      <c r="L1009" s="21"/>
      <c r="T1009" s="15"/>
      <c r="U1009" s="15"/>
      <c r="AB1009" s="19"/>
      <c r="AC1009" s="20"/>
      <c r="AD1009" s="19"/>
      <c r="AE1009" s="98"/>
    </row>
    <row r="1010" spans="1:31" x14ac:dyDescent="0.3">
      <c r="A1010" s="107">
        <v>1010</v>
      </c>
      <c r="K1010" s="21"/>
      <c r="L1010" s="21"/>
      <c r="T1010" s="15"/>
      <c r="U1010" s="15"/>
      <c r="AB1010" s="19"/>
      <c r="AC1010" s="20"/>
      <c r="AD1010" s="19"/>
      <c r="AE1010" s="98"/>
    </row>
    <row r="1011" spans="1:31" x14ac:dyDescent="0.3">
      <c r="A1011" s="107">
        <v>1011</v>
      </c>
      <c r="K1011" s="21"/>
      <c r="L1011" s="21"/>
      <c r="T1011" s="15"/>
      <c r="U1011" s="15"/>
      <c r="AB1011" s="19"/>
      <c r="AC1011" s="20"/>
      <c r="AD1011" s="19"/>
      <c r="AE1011" s="98"/>
    </row>
    <row r="1012" spans="1:31" x14ac:dyDescent="0.3">
      <c r="A1012" s="107">
        <v>1012</v>
      </c>
      <c r="K1012" s="21"/>
      <c r="L1012" s="21"/>
      <c r="T1012" s="15"/>
      <c r="U1012" s="15"/>
      <c r="AB1012" s="19"/>
      <c r="AC1012" s="20"/>
      <c r="AD1012" s="19"/>
      <c r="AE1012" s="98"/>
    </row>
    <row r="1013" spans="1:31" x14ac:dyDescent="0.3">
      <c r="A1013" s="108">
        <v>1013</v>
      </c>
      <c r="K1013" s="21"/>
      <c r="L1013" s="21"/>
      <c r="T1013" s="15"/>
      <c r="U1013" s="15"/>
      <c r="AB1013" s="19"/>
      <c r="AC1013" s="20"/>
      <c r="AD1013" s="19"/>
      <c r="AE1013" s="98"/>
    </row>
    <row r="1014" spans="1:31" x14ac:dyDescent="0.3">
      <c r="A1014" s="105">
        <v>1014</v>
      </c>
      <c r="K1014" s="21"/>
      <c r="L1014" s="21"/>
      <c r="T1014" s="15"/>
      <c r="U1014" s="15"/>
      <c r="AB1014" s="19"/>
      <c r="AC1014" s="20"/>
      <c r="AD1014" s="19"/>
      <c r="AE1014" s="98"/>
    </row>
    <row r="1015" spans="1:31" x14ac:dyDescent="0.3">
      <c r="A1015" s="107">
        <v>1015</v>
      </c>
      <c r="K1015" s="21"/>
      <c r="L1015" s="21"/>
      <c r="T1015" s="15"/>
      <c r="U1015" s="15"/>
      <c r="AB1015" s="19"/>
      <c r="AC1015" s="20"/>
      <c r="AD1015" s="19"/>
      <c r="AE1015" s="98"/>
    </row>
    <row r="1016" spans="1:31" x14ac:dyDescent="0.3">
      <c r="A1016" s="107">
        <v>1016</v>
      </c>
      <c r="K1016" s="21"/>
      <c r="L1016" s="21"/>
      <c r="T1016" s="15"/>
      <c r="U1016" s="15"/>
      <c r="AB1016" s="19"/>
      <c r="AC1016" s="20"/>
      <c r="AD1016" s="19"/>
      <c r="AE1016" s="98"/>
    </row>
    <row r="1017" spans="1:31" x14ac:dyDescent="0.3">
      <c r="A1017" s="107">
        <v>1017</v>
      </c>
      <c r="K1017" s="21"/>
      <c r="L1017" s="21"/>
      <c r="T1017" s="15"/>
      <c r="U1017" s="15"/>
      <c r="AB1017" s="19"/>
      <c r="AC1017" s="20"/>
      <c r="AD1017" s="19"/>
      <c r="AE1017" s="98"/>
    </row>
    <row r="1018" spans="1:31" x14ac:dyDescent="0.3">
      <c r="A1018" s="108">
        <v>1018</v>
      </c>
      <c r="K1018" s="21"/>
      <c r="L1018" s="21"/>
      <c r="T1018" s="15"/>
      <c r="U1018" s="15"/>
      <c r="AB1018" s="19"/>
      <c r="AC1018" s="20"/>
      <c r="AD1018" s="19"/>
      <c r="AE1018" s="98"/>
    </row>
    <row r="1019" spans="1:31" x14ac:dyDescent="0.3">
      <c r="A1019" s="105">
        <v>1019</v>
      </c>
      <c r="K1019" s="21"/>
      <c r="L1019" s="21"/>
      <c r="T1019" s="15"/>
      <c r="U1019" s="15"/>
      <c r="AB1019" s="19"/>
      <c r="AC1019" s="20"/>
      <c r="AD1019" s="19"/>
      <c r="AE1019" s="98"/>
    </row>
    <row r="1020" spans="1:31" x14ac:dyDescent="0.3">
      <c r="A1020" s="107">
        <v>1020</v>
      </c>
      <c r="K1020" s="21"/>
      <c r="L1020" s="21"/>
      <c r="T1020" s="15"/>
      <c r="U1020" s="15"/>
      <c r="AB1020" s="19"/>
      <c r="AC1020" s="20"/>
      <c r="AD1020" s="19"/>
      <c r="AE1020" s="98"/>
    </row>
    <row r="1021" spans="1:31" x14ac:dyDescent="0.3">
      <c r="A1021" s="107">
        <v>1021</v>
      </c>
      <c r="K1021" s="21"/>
      <c r="L1021" s="21"/>
      <c r="T1021" s="15"/>
      <c r="U1021" s="15"/>
      <c r="AB1021" s="19"/>
      <c r="AC1021" s="20"/>
      <c r="AD1021" s="19"/>
      <c r="AE1021" s="98"/>
    </row>
    <row r="1022" spans="1:31" x14ac:dyDescent="0.3">
      <c r="A1022" s="107">
        <v>1022</v>
      </c>
      <c r="K1022" s="21"/>
      <c r="L1022" s="21"/>
      <c r="T1022" s="15"/>
      <c r="U1022" s="15"/>
      <c r="AB1022" s="19"/>
      <c r="AC1022" s="20"/>
      <c r="AD1022" s="19"/>
      <c r="AE1022" s="98"/>
    </row>
    <row r="1023" spans="1:31" x14ac:dyDescent="0.3">
      <c r="A1023" s="108">
        <v>1023</v>
      </c>
      <c r="K1023" s="21"/>
      <c r="L1023" s="21"/>
      <c r="T1023" s="15"/>
      <c r="U1023" s="15"/>
      <c r="AB1023" s="19"/>
      <c r="AC1023" s="20"/>
      <c r="AD1023" s="19"/>
      <c r="AE1023" s="98"/>
    </row>
    <row r="1024" spans="1:31" x14ac:dyDescent="0.3">
      <c r="A1024" s="105">
        <v>1024</v>
      </c>
      <c r="K1024" s="21"/>
      <c r="L1024" s="21"/>
      <c r="T1024" s="15"/>
      <c r="U1024" s="15"/>
      <c r="AB1024" s="19"/>
      <c r="AC1024" s="20"/>
      <c r="AD1024" s="19"/>
      <c r="AE1024" s="98"/>
    </row>
    <row r="1025" spans="1:31" x14ac:dyDescent="0.3">
      <c r="A1025" s="107">
        <v>1025</v>
      </c>
      <c r="K1025" s="21"/>
      <c r="L1025" s="21"/>
      <c r="T1025" s="15"/>
      <c r="U1025" s="15"/>
      <c r="AB1025" s="19"/>
      <c r="AC1025" s="20"/>
      <c r="AD1025" s="19"/>
      <c r="AE1025" s="98"/>
    </row>
    <row r="1026" spans="1:31" x14ac:dyDescent="0.3">
      <c r="A1026" s="107">
        <v>1026</v>
      </c>
      <c r="K1026" s="21"/>
      <c r="L1026" s="21"/>
      <c r="T1026" s="15"/>
      <c r="U1026" s="15"/>
      <c r="AB1026" s="19"/>
      <c r="AC1026" s="20"/>
      <c r="AD1026" s="19"/>
      <c r="AE1026" s="98"/>
    </row>
    <row r="1027" spans="1:31" x14ac:dyDescent="0.3">
      <c r="A1027" s="107">
        <v>1027</v>
      </c>
      <c r="K1027" s="21"/>
      <c r="L1027" s="21"/>
      <c r="T1027" s="15"/>
      <c r="U1027" s="15"/>
      <c r="AB1027" s="19"/>
      <c r="AC1027" s="20"/>
      <c r="AD1027" s="19"/>
      <c r="AE1027" s="98"/>
    </row>
    <row r="1028" spans="1:31" x14ac:dyDescent="0.3">
      <c r="A1028" s="108">
        <v>1028</v>
      </c>
      <c r="K1028" s="21"/>
      <c r="L1028" s="21"/>
      <c r="T1028" s="15"/>
      <c r="U1028" s="15"/>
      <c r="AB1028" s="19"/>
      <c r="AC1028" s="20"/>
      <c r="AD1028" s="19"/>
      <c r="AE1028" s="98"/>
    </row>
    <row r="1029" spans="1:31" x14ac:dyDescent="0.3">
      <c r="A1029" s="105">
        <v>1029</v>
      </c>
      <c r="K1029" s="21"/>
      <c r="L1029" s="21"/>
      <c r="T1029" s="15"/>
      <c r="U1029" s="15"/>
      <c r="AB1029" s="19"/>
      <c r="AC1029" s="20"/>
      <c r="AD1029" s="19"/>
      <c r="AE1029" s="98"/>
    </row>
    <row r="1030" spans="1:31" x14ac:dyDescent="0.3">
      <c r="A1030" s="107">
        <v>1030</v>
      </c>
      <c r="K1030" s="21"/>
      <c r="L1030" s="21"/>
      <c r="T1030" s="15"/>
      <c r="U1030" s="15"/>
      <c r="AB1030" s="19"/>
      <c r="AC1030" s="20"/>
      <c r="AD1030" s="19"/>
      <c r="AE1030" s="98"/>
    </row>
    <row r="1031" spans="1:31" x14ac:dyDescent="0.3">
      <c r="A1031" s="107">
        <v>1031</v>
      </c>
      <c r="K1031" s="21"/>
      <c r="L1031" s="21"/>
      <c r="T1031" s="15"/>
      <c r="U1031" s="15"/>
      <c r="AB1031" s="19"/>
      <c r="AC1031" s="20"/>
      <c r="AD1031" s="19"/>
      <c r="AE1031" s="98"/>
    </row>
    <row r="1032" spans="1:31" x14ac:dyDescent="0.3">
      <c r="A1032" s="107">
        <v>1032</v>
      </c>
      <c r="K1032" s="21"/>
      <c r="L1032" s="21"/>
      <c r="T1032" s="15"/>
      <c r="U1032" s="15"/>
      <c r="AB1032" s="19"/>
      <c r="AC1032" s="20"/>
      <c r="AD1032" s="19"/>
      <c r="AE1032" s="98"/>
    </row>
    <row r="1033" spans="1:31" x14ac:dyDescent="0.3">
      <c r="A1033" s="108">
        <v>1033</v>
      </c>
      <c r="K1033" s="21"/>
      <c r="L1033" s="21"/>
      <c r="T1033" s="15"/>
      <c r="U1033" s="15"/>
      <c r="AB1033" s="19"/>
      <c r="AC1033" s="20"/>
      <c r="AD1033" s="19"/>
      <c r="AE1033" s="98"/>
    </row>
    <row r="1034" spans="1:31" x14ac:dyDescent="0.3">
      <c r="A1034" s="105">
        <v>1034</v>
      </c>
      <c r="K1034" s="21"/>
      <c r="L1034" s="21"/>
      <c r="T1034" s="15"/>
      <c r="U1034" s="15"/>
      <c r="AB1034" s="19"/>
      <c r="AC1034" s="20"/>
      <c r="AD1034" s="19"/>
      <c r="AE1034" s="98"/>
    </row>
    <row r="1035" spans="1:31" x14ac:dyDescent="0.3">
      <c r="A1035" s="107">
        <v>1035</v>
      </c>
      <c r="K1035" s="21"/>
      <c r="L1035" s="21"/>
      <c r="T1035" s="15"/>
      <c r="U1035" s="15"/>
      <c r="AB1035" s="19"/>
      <c r="AC1035" s="20"/>
      <c r="AD1035" s="19"/>
      <c r="AE1035" s="98"/>
    </row>
    <row r="1036" spans="1:31" x14ac:dyDescent="0.3">
      <c r="A1036" s="107">
        <v>1036</v>
      </c>
      <c r="K1036" s="21"/>
      <c r="L1036" s="21"/>
      <c r="T1036" s="15"/>
      <c r="U1036" s="15"/>
      <c r="AB1036" s="19"/>
      <c r="AC1036" s="20"/>
      <c r="AD1036" s="19"/>
      <c r="AE1036" s="98"/>
    </row>
    <row r="1037" spans="1:31" x14ac:dyDescent="0.3">
      <c r="A1037" s="107">
        <v>1037</v>
      </c>
      <c r="K1037" s="21"/>
      <c r="L1037" s="21"/>
      <c r="T1037" s="15"/>
      <c r="U1037" s="15"/>
      <c r="AB1037" s="19"/>
      <c r="AC1037" s="20"/>
      <c r="AD1037" s="19"/>
      <c r="AE1037" s="98"/>
    </row>
    <row r="1038" spans="1:31" x14ac:dyDescent="0.3">
      <c r="A1038" s="108">
        <v>1038</v>
      </c>
      <c r="K1038" s="21"/>
      <c r="L1038" s="21"/>
      <c r="T1038" s="15"/>
      <c r="U1038" s="15"/>
      <c r="AB1038" s="19"/>
      <c r="AC1038" s="20"/>
      <c r="AD1038" s="19"/>
      <c r="AE1038" s="98"/>
    </row>
    <row r="1039" spans="1:31" x14ac:dyDescent="0.3">
      <c r="A1039" s="105">
        <v>1039</v>
      </c>
      <c r="K1039" s="21"/>
      <c r="L1039" s="21"/>
      <c r="T1039" s="15"/>
      <c r="U1039" s="15"/>
      <c r="AB1039" s="19"/>
      <c r="AC1039" s="20"/>
      <c r="AD1039" s="19"/>
      <c r="AE1039" s="98"/>
    </row>
    <row r="1040" spans="1:31" x14ac:dyDescent="0.3">
      <c r="A1040" s="107">
        <v>1040</v>
      </c>
      <c r="K1040" s="21"/>
      <c r="L1040" s="21"/>
      <c r="T1040" s="15"/>
      <c r="U1040" s="15"/>
      <c r="AB1040" s="19"/>
      <c r="AC1040" s="20"/>
      <c r="AD1040" s="19"/>
      <c r="AE1040" s="98"/>
    </row>
    <row r="1041" spans="1:31" x14ac:dyDescent="0.3">
      <c r="A1041" s="107">
        <v>1041</v>
      </c>
      <c r="K1041" s="21"/>
      <c r="L1041" s="21"/>
      <c r="T1041" s="15"/>
      <c r="U1041" s="15"/>
      <c r="AB1041" s="19"/>
      <c r="AC1041" s="20"/>
      <c r="AD1041" s="19"/>
      <c r="AE1041" s="98"/>
    </row>
    <row r="1042" spans="1:31" x14ac:dyDescent="0.3">
      <c r="A1042" s="107">
        <v>1042</v>
      </c>
      <c r="K1042" s="21"/>
      <c r="L1042" s="21"/>
      <c r="T1042" s="15"/>
      <c r="U1042" s="15"/>
      <c r="AB1042" s="19"/>
      <c r="AC1042" s="20"/>
      <c r="AD1042" s="19"/>
      <c r="AE1042" s="98"/>
    </row>
    <row r="1043" spans="1:31" x14ac:dyDescent="0.3">
      <c r="A1043" s="108">
        <v>1043</v>
      </c>
      <c r="K1043" s="21"/>
      <c r="L1043" s="21"/>
      <c r="T1043" s="15"/>
      <c r="U1043" s="15"/>
      <c r="AB1043" s="19"/>
      <c r="AC1043" s="20"/>
      <c r="AD1043" s="19"/>
      <c r="AE1043" s="98"/>
    </row>
    <row r="1044" spans="1:31" x14ac:dyDescent="0.3">
      <c r="A1044" s="105">
        <v>1044</v>
      </c>
      <c r="K1044" s="21"/>
      <c r="L1044" s="21"/>
      <c r="T1044" s="15"/>
      <c r="U1044" s="15"/>
      <c r="AB1044" s="19"/>
      <c r="AC1044" s="20"/>
      <c r="AD1044" s="19"/>
      <c r="AE1044" s="98"/>
    </row>
    <row r="1045" spans="1:31" x14ac:dyDescent="0.3">
      <c r="A1045" s="107">
        <v>1045</v>
      </c>
      <c r="K1045" s="21"/>
      <c r="L1045" s="21"/>
      <c r="T1045" s="15"/>
      <c r="U1045" s="15"/>
      <c r="AB1045" s="19"/>
      <c r="AC1045" s="20"/>
      <c r="AD1045" s="19"/>
      <c r="AE1045" s="98"/>
    </row>
    <row r="1046" spans="1:31" x14ac:dyDescent="0.3">
      <c r="A1046" s="107">
        <v>1046</v>
      </c>
      <c r="K1046" s="21"/>
      <c r="L1046" s="21"/>
      <c r="T1046" s="15"/>
      <c r="U1046" s="15"/>
      <c r="AB1046" s="19"/>
      <c r="AC1046" s="20"/>
      <c r="AD1046" s="19"/>
      <c r="AE1046" s="98"/>
    </row>
    <row r="1047" spans="1:31" x14ac:dyDescent="0.3">
      <c r="A1047" s="107">
        <v>1047</v>
      </c>
      <c r="K1047" s="21"/>
      <c r="L1047" s="21"/>
      <c r="T1047" s="15"/>
      <c r="U1047" s="15"/>
      <c r="AB1047" s="19"/>
      <c r="AC1047" s="20"/>
      <c r="AD1047" s="19"/>
      <c r="AE1047" s="98"/>
    </row>
    <row r="1048" spans="1:31" x14ac:dyDescent="0.3">
      <c r="A1048" s="108">
        <v>1048</v>
      </c>
      <c r="K1048" s="21"/>
      <c r="L1048" s="21"/>
      <c r="T1048" s="15"/>
      <c r="U1048" s="15"/>
      <c r="AB1048" s="19"/>
      <c r="AC1048" s="20"/>
      <c r="AD1048" s="19"/>
      <c r="AE1048" s="98"/>
    </row>
    <row r="1049" spans="1:31" x14ac:dyDescent="0.3">
      <c r="A1049" s="105">
        <v>1049</v>
      </c>
      <c r="K1049" s="21"/>
      <c r="L1049" s="21"/>
      <c r="T1049" s="15"/>
      <c r="U1049" s="15"/>
      <c r="AB1049" s="19"/>
      <c r="AC1049" s="20"/>
      <c r="AD1049" s="19"/>
      <c r="AE1049" s="98"/>
    </row>
    <row r="1050" spans="1:31" x14ac:dyDescent="0.3">
      <c r="A1050" s="107">
        <v>1050</v>
      </c>
      <c r="K1050" s="21"/>
      <c r="L1050" s="21"/>
      <c r="T1050" s="15"/>
      <c r="U1050" s="15"/>
      <c r="AB1050" s="19"/>
      <c r="AC1050" s="20"/>
      <c r="AD1050" s="19"/>
      <c r="AE1050" s="98"/>
    </row>
    <row r="1051" spans="1:31" x14ac:dyDescent="0.3">
      <c r="A1051" s="107">
        <v>1051</v>
      </c>
      <c r="K1051" s="21"/>
      <c r="L1051" s="21"/>
      <c r="T1051" s="15"/>
      <c r="U1051" s="15"/>
      <c r="AB1051" s="19"/>
      <c r="AC1051" s="20"/>
      <c r="AD1051" s="19"/>
      <c r="AE1051" s="98"/>
    </row>
    <row r="1052" spans="1:31" x14ac:dyDescent="0.3">
      <c r="A1052" s="107">
        <v>1052</v>
      </c>
      <c r="K1052" s="21"/>
      <c r="L1052" s="21"/>
      <c r="T1052" s="15"/>
      <c r="U1052" s="15"/>
      <c r="AB1052" s="19"/>
      <c r="AC1052" s="20"/>
      <c r="AD1052" s="19"/>
      <c r="AE1052" s="98"/>
    </row>
    <row r="1053" spans="1:31" x14ac:dyDescent="0.3">
      <c r="A1053" s="108">
        <v>1053</v>
      </c>
      <c r="K1053" s="21"/>
      <c r="L1053" s="21"/>
      <c r="T1053" s="15"/>
      <c r="U1053" s="15"/>
      <c r="AB1053" s="19"/>
      <c r="AC1053" s="20"/>
      <c r="AD1053" s="19"/>
      <c r="AE1053" s="98"/>
    </row>
    <row r="1054" spans="1:31" x14ac:dyDescent="0.3">
      <c r="A1054" s="105">
        <v>1054</v>
      </c>
      <c r="K1054" s="21"/>
      <c r="L1054" s="21"/>
      <c r="T1054" s="15"/>
      <c r="U1054" s="15"/>
      <c r="AB1054" s="19"/>
      <c r="AC1054" s="20"/>
      <c r="AD1054" s="19"/>
      <c r="AE1054" s="98"/>
    </row>
    <row r="1055" spans="1:31" x14ac:dyDescent="0.3">
      <c r="A1055" s="107">
        <v>1055</v>
      </c>
      <c r="K1055" s="21"/>
      <c r="L1055" s="21"/>
      <c r="T1055" s="15"/>
      <c r="U1055" s="15"/>
      <c r="AB1055" s="19"/>
      <c r="AC1055" s="20"/>
      <c r="AD1055" s="19"/>
      <c r="AE1055" s="98"/>
    </row>
    <row r="1056" spans="1:31" x14ac:dyDescent="0.3">
      <c r="A1056" s="107">
        <v>1056</v>
      </c>
      <c r="K1056" s="21"/>
      <c r="L1056" s="21"/>
      <c r="T1056" s="15"/>
      <c r="U1056" s="15"/>
      <c r="AB1056" s="19"/>
      <c r="AC1056" s="20"/>
      <c r="AD1056" s="19"/>
      <c r="AE1056" s="98"/>
    </row>
    <row r="1057" spans="1:31" x14ac:dyDescent="0.3">
      <c r="A1057" s="107">
        <v>1057</v>
      </c>
      <c r="K1057" s="21"/>
      <c r="L1057" s="21"/>
      <c r="T1057" s="15"/>
      <c r="U1057" s="15"/>
      <c r="AB1057" s="19"/>
      <c r="AC1057" s="20"/>
      <c r="AD1057" s="19"/>
      <c r="AE1057" s="98"/>
    </row>
    <row r="1058" spans="1:31" x14ac:dyDescent="0.3">
      <c r="A1058" s="108">
        <v>1058</v>
      </c>
      <c r="K1058" s="21"/>
      <c r="L1058" s="21"/>
      <c r="T1058" s="15"/>
      <c r="U1058" s="15"/>
      <c r="AB1058" s="19"/>
      <c r="AC1058" s="20"/>
      <c r="AD1058" s="19"/>
      <c r="AE1058" s="98"/>
    </row>
    <row r="1059" spans="1:31" x14ac:dyDescent="0.3">
      <c r="A1059" s="105">
        <v>1059</v>
      </c>
      <c r="K1059" s="21"/>
      <c r="L1059" s="21"/>
      <c r="T1059" s="15"/>
      <c r="U1059" s="15"/>
      <c r="AB1059" s="19"/>
      <c r="AC1059" s="20"/>
      <c r="AD1059" s="19"/>
      <c r="AE1059" s="98"/>
    </row>
    <row r="1060" spans="1:31" x14ac:dyDescent="0.3">
      <c r="A1060" s="107">
        <v>1060</v>
      </c>
      <c r="K1060" s="21"/>
      <c r="L1060" s="21"/>
      <c r="T1060" s="15"/>
      <c r="U1060" s="15"/>
      <c r="AB1060" s="19"/>
      <c r="AC1060" s="20"/>
      <c r="AD1060" s="19"/>
      <c r="AE1060" s="98"/>
    </row>
    <row r="1061" spans="1:31" x14ac:dyDescent="0.3">
      <c r="A1061" s="107">
        <v>1061</v>
      </c>
      <c r="K1061" s="21"/>
      <c r="L1061" s="21"/>
      <c r="T1061" s="15"/>
      <c r="U1061" s="15"/>
      <c r="AB1061" s="19"/>
      <c r="AC1061" s="20"/>
      <c r="AD1061" s="19"/>
      <c r="AE1061" s="98"/>
    </row>
    <row r="1062" spans="1:31" x14ac:dyDescent="0.3">
      <c r="A1062" s="107">
        <v>1062</v>
      </c>
      <c r="K1062" s="21"/>
      <c r="L1062" s="21"/>
      <c r="T1062" s="15"/>
      <c r="U1062" s="15"/>
      <c r="AB1062" s="19"/>
      <c r="AC1062" s="20"/>
      <c r="AD1062" s="19"/>
      <c r="AE1062" s="98"/>
    </row>
    <row r="1063" spans="1:31" x14ac:dyDescent="0.3">
      <c r="A1063" s="108">
        <v>1063</v>
      </c>
      <c r="K1063" s="21"/>
      <c r="L1063" s="21"/>
      <c r="T1063" s="15"/>
      <c r="U1063" s="15"/>
      <c r="AB1063" s="19"/>
      <c r="AC1063" s="20"/>
      <c r="AD1063" s="19"/>
      <c r="AE1063" s="98"/>
    </row>
    <row r="1064" spans="1:31" x14ac:dyDescent="0.3">
      <c r="A1064" s="105">
        <v>1064</v>
      </c>
      <c r="K1064" s="21"/>
      <c r="L1064" s="21"/>
      <c r="T1064" s="15"/>
      <c r="U1064" s="15"/>
      <c r="AB1064" s="19"/>
      <c r="AC1064" s="20"/>
      <c r="AD1064" s="19"/>
      <c r="AE1064" s="98"/>
    </row>
    <row r="1065" spans="1:31" x14ac:dyDescent="0.3">
      <c r="A1065" s="107">
        <v>1065</v>
      </c>
      <c r="K1065" s="21"/>
      <c r="L1065" s="21"/>
      <c r="T1065" s="15"/>
      <c r="U1065" s="15"/>
      <c r="AB1065" s="19"/>
      <c r="AC1065" s="20"/>
      <c r="AD1065" s="19"/>
      <c r="AE1065" s="98"/>
    </row>
    <row r="1066" spans="1:31" x14ac:dyDescent="0.3">
      <c r="A1066" s="107">
        <v>1066</v>
      </c>
      <c r="K1066" s="21"/>
      <c r="L1066" s="21"/>
      <c r="T1066" s="15"/>
      <c r="U1066" s="15"/>
      <c r="AB1066" s="19"/>
      <c r="AC1066" s="20"/>
      <c r="AD1066" s="19"/>
      <c r="AE1066" s="98"/>
    </row>
    <row r="1067" spans="1:31" x14ac:dyDescent="0.3">
      <c r="A1067" s="107">
        <v>1067</v>
      </c>
      <c r="K1067" s="21"/>
      <c r="L1067" s="21"/>
      <c r="T1067" s="15"/>
      <c r="U1067" s="15"/>
      <c r="AB1067" s="19"/>
      <c r="AC1067" s="20"/>
      <c r="AD1067" s="19"/>
      <c r="AE1067" s="98"/>
    </row>
    <row r="1068" spans="1:31" x14ac:dyDescent="0.3">
      <c r="A1068" s="108">
        <v>1068</v>
      </c>
      <c r="K1068" s="21"/>
      <c r="L1068" s="21"/>
      <c r="T1068" s="15"/>
      <c r="U1068" s="15"/>
      <c r="AB1068" s="19"/>
      <c r="AC1068" s="20"/>
      <c r="AD1068" s="19"/>
      <c r="AE1068" s="98"/>
    </row>
    <row r="1069" spans="1:31" x14ac:dyDescent="0.3">
      <c r="A1069" s="105">
        <v>1069</v>
      </c>
      <c r="K1069" s="21"/>
      <c r="L1069" s="21"/>
      <c r="T1069" s="15"/>
      <c r="U1069" s="15"/>
      <c r="AB1069" s="19"/>
      <c r="AC1069" s="20"/>
      <c r="AD1069" s="19"/>
      <c r="AE1069" s="98"/>
    </row>
    <row r="1070" spans="1:31" x14ac:dyDescent="0.3">
      <c r="A1070" s="107">
        <v>1070</v>
      </c>
      <c r="K1070" s="21"/>
      <c r="L1070" s="21"/>
      <c r="T1070" s="15"/>
      <c r="U1070" s="15"/>
      <c r="AB1070" s="19"/>
      <c r="AC1070" s="20"/>
      <c r="AD1070" s="19"/>
      <c r="AE1070" s="98"/>
    </row>
    <row r="1071" spans="1:31" x14ac:dyDescent="0.3">
      <c r="A1071" s="107">
        <v>1071</v>
      </c>
      <c r="K1071" s="21"/>
      <c r="L1071" s="21"/>
      <c r="T1071" s="15"/>
      <c r="U1071" s="15"/>
      <c r="AB1071" s="19"/>
      <c r="AC1071" s="20"/>
      <c r="AD1071" s="19"/>
      <c r="AE1071" s="98"/>
    </row>
    <row r="1072" spans="1:31" x14ac:dyDescent="0.3">
      <c r="A1072" s="107">
        <v>1072</v>
      </c>
      <c r="K1072" s="21"/>
      <c r="L1072" s="21"/>
      <c r="T1072" s="15"/>
      <c r="U1072" s="15"/>
      <c r="AB1072" s="19"/>
      <c r="AC1072" s="20"/>
      <c r="AD1072" s="19"/>
      <c r="AE1072" s="98"/>
    </row>
    <row r="1073" spans="1:31" x14ac:dyDescent="0.3">
      <c r="A1073" s="108">
        <v>1073</v>
      </c>
      <c r="K1073" s="21"/>
      <c r="L1073" s="21"/>
      <c r="T1073" s="15"/>
      <c r="U1073" s="15"/>
      <c r="AB1073" s="19"/>
      <c r="AC1073" s="20"/>
      <c r="AD1073" s="19"/>
      <c r="AE1073" s="98"/>
    </row>
    <row r="1074" spans="1:31" x14ac:dyDescent="0.3">
      <c r="A1074" s="105">
        <v>1074</v>
      </c>
      <c r="K1074" s="21"/>
      <c r="L1074" s="21"/>
      <c r="T1074" s="15"/>
      <c r="U1074" s="15"/>
      <c r="AB1074" s="19"/>
      <c r="AC1074" s="20"/>
      <c r="AD1074" s="19"/>
      <c r="AE1074" s="98"/>
    </row>
    <row r="1075" spans="1:31" x14ac:dyDescent="0.3">
      <c r="A1075" s="107">
        <v>1075</v>
      </c>
      <c r="K1075" s="21"/>
      <c r="L1075" s="21"/>
      <c r="T1075" s="15"/>
      <c r="U1075" s="15"/>
      <c r="AB1075" s="19"/>
      <c r="AC1075" s="20"/>
      <c r="AD1075" s="19"/>
      <c r="AE1075" s="98"/>
    </row>
    <row r="1076" spans="1:31" x14ac:dyDescent="0.3">
      <c r="A1076" s="107">
        <v>1076</v>
      </c>
      <c r="K1076" s="21"/>
      <c r="L1076" s="21"/>
      <c r="T1076" s="15"/>
      <c r="U1076" s="15"/>
      <c r="AB1076" s="19"/>
      <c r="AC1076" s="20"/>
      <c r="AD1076" s="19"/>
      <c r="AE1076" s="98"/>
    </row>
    <row r="1077" spans="1:31" x14ac:dyDescent="0.3">
      <c r="A1077" s="107">
        <v>1077</v>
      </c>
      <c r="K1077" s="21"/>
      <c r="L1077" s="21"/>
      <c r="T1077" s="15"/>
      <c r="U1077" s="15"/>
      <c r="AB1077" s="19"/>
      <c r="AC1077" s="20"/>
      <c r="AD1077" s="19"/>
      <c r="AE1077" s="98"/>
    </row>
    <row r="1078" spans="1:31" x14ac:dyDescent="0.3">
      <c r="A1078" s="108">
        <v>1078</v>
      </c>
      <c r="K1078" s="21"/>
      <c r="L1078" s="21"/>
      <c r="T1078" s="15"/>
      <c r="U1078" s="15"/>
      <c r="AB1078" s="19"/>
      <c r="AC1078" s="20"/>
      <c r="AD1078" s="19"/>
      <c r="AE1078" s="98"/>
    </row>
    <row r="1079" spans="1:31" x14ac:dyDescent="0.3">
      <c r="A1079" s="105">
        <v>1079</v>
      </c>
      <c r="K1079" s="21"/>
      <c r="L1079" s="21"/>
      <c r="T1079" s="15"/>
      <c r="U1079" s="15"/>
      <c r="AB1079" s="19"/>
      <c r="AC1079" s="20"/>
      <c r="AD1079" s="19"/>
      <c r="AE1079" s="98"/>
    </row>
    <row r="1080" spans="1:31" x14ac:dyDescent="0.3">
      <c r="A1080" s="107">
        <v>1080</v>
      </c>
      <c r="K1080" s="21"/>
      <c r="L1080" s="21"/>
      <c r="T1080" s="15"/>
      <c r="U1080" s="15"/>
      <c r="AB1080" s="19"/>
      <c r="AC1080" s="20"/>
      <c r="AD1080" s="19"/>
      <c r="AE1080" s="98"/>
    </row>
    <row r="1081" spans="1:31" x14ac:dyDescent="0.3">
      <c r="A1081" s="107">
        <v>1081</v>
      </c>
      <c r="K1081" s="21"/>
      <c r="L1081" s="21"/>
      <c r="T1081" s="15"/>
      <c r="U1081" s="15"/>
      <c r="AB1081" s="19"/>
      <c r="AC1081" s="20"/>
      <c r="AD1081" s="19"/>
      <c r="AE1081" s="98"/>
    </row>
    <row r="1082" spans="1:31" x14ac:dyDescent="0.3">
      <c r="A1082" s="107">
        <v>1082</v>
      </c>
      <c r="K1082" s="21"/>
      <c r="L1082" s="21"/>
      <c r="T1082" s="15"/>
      <c r="U1082" s="15"/>
      <c r="AB1082" s="19"/>
      <c r="AC1082" s="20"/>
      <c r="AD1082" s="19"/>
      <c r="AE1082" s="98"/>
    </row>
    <row r="1083" spans="1:31" x14ac:dyDescent="0.3">
      <c r="A1083" s="108">
        <v>1083</v>
      </c>
      <c r="K1083" s="21"/>
      <c r="L1083" s="21"/>
      <c r="T1083" s="15"/>
      <c r="U1083" s="15"/>
      <c r="AB1083" s="19"/>
      <c r="AC1083" s="20"/>
      <c r="AD1083" s="19"/>
      <c r="AE1083" s="98"/>
    </row>
    <row r="1084" spans="1:31" x14ac:dyDescent="0.3">
      <c r="A1084" s="105">
        <v>1084</v>
      </c>
      <c r="K1084" s="21"/>
      <c r="L1084" s="21"/>
      <c r="T1084" s="15"/>
      <c r="U1084" s="15"/>
      <c r="AB1084" s="19"/>
      <c r="AC1084" s="20"/>
      <c r="AD1084" s="19"/>
      <c r="AE1084" s="98"/>
    </row>
    <row r="1085" spans="1:31" x14ac:dyDescent="0.3">
      <c r="A1085" s="107">
        <v>1085</v>
      </c>
      <c r="K1085" s="21"/>
      <c r="L1085" s="21"/>
      <c r="T1085" s="15"/>
      <c r="U1085" s="15"/>
      <c r="AB1085" s="19"/>
      <c r="AC1085" s="20"/>
      <c r="AD1085" s="19"/>
      <c r="AE1085" s="98"/>
    </row>
    <row r="1086" spans="1:31" x14ac:dyDescent="0.3">
      <c r="A1086" s="107">
        <v>1086</v>
      </c>
      <c r="K1086" s="21"/>
      <c r="L1086" s="21"/>
      <c r="T1086" s="15"/>
      <c r="U1086" s="15"/>
      <c r="AB1086" s="19"/>
      <c r="AC1086" s="20"/>
      <c r="AD1086" s="19"/>
      <c r="AE1086" s="98"/>
    </row>
    <row r="1087" spans="1:31" x14ac:dyDescent="0.3">
      <c r="A1087" s="107">
        <v>1087</v>
      </c>
      <c r="K1087" s="21"/>
      <c r="L1087" s="21"/>
      <c r="T1087" s="15"/>
      <c r="U1087" s="15"/>
      <c r="AB1087" s="19"/>
      <c r="AC1087" s="20"/>
      <c r="AD1087" s="19"/>
      <c r="AE1087" s="98"/>
    </row>
    <row r="1088" spans="1:31" x14ac:dyDescent="0.3">
      <c r="A1088" s="108">
        <v>1088</v>
      </c>
      <c r="K1088" s="21"/>
      <c r="L1088" s="21"/>
      <c r="T1088" s="15"/>
      <c r="U1088" s="15"/>
      <c r="AB1088" s="19"/>
      <c r="AC1088" s="20"/>
      <c r="AD1088" s="19"/>
      <c r="AE1088" s="98"/>
    </row>
    <row r="1089" spans="1:31" x14ac:dyDescent="0.3">
      <c r="A1089" s="105">
        <v>1089</v>
      </c>
      <c r="K1089" s="21"/>
      <c r="L1089" s="21"/>
      <c r="T1089" s="15"/>
      <c r="U1089" s="15"/>
      <c r="AB1089" s="19"/>
      <c r="AC1089" s="20"/>
      <c r="AD1089" s="19"/>
      <c r="AE1089" s="98"/>
    </row>
    <row r="1090" spans="1:31" x14ac:dyDescent="0.3">
      <c r="A1090" s="107">
        <v>1090</v>
      </c>
      <c r="K1090" s="21"/>
      <c r="L1090" s="21"/>
      <c r="T1090" s="15"/>
      <c r="U1090" s="15"/>
      <c r="AB1090" s="19"/>
      <c r="AC1090" s="20"/>
      <c r="AD1090" s="19"/>
      <c r="AE1090" s="98"/>
    </row>
    <row r="1091" spans="1:31" x14ac:dyDescent="0.3">
      <c r="A1091" s="107">
        <v>1091</v>
      </c>
      <c r="K1091" s="21"/>
      <c r="L1091" s="21"/>
      <c r="T1091" s="15"/>
      <c r="U1091" s="15"/>
      <c r="AB1091" s="19"/>
      <c r="AC1091" s="20"/>
      <c r="AD1091" s="19"/>
      <c r="AE1091" s="98"/>
    </row>
    <row r="1092" spans="1:31" x14ac:dyDescent="0.3">
      <c r="A1092" s="107">
        <v>1092</v>
      </c>
      <c r="K1092" s="21"/>
      <c r="L1092" s="21"/>
      <c r="T1092" s="15"/>
      <c r="U1092" s="15"/>
      <c r="AB1092" s="19"/>
      <c r="AC1092" s="20"/>
      <c r="AD1092" s="19"/>
      <c r="AE1092" s="98"/>
    </row>
    <row r="1093" spans="1:31" x14ac:dyDescent="0.3">
      <c r="A1093" s="108">
        <v>1093</v>
      </c>
      <c r="K1093" s="21"/>
      <c r="L1093" s="21"/>
      <c r="T1093" s="15"/>
      <c r="U1093" s="15"/>
      <c r="AB1093" s="19"/>
      <c r="AC1093" s="20"/>
      <c r="AD1093" s="19"/>
      <c r="AE1093" s="98"/>
    </row>
    <row r="1094" spans="1:31" x14ac:dyDescent="0.3">
      <c r="A1094" s="105">
        <v>1094</v>
      </c>
      <c r="K1094" s="21"/>
      <c r="L1094" s="21"/>
      <c r="T1094" s="15"/>
      <c r="U1094" s="15"/>
      <c r="AB1094" s="19"/>
      <c r="AC1094" s="20"/>
      <c r="AD1094" s="19"/>
      <c r="AE1094" s="98"/>
    </row>
    <row r="1095" spans="1:31" x14ac:dyDescent="0.3">
      <c r="A1095" s="107">
        <v>1095</v>
      </c>
      <c r="K1095" s="21"/>
      <c r="L1095" s="21"/>
      <c r="T1095" s="15"/>
      <c r="U1095" s="15"/>
      <c r="AB1095" s="19"/>
      <c r="AC1095" s="20"/>
      <c r="AD1095" s="19"/>
      <c r="AE1095" s="98"/>
    </row>
    <row r="1096" spans="1:31" x14ac:dyDescent="0.3">
      <c r="A1096" s="107">
        <v>1096</v>
      </c>
      <c r="K1096" s="21"/>
      <c r="L1096" s="21"/>
      <c r="T1096" s="15"/>
      <c r="U1096" s="15"/>
      <c r="AB1096" s="19"/>
      <c r="AC1096" s="20"/>
      <c r="AD1096" s="19"/>
      <c r="AE1096" s="98"/>
    </row>
    <row r="1097" spans="1:31" x14ac:dyDescent="0.3">
      <c r="A1097" s="107">
        <v>1097</v>
      </c>
      <c r="K1097" s="21"/>
      <c r="L1097" s="21"/>
      <c r="T1097" s="15"/>
      <c r="U1097" s="15"/>
      <c r="AB1097" s="19"/>
      <c r="AC1097" s="20"/>
      <c r="AD1097" s="19"/>
      <c r="AE1097" s="98"/>
    </row>
    <row r="1098" spans="1:31" x14ac:dyDescent="0.3">
      <c r="A1098" s="108">
        <v>1098</v>
      </c>
      <c r="K1098" s="21"/>
      <c r="L1098" s="21"/>
      <c r="T1098" s="15"/>
      <c r="U1098" s="15"/>
      <c r="AB1098" s="19"/>
      <c r="AC1098" s="20"/>
      <c r="AD1098" s="19"/>
      <c r="AE1098" s="98"/>
    </row>
    <row r="1099" spans="1:31" x14ac:dyDescent="0.3">
      <c r="A1099" s="105">
        <v>1099</v>
      </c>
      <c r="K1099" s="21"/>
      <c r="L1099" s="21"/>
      <c r="T1099" s="15"/>
      <c r="U1099" s="15"/>
      <c r="AB1099" s="19"/>
      <c r="AC1099" s="20"/>
      <c r="AD1099" s="19"/>
      <c r="AE1099" s="98"/>
    </row>
    <row r="1100" spans="1:31" x14ac:dyDescent="0.3">
      <c r="A1100" s="107">
        <v>1100</v>
      </c>
      <c r="K1100" s="21"/>
      <c r="L1100" s="21"/>
      <c r="T1100" s="15"/>
      <c r="U1100" s="15"/>
      <c r="AB1100" s="19"/>
      <c r="AC1100" s="20"/>
      <c r="AD1100" s="19"/>
      <c r="AE1100" s="98"/>
    </row>
    <row r="1101" spans="1:31" x14ac:dyDescent="0.3">
      <c r="A1101" s="107">
        <v>1101</v>
      </c>
      <c r="K1101" s="21"/>
      <c r="L1101" s="21"/>
      <c r="T1101" s="15"/>
      <c r="U1101" s="15"/>
      <c r="AB1101" s="19"/>
      <c r="AC1101" s="20"/>
      <c r="AD1101" s="19"/>
      <c r="AE1101" s="98"/>
    </row>
    <row r="1102" spans="1:31" x14ac:dyDescent="0.3">
      <c r="A1102" s="107">
        <v>1102</v>
      </c>
      <c r="K1102" s="21"/>
      <c r="L1102" s="21"/>
      <c r="T1102" s="15"/>
      <c r="U1102" s="15"/>
      <c r="AB1102" s="19"/>
      <c r="AC1102" s="20"/>
      <c r="AD1102" s="19"/>
      <c r="AE1102" s="98"/>
    </row>
    <row r="1103" spans="1:31" x14ac:dyDescent="0.3">
      <c r="A1103" s="108">
        <v>1103</v>
      </c>
      <c r="K1103" s="21"/>
      <c r="L1103" s="21"/>
      <c r="T1103" s="15"/>
      <c r="U1103" s="15"/>
      <c r="AB1103" s="19"/>
      <c r="AC1103" s="20"/>
      <c r="AD1103" s="19"/>
      <c r="AE1103" s="98"/>
    </row>
    <row r="1104" spans="1:31" x14ac:dyDescent="0.3">
      <c r="A1104" s="105">
        <v>1104</v>
      </c>
      <c r="K1104" s="21"/>
      <c r="L1104" s="21"/>
      <c r="T1104" s="15"/>
      <c r="U1104" s="15"/>
      <c r="AB1104" s="19"/>
      <c r="AC1104" s="20"/>
      <c r="AD1104" s="19"/>
      <c r="AE1104" s="98"/>
    </row>
    <row r="1105" spans="1:31" x14ac:dyDescent="0.3">
      <c r="A1105" s="107">
        <v>1105</v>
      </c>
      <c r="K1105" s="21"/>
      <c r="L1105" s="21"/>
      <c r="T1105" s="15"/>
      <c r="U1105" s="15"/>
      <c r="AB1105" s="19"/>
      <c r="AC1105" s="20"/>
      <c r="AD1105" s="19"/>
      <c r="AE1105" s="98"/>
    </row>
    <row r="1106" spans="1:31" x14ac:dyDescent="0.3">
      <c r="A1106" s="107">
        <v>1106</v>
      </c>
      <c r="K1106" s="21"/>
      <c r="L1106" s="21"/>
      <c r="T1106" s="15"/>
      <c r="U1106" s="15"/>
      <c r="AB1106" s="19"/>
      <c r="AC1106" s="20"/>
      <c r="AD1106" s="19"/>
      <c r="AE1106" s="98"/>
    </row>
    <row r="1107" spans="1:31" x14ac:dyDescent="0.3">
      <c r="A1107" s="107">
        <v>1107</v>
      </c>
      <c r="K1107" s="21"/>
      <c r="L1107" s="21"/>
      <c r="T1107" s="15"/>
      <c r="U1107" s="15"/>
      <c r="AB1107" s="19"/>
      <c r="AC1107" s="20"/>
      <c r="AD1107" s="19"/>
      <c r="AE1107" s="98"/>
    </row>
    <row r="1108" spans="1:31" x14ac:dyDescent="0.3">
      <c r="A1108" s="108">
        <v>1108</v>
      </c>
      <c r="K1108" s="21"/>
      <c r="L1108" s="21"/>
      <c r="T1108" s="15"/>
      <c r="U1108" s="15"/>
      <c r="AB1108" s="19"/>
      <c r="AC1108" s="20"/>
      <c r="AD1108" s="19"/>
      <c r="AE1108" s="98"/>
    </row>
    <row r="1109" spans="1:31" x14ac:dyDescent="0.3">
      <c r="A1109" s="105">
        <v>1109</v>
      </c>
      <c r="K1109" s="21"/>
      <c r="L1109" s="21"/>
      <c r="T1109" s="15"/>
      <c r="U1109" s="15"/>
      <c r="AB1109" s="19"/>
      <c r="AC1109" s="20"/>
      <c r="AD1109" s="19"/>
      <c r="AE1109" s="98"/>
    </row>
    <row r="1110" spans="1:31" x14ac:dyDescent="0.3">
      <c r="A1110" s="107">
        <v>1110</v>
      </c>
      <c r="K1110" s="21"/>
      <c r="L1110" s="21"/>
      <c r="T1110" s="15"/>
      <c r="U1110" s="15"/>
      <c r="AB1110" s="19"/>
      <c r="AC1110" s="20"/>
      <c r="AD1110" s="19"/>
      <c r="AE1110" s="98"/>
    </row>
    <row r="1111" spans="1:31" x14ac:dyDescent="0.3">
      <c r="A1111" s="107">
        <v>1111</v>
      </c>
      <c r="K1111" s="21"/>
      <c r="L1111" s="21"/>
      <c r="T1111" s="15"/>
      <c r="U1111" s="15"/>
      <c r="AB1111" s="19"/>
      <c r="AC1111" s="20"/>
      <c r="AD1111" s="19"/>
      <c r="AE1111" s="98"/>
    </row>
    <row r="1112" spans="1:31" x14ac:dyDescent="0.3">
      <c r="A1112" s="107">
        <v>1112</v>
      </c>
      <c r="K1112" s="21"/>
      <c r="L1112" s="21"/>
      <c r="T1112" s="15"/>
      <c r="U1112" s="15"/>
      <c r="AB1112" s="19"/>
      <c r="AC1112" s="20"/>
      <c r="AD1112" s="19"/>
      <c r="AE1112" s="98"/>
    </row>
    <row r="1113" spans="1:31" x14ac:dyDescent="0.3">
      <c r="A1113" s="108">
        <v>1113</v>
      </c>
      <c r="K1113" s="21"/>
      <c r="L1113" s="21"/>
      <c r="T1113" s="15"/>
      <c r="U1113" s="15"/>
      <c r="AB1113" s="19"/>
      <c r="AC1113" s="20"/>
      <c r="AD1113" s="19"/>
      <c r="AE1113" s="98"/>
    </row>
    <row r="1114" spans="1:31" x14ac:dyDescent="0.3">
      <c r="A1114" s="105">
        <v>1114</v>
      </c>
      <c r="K1114" s="21"/>
      <c r="L1114" s="21"/>
      <c r="T1114" s="15"/>
      <c r="U1114" s="15"/>
      <c r="AB1114" s="19"/>
      <c r="AC1114" s="20"/>
      <c r="AD1114" s="19"/>
      <c r="AE1114" s="98"/>
    </row>
    <row r="1115" spans="1:31" x14ac:dyDescent="0.3">
      <c r="A1115" s="107">
        <v>1115</v>
      </c>
      <c r="K1115" s="21"/>
      <c r="L1115" s="21"/>
      <c r="T1115" s="15"/>
      <c r="U1115" s="15"/>
      <c r="AB1115" s="19"/>
      <c r="AC1115" s="20"/>
      <c r="AD1115" s="19"/>
      <c r="AE1115" s="98"/>
    </row>
    <row r="1116" spans="1:31" x14ac:dyDescent="0.3">
      <c r="A1116" s="107">
        <v>1116</v>
      </c>
      <c r="K1116" s="21"/>
      <c r="L1116" s="21"/>
      <c r="T1116" s="15"/>
      <c r="U1116" s="15"/>
      <c r="AB1116" s="19"/>
      <c r="AC1116" s="20"/>
      <c r="AD1116" s="19"/>
      <c r="AE1116" s="98"/>
    </row>
    <row r="1117" spans="1:31" x14ac:dyDescent="0.3">
      <c r="A1117" s="107">
        <v>1117</v>
      </c>
      <c r="K1117" s="21"/>
      <c r="L1117" s="21"/>
      <c r="T1117" s="15"/>
      <c r="U1117" s="15"/>
      <c r="AB1117" s="19"/>
      <c r="AC1117" s="20"/>
      <c r="AD1117" s="19"/>
      <c r="AE1117" s="98"/>
    </row>
    <row r="1118" spans="1:31" x14ac:dyDescent="0.3">
      <c r="A1118" s="108">
        <v>1118</v>
      </c>
      <c r="K1118" s="21"/>
      <c r="L1118" s="21"/>
      <c r="T1118" s="15"/>
      <c r="U1118" s="15"/>
      <c r="AB1118" s="19"/>
      <c r="AC1118" s="20"/>
      <c r="AD1118" s="19"/>
      <c r="AE1118" s="98"/>
    </row>
    <row r="1119" spans="1:31" x14ac:dyDescent="0.3">
      <c r="A1119" s="105">
        <v>1119</v>
      </c>
      <c r="K1119" s="21"/>
      <c r="L1119" s="21"/>
      <c r="T1119" s="15"/>
      <c r="U1119" s="15"/>
      <c r="AB1119" s="19"/>
      <c r="AC1119" s="20"/>
      <c r="AD1119" s="19"/>
      <c r="AE1119" s="98"/>
    </row>
    <row r="1120" spans="1:31" x14ac:dyDescent="0.3">
      <c r="A1120" s="107">
        <v>1120</v>
      </c>
      <c r="K1120" s="21"/>
      <c r="L1120" s="21"/>
      <c r="T1120" s="15"/>
      <c r="U1120" s="15"/>
      <c r="AB1120" s="19"/>
      <c r="AC1120" s="20"/>
      <c r="AD1120" s="19"/>
      <c r="AE1120" s="98"/>
    </row>
    <row r="1121" spans="1:31" x14ac:dyDescent="0.3">
      <c r="A1121" s="107">
        <v>1121</v>
      </c>
      <c r="K1121" s="21"/>
      <c r="L1121" s="21"/>
      <c r="T1121" s="15"/>
      <c r="U1121" s="15"/>
      <c r="AB1121" s="19"/>
      <c r="AC1121" s="20"/>
      <c r="AD1121" s="19"/>
      <c r="AE1121" s="98"/>
    </row>
    <row r="1122" spans="1:31" x14ac:dyDescent="0.3">
      <c r="A1122" s="107">
        <v>1122</v>
      </c>
      <c r="K1122" s="21"/>
      <c r="L1122" s="21"/>
      <c r="T1122" s="15"/>
      <c r="U1122" s="15"/>
      <c r="AB1122" s="19"/>
      <c r="AC1122" s="20"/>
      <c r="AD1122" s="19"/>
      <c r="AE1122" s="98"/>
    </row>
    <row r="1123" spans="1:31" x14ac:dyDescent="0.3">
      <c r="A1123" s="108">
        <v>1123</v>
      </c>
      <c r="K1123" s="21"/>
      <c r="L1123" s="21"/>
      <c r="T1123" s="15"/>
      <c r="U1123" s="15"/>
      <c r="AB1123" s="19"/>
      <c r="AC1123" s="20"/>
      <c r="AD1123" s="19"/>
      <c r="AE1123" s="98"/>
    </row>
    <row r="1124" spans="1:31" x14ac:dyDescent="0.3">
      <c r="A1124" s="105">
        <v>1124</v>
      </c>
      <c r="K1124" s="21"/>
      <c r="L1124" s="21"/>
      <c r="T1124" s="15"/>
      <c r="U1124" s="15"/>
      <c r="AB1124" s="19"/>
      <c r="AC1124" s="20"/>
      <c r="AD1124" s="19"/>
      <c r="AE1124" s="98"/>
    </row>
    <row r="1125" spans="1:31" x14ac:dyDescent="0.3">
      <c r="A1125" s="107">
        <v>1125</v>
      </c>
      <c r="K1125" s="21"/>
      <c r="L1125" s="21"/>
      <c r="T1125" s="15"/>
      <c r="U1125" s="15"/>
      <c r="AB1125" s="19"/>
      <c r="AC1125" s="20"/>
      <c r="AD1125" s="19"/>
      <c r="AE1125" s="98"/>
    </row>
    <row r="1126" spans="1:31" x14ac:dyDescent="0.3">
      <c r="A1126" s="107">
        <v>1126</v>
      </c>
      <c r="K1126" s="21"/>
      <c r="L1126" s="21"/>
      <c r="T1126" s="15"/>
      <c r="U1126" s="15"/>
      <c r="AB1126" s="19"/>
      <c r="AC1126" s="20"/>
      <c r="AD1126" s="19"/>
      <c r="AE1126" s="98"/>
    </row>
    <row r="1127" spans="1:31" x14ac:dyDescent="0.3">
      <c r="A1127" s="107">
        <v>1127</v>
      </c>
      <c r="K1127" s="21"/>
      <c r="L1127" s="21"/>
      <c r="T1127" s="15"/>
      <c r="U1127" s="15"/>
      <c r="AB1127" s="19"/>
      <c r="AC1127" s="20"/>
      <c r="AD1127" s="19"/>
      <c r="AE1127" s="98"/>
    </row>
    <row r="1128" spans="1:31" x14ac:dyDescent="0.3">
      <c r="A1128" s="108">
        <v>1128</v>
      </c>
      <c r="K1128" s="21"/>
      <c r="L1128" s="21"/>
      <c r="T1128" s="15"/>
      <c r="U1128" s="15"/>
      <c r="AB1128" s="19"/>
      <c r="AC1128" s="20"/>
      <c r="AD1128" s="19"/>
      <c r="AE1128" s="98"/>
    </row>
    <row r="1129" spans="1:31" x14ac:dyDescent="0.3">
      <c r="A1129" s="105">
        <v>1129</v>
      </c>
      <c r="K1129" s="21"/>
      <c r="L1129" s="21"/>
      <c r="T1129" s="15"/>
      <c r="U1129" s="15"/>
      <c r="AB1129" s="19"/>
      <c r="AC1129" s="20"/>
      <c r="AD1129" s="19"/>
      <c r="AE1129" s="98"/>
    </row>
    <row r="1130" spans="1:31" x14ac:dyDescent="0.3">
      <c r="A1130" s="107">
        <v>1130</v>
      </c>
      <c r="K1130" s="21"/>
      <c r="L1130" s="21"/>
      <c r="T1130" s="15"/>
      <c r="U1130" s="15"/>
      <c r="AB1130" s="19"/>
      <c r="AC1130" s="20"/>
      <c r="AD1130" s="19"/>
      <c r="AE1130" s="98"/>
    </row>
    <row r="1131" spans="1:31" x14ac:dyDescent="0.3">
      <c r="A1131" s="107">
        <v>1131</v>
      </c>
      <c r="K1131" s="21"/>
      <c r="L1131" s="21"/>
      <c r="T1131" s="15"/>
      <c r="U1131" s="15"/>
      <c r="AB1131" s="19"/>
      <c r="AC1131" s="20"/>
      <c r="AD1131" s="19"/>
      <c r="AE1131" s="98"/>
    </row>
    <row r="1132" spans="1:31" x14ac:dyDescent="0.3">
      <c r="A1132" s="107">
        <v>1132</v>
      </c>
      <c r="K1132" s="21"/>
      <c r="L1132" s="21"/>
      <c r="T1132" s="15"/>
      <c r="U1132" s="15"/>
      <c r="AB1132" s="19"/>
      <c r="AC1132" s="20"/>
      <c r="AD1132" s="19"/>
      <c r="AE1132" s="98"/>
    </row>
    <row r="1133" spans="1:31" x14ac:dyDescent="0.3">
      <c r="A1133" s="108">
        <v>1133</v>
      </c>
      <c r="K1133" s="21"/>
      <c r="L1133" s="21"/>
      <c r="T1133" s="15"/>
      <c r="U1133" s="15"/>
      <c r="AB1133" s="19"/>
      <c r="AC1133" s="20"/>
      <c r="AD1133" s="19"/>
      <c r="AE1133" s="98"/>
    </row>
    <row r="1134" spans="1:31" x14ac:dyDescent="0.3">
      <c r="A1134" s="105">
        <v>1134</v>
      </c>
      <c r="K1134" s="21"/>
      <c r="L1134" s="21"/>
      <c r="T1134" s="15"/>
      <c r="U1134" s="15"/>
      <c r="AB1134" s="19"/>
      <c r="AC1134" s="20"/>
      <c r="AD1134" s="19"/>
      <c r="AE1134" s="98"/>
    </row>
    <row r="1135" spans="1:31" x14ac:dyDescent="0.3">
      <c r="A1135" s="107">
        <v>1135</v>
      </c>
      <c r="K1135" s="21"/>
      <c r="L1135" s="21"/>
      <c r="T1135" s="15"/>
      <c r="U1135" s="15"/>
      <c r="AB1135" s="19"/>
      <c r="AC1135" s="20"/>
      <c r="AD1135" s="19"/>
      <c r="AE1135" s="98"/>
    </row>
    <row r="1136" spans="1:31" x14ac:dyDescent="0.3">
      <c r="A1136" s="107">
        <v>1136</v>
      </c>
      <c r="K1136" s="21"/>
      <c r="L1136" s="21"/>
      <c r="T1136" s="15"/>
      <c r="U1136" s="15"/>
      <c r="AB1136" s="19"/>
      <c r="AC1136" s="20"/>
      <c r="AD1136" s="19"/>
      <c r="AE1136" s="98"/>
    </row>
    <row r="1137" spans="1:31" x14ac:dyDescent="0.3">
      <c r="A1137" s="107">
        <v>1137</v>
      </c>
      <c r="K1137" s="21"/>
      <c r="L1137" s="21"/>
      <c r="T1137" s="15"/>
      <c r="U1137" s="15"/>
      <c r="AB1137" s="19"/>
      <c r="AC1137" s="20"/>
      <c r="AD1137" s="19"/>
      <c r="AE1137" s="98"/>
    </row>
    <row r="1138" spans="1:31" x14ac:dyDescent="0.3">
      <c r="K1138" s="21"/>
      <c r="L1138" s="21"/>
      <c r="T1138" s="15"/>
      <c r="U1138" s="15"/>
      <c r="AB1138" s="19"/>
      <c r="AC1138" s="20"/>
      <c r="AD1138" s="19"/>
      <c r="AE1138" s="98"/>
    </row>
    <row r="1139" spans="1:31" x14ac:dyDescent="0.3">
      <c r="K1139" s="21"/>
      <c r="L1139" s="21"/>
      <c r="T1139" s="15"/>
      <c r="U1139" s="15"/>
      <c r="AB1139" s="19"/>
      <c r="AC1139" s="20"/>
      <c r="AD1139" s="19"/>
      <c r="AE1139" s="98"/>
    </row>
    <row r="1140" spans="1:31" x14ac:dyDescent="0.3">
      <c r="K1140" s="21"/>
      <c r="L1140" s="21"/>
      <c r="T1140" s="15"/>
      <c r="U1140" s="15"/>
      <c r="AB1140" s="19"/>
      <c r="AC1140" s="20"/>
      <c r="AD1140" s="19"/>
      <c r="AE1140" s="98"/>
    </row>
    <row r="1141" spans="1:31" x14ac:dyDescent="0.3">
      <c r="K1141" s="21"/>
      <c r="L1141" s="21"/>
      <c r="T1141" s="15"/>
      <c r="U1141" s="15"/>
      <c r="AB1141" s="19"/>
      <c r="AC1141" s="20"/>
      <c r="AD1141" s="19"/>
      <c r="AE1141" s="98"/>
    </row>
    <row r="1142" spans="1:31" x14ac:dyDescent="0.3">
      <c r="K1142" s="21"/>
      <c r="L1142" s="21"/>
      <c r="T1142" s="15"/>
      <c r="U1142" s="15"/>
      <c r="AB1142" s="19"/>
      <c r="AC1142" s="20"/>
      <c r="AD1142" s="19"/>
      <c r="AE1142" s="98"/>
    </row>
    <row r="1143" spans="1:31" x14ac:dyDescent="0.3">
      <c r="K1143" s="21"/>
      <c r="L1143" s="21"/>
      <c r="T1143" s="15"/>
      <c r="U1143" s="15"/>
      <c r="AB1143" s="19"/>
      <c r="AC1143" s="20"/>
      <c r="AD1143" s="19"/>
      <c r="AE1143" s="98"/>
    </row>
    <row r="1144" spans="1:31" x14ac:dyDescent="0.3">
      <c r="K1144" s="21"/>
      <c r="L1144" s="21"/>
      <c r="T1144" s="15"/>
      <c r="U1144" s="15"/>
      <c r="AB1144" s="19"/>
      <c r="AC1144" s="20"/>
      <c r="AD1144" s="19"/>
      <c r="AE1144" s="98"/>
    </row>
    <row r="1145" spans="1:31" x14ac:dyDescent="0.3">
      <c r="K1145" s="21"/>
      <c r="L1145" s="21"/>
      <c r="T1145" s="15"/>
      <c r="U1145" s="15"/>
      <c r="AB1145" s="19"/>
      <c r="AC1145" s="20"/>
      <c r="AD1145" s="19"/>
      <c r="AE1145" s="98"/>
    </row>
    <row r="1146" spans="1:31" x14ac:dyDescent="0.3">
      <c r="K1146" s="21"/>
      <c r="L1146" s="21"/>
      <c r="T1146" s="15"/>
      <c r="U1146" s="15"/>
      <c r="AB1146" s="19"/>
      <c r="AC1146" s="20"/>
      <c r="AD1146" s="19"/>
      <c r="AE1146" s="98"/>
    </row>
    <row r="1147" spans="1:31" x14ac:dyDescent="0.3">
      <c r="K1147" s="21"/>
      <c r="L1147" s="21"/>
      <c r="T1147" s="15"/>
      <c r="U1147" s="15"/>
      <c r="AB1147" s="19"/>
      <c r="AC1147" s="20"/>
      <c r="AD1147" s="19"/>
      <c r="AE1147" s="98"/>
    </row>
    <row r="1148" spans="1:31" x14ac:dyDescent="0.3">
      <c r="K1148" s="21"/>
      <c r="L1148" s="21"/>
      <c r="T1148" s="15"/>
      <c r="U1148" s="15"/>
      <c r="AB1148" s="19"/>
      <c r="AC1148" s="20"/>
      <c r="AD1148" s="19"/>
      <c r="AE1148" s="98"/>
    </row>
    <row r="1149" spans="1:31" x14ac:dyDescent="0.3">
      <c r="K1149" s="21"/>
      <c r="L1149" s="21"/>
      <c r="T1149" s="15"/>
      <c r="U1149" s="15"/>
      <c r="AB1149" s="19"/>
      <c r="AC1149" s="20"/>
      <c r="AD1149" s="19"/>
      <c r="AE1149" s="98"/>
    </row>
    <row r="1150" spans="1:31" x14ac:dyDescent="0.3">
      <c r="K1150" s="21"/>
      <c r="L1150" s="21"/>
      <c r="T1150" s="15"/>
      <c r="U1150" s="15"/>
      <c r="AB1150" s="19"/>
      <c r="AC1150" s="20"/>
      <c r="AD1150" s="19"/>
      <c r="AE1150" s="98"/>
    </row>
    <row r="1151" spans="1:31" x14ac:dyDescent="0.3">
      <c r="K1151" s="21"/>
      <c r="L1151" s="21"/>
      <c r="T1151" s="15"/>
      <c r="U1151" s="15"/>
      <c r="AB1151" s="19"/>
      <c r="AC1151" s="20"/>
      <c r="AD1151" s="19"/>
      <c r="AE1151" s="98"/>
    </row>
    <row r="1152" spans="1:31" x14ac:dyDescent="0.3">
      <c r="K1152" s="21"/>
      <c r="L1152" s="21"/>
      <c r="T1152" s="15"/>
      <c r="U1152" s="15"/>
      <c r="AB1152" s="19"/>
      <c r="AC1152" s="20"/>
      <c r="AD1152" s="19"/>
      <c r="AE1152" s="98"/>
    </row>
    <row r="1153" spans="11:31" x14ac:dyDescent="0.3">
      <c r="K1153" s="21"/>
      <c r="L1153" s="21"/>
      <c r="T1153" s="15"/>
      <c r="U1153" s="15"/>
      <c r="AB1153" s="19"/>
      <c r="AC1153" s="20"/>
      <c r="AD1153" s="19"/>
      <c r="AE1153" s="98"/>
    </row>
    <row r="1154" spans="11:31" x14ac:dyDescent="0.3">
      <c r="K1154" s="21"/>
      <c r="L1154" s="21"/>
      <c r="T1154" s="15"/>
      <c r="U1154" s="15"/>
      <c r="AB1154" s="19"/>
      <c r="AC1154" s="20"/>
      <c r="AD1154" s="19"/>
      <c r="AE1154" s="98"/>
    </row>
    <row r="1155" spans="11:31" x14ac:dyDescent="0.3">
      <c r="K1155" s="21"/>
      <c r="L1155" s="21"/>
      <c r="T1155" s="15"/>
      <c r="U1155" s="15"/>
      <c r="AB1155" s="19"/>
      <c r="AC1155" s="20"/>
      <c r="AD1155" s="19"/>
      <c r="AE1155" s="98"/>
    </row>
    <row r="1156" spans="11:31" x14ac:dyDescent="0.3">
      <c r="K1156" s="21"/>
      <c r="L1156" s="21"/>
      <c r="T1156" s="15"/>
      <c r="U1156" s="15"/>
      <c r="AB1156" s="19"/>
      <c r="AC1156" s="20"/>
      <c r="AD1156" s="19"/>
      <c r="AE1156" s="98"/>
    </row>
    <row r="1157" spans="11:31" x14ac:dyDescent="0.3">
      <c r="K1157" s="21"/>
      <c r="L1157" s="21"/>
      <c r="T1157" s="15"/>
      <c r="U1157" s="15"/>
      <c r="AB1157" s="19"/>
      <c r="AC1157" s="20"/>
      <c r="AD1157" s="19"/>
      <c r="AE1157" s="98"/>
    </row>
    <row r="1158" spans="11:31" x14ac:dyDescent="0.3">
      <c r="K1158" s="21"/>
      <c r="L1158" s="21"/>
      <c r="T1158" s="15"/>
      <c r="U1158" s="15"/>
      <c r="AB1158" s="19"/>
      <c r="AC1158" s="20"/>
      <c r="AD1158" s="19"/>
      <c r="AE1158" s="98"/>
    </row>
    <row r="1159" spans="11:31" x14ac:dyDescent="0.3">
      <c r="K1159" s="21"/>
      <c r="L1159" s="21"/>
      <c r="T1159" s="15"/>
      <c r="U1159" s="15"/>
      <c r="AB1159" s="19"/>
      <c r="AC1159" s="20"/>
      <c r="AD1159" s="19"/>
      <c r="AE1159" s="98"/>
    </row>
    <row r="1160" spans="11:31" x14ac:dyDescent="0.3">
      <c r="K1160" s="21"/>
      <c r="L1160" s="21"/>
      <c r="T1160" s="15"/>
      <c r="U1160" s="15"/>
      <c r="AB1160" s="19"/>
      <c r="AC1160" s="20"/>
      <c r="AD1160" s="19"/>
      <c r="AE1160" s="98"/>
    </row>
    <row r="1161" spans="11:31" x14ac:dyDescent="0.3">
      <c r="K1161" s="21"/>
      <c r="L1161" s="21"/>
      <c r="T1161" s="15"/>
      <c r="U1161" s="15"/>
      <c r="AB1161" s="19"/>
      <c r="AC1161" s="20"/>
      <c r="AD1161" s="19"/>
      <c r="AE1161" s="98"/>
    </row>
    <row r="1162" spans="11:31" x14ac:dyDescent="0.3">
      <c r="K1162" s="21"/>
      <c r="L1162" s="21"/>
      <c r="T1162" s="15"/>
      <c r="U1162" s="15"/>
      <c r="AB1162" s="19"/>
      <c r="AC1162" s="20"/>
      <c r="AD1162" s="19"/>
      <c r="AE1162" s="98"/>
    </row>
    <row r="1163" spans="11:31" x14ac:dyDescent="0.3">
      <c r="K1163" s="21"/>
      <c r="L1163" s="21"/>
      <c r="T1163" s="15"/>
      <c r="U1163" s="15"/>
      <c r="AB1163" s="19"/>
      <c r="AC1163" s="20"/>
      <c r="AD1163" s="19"/>
      <c r="AE1163" s="98"/>
    </row>
    <row r="1164" spans="11:31" x14ac:dyDescent="0.3">
      <c r="K1164" s="21"/>
      <c r="L1164" s="21"/>
      <c r="T1164" s="15"/>
      <c r="U1164" s="15"/>
      <c r="AB1164" s="19"/>
      <c r="AC1164" s="20"/>
      <c r="AD1164" s="19"/>
      <c r="AE1164" s="98"/>
    </row>
    <row r="1165" spans="11:31" x14ac:dyDescent="0.3">
      <c r="K1165" s="21"/>
      <c r="L1165" s="21"/>
      <c r="T1165" s="15"/>
      <c r="U1165" s="15"/>
      <c r="AB1165" s="19"/>
      <c r="AC1165" s="20"/>
      <c r="AD1165" s="19"/>
      <c r="AE1165" s="98"/>
    </row>
    <row r="1166" spans="11:31" x14ac:dyDescent="0.3">
      <c r="K1166" s="21"/>
      <c r="L1166" s="21"/>
      <c r="T1166" s="15"/>
      <c r="U1166" s="15"/>
      <c r="AB1166" s="19"/>
      <c r="AC1166" s="20"/>
      <c r="AD1166" s="19"/>
      <c r="AE1166" s="98"/>
    </row>
    <row r="1167" spans="11:31" x14ac:dyDescent="0.3">
      <c r="K1167" s="21"/>
      <c r="L1167" s="21"/>
      <c r="T1167" s="15"/>
      <c r="U1167" s="15"/>
      <c r="AB1167" s="19"/>
      <c r="AC1167" s="20"/>
      <c r="AD1167" s="19"/>
      <c r="AE1167" s="98"/>
    </row>
    <row r="1168" spans="11:31" x14ac:dyDescent="0.3">
      <c r="K1168" s="21"/>
      <c r="L1168" s="21"/>
      <c r="T1168" s="15"/>
      <c r="U1168" s="15"/>
      <c r="AB1168" s="19"/>
      <c r="AC1168" s="20"/>
      <c r="AD1168" s="19"/>
      <c r="AE1168" s="98"/>
    </row>
    <row r="1169" spans="11:31" x14ac:dyDescent="0.3">
      <c r="K1169" s="21"/>
      <c r="L1169" s="21"/>
      <c r="T1169" s="15"/>
      <c r="U1169" s="15"/>
      <c r="AB1169" s="19"/>
      <c r="AC1169" s="20"/>
      <c r="AD1169" s="19"/>
      <c r="AE1169" s="98"/>
    </row>
    <row r="1170" spans="11:31" x14ac:dyDescent="0.3">
      <c r="K1170" s="21"/>
      <c r="L1170" s="21"/>
      <c r="T1170" s="15"/>
      <c r="U1170" s="15"/>
      <c r="AB1170" s="19"/>
      <c r="AC1170" s="20"/>
      <c r="AD1170" s="19"/>
      <c r="AE1170" s="98"/>
    </row>
    <row r="1171" spans="11:31" x14ac:dyDescent="0.3">
      <c r="K1171" s="21"/>
      <c r="L1171" s="21"/>
      <c r="T1171" s="15"/>
      <c r="U1171" s="15"/>
      <c r="AB1171" s="19"/>
      <c r="AC1171" s="20"/>
      <c r="AD1171" s="19"/>
      <c r="AE1171" s="98"/>
    </row>
    <row r="1172" spans="11:31" x14ac:dyDescent="0.3">
      <c r="K1172" s="21"/>
      <c r="L1172" s="21"/>
      <c r="T1172" s="15"/>
      <c r="U1172" s="15"/>
      <c r="AB1172" s="19"/>
      <c r="AC1172" s="20"/>
      <c r="AD1172" s="19"/>
      <c r="AE1172" s="98"/>
    </row>
    <row r="1173" spans="11:31" x14ac:dyDescent="0.3">
      <c r="K1173" s="21"/>
      <c r="L1173" s="21"/>
      <c r="T1173" s="15"/>
      <c r="U1173" s="15"/>
      <c r="AB1173" s="19"/>
      <c r="AC1173" s="20"/>
      <c r="AD1173" s="19"/>
      <c r="AE1173" s="98"/>
    </row>
    <row r="1174" spans="11:31" x14ac:dyDescent="0.3">
      <c r="K1174" s="21"/>
      <c r="L1174" s="21"/>
      <c r="T1174" s="15"/>
      <c r="U1174" s="15"/>
      <c r="AB1174" s="19"/>
      <c r="AC1174" s="20"/>
      <c r="AD1174" s="19"/>
      <c r="AE1174" s="98"/>
    </row>
    <row r="1175" spans="11:31" x14ac:dyDescent="0.3">
      <c r="K1175" s="21"/>
      <c r="L1175" s="21"/>
      <c r="T1175" s="15"/>
      <c r="U1175" s="15"/>
      <c r="AB1175" s="19"/>
      <c r="AC1175" s="20"/>
      <c r="AD1175" s="19"/>
      <c r="AE1175" s="98"/>
    </row>
    <row r="1176" spans="11:31" x14ac:dyDescent="0.3">
      <c r="K1176" s="21"/>
      <c r="L1176" s="21"/>
      <c r="T1176" s="15"/>
      <c r="U1176" s="15"/>
      <c r="AB1176" s="19"/>
      <c r="AC1176" s="20"/>
      <c r="AD1176" s="19"/>
      <c r="AE1176" s="98"/>
    </row>
    <row r="1177" spans="11:31" x14ac:dyDescent="0.3">
      <c r="K1177" s="21"/>
      <c r="L1177" s="21"/>
      <c r="T1177" s="15"/>
      <c r="U1177" s="15"/>
      <c r="AB1177" s="19"/>
      <c r="AC1177" s="20"/>
      <c r="AD1177" s="19"/>
      <c r="AE1177" s="98"/>
    </row>
    <row r="1178" spans="11:31" x14ac:dyDescent="0.3">
      <c r="K1178" s="21"/>
      <c r="L1178" s="21"/>
      <c r="T1178" s="15"/>
      <c r="U1178" s="15"/>
      <c r="AB1178" s="19"/>
      <c r="AC1178" s="20"/>
      <c r="AD1178" s="19"/>
      <c r="AE1178" s="98"/>
    </row>
    <row r="1179" spans="11:31" x14ac:dyDescent="0.3">
      <c r="K1179" s="21"/>
      <c r="L1179" s="21"/>
      <c r="T1179" s="15"/>
      <c r="U1179" s="15"/>
      <c r="AB1179" s="19"/>
      <c r="AC1179" s="20"/>
      <c r="AD1179" s="19"/>
      <c r="AE1179" s="98"/>
    </row>
    <row r="1180" spans="11:31" x14ac:dyDescent="0.3">
      <c r="K1180" s="21"/>
      <c r="L1180" s="21"/>
      <c r="T1180" s="15"/>
      <c r="U1180" s="15"/>
      <c r="AB1180" s="19"/>
      <c r="AC1180" s="20"/>
      <c r="AD1180" s="19"/>
      <c r="AE1180" s="98"/>
    </row>
    <row r="1181" spans="11:31" x14ac:dyDescent="0.3">
      <c r="K1181" s="21"/>
      <c r="L1181" s="21"/>
      <c r="T1181" s="15"/>
      <c r="U1181" s="15"/>
      <c r="AB1181" s="19"/>
      <c r="AC1181" s="20"/>
      <c r="AD1181" s="19"/>
      <c r="AE1181" s="98"/>
    </row>
    <row r="1182" spans="11:31" x14ac:dyDescent="0.3">
      <c r="K1182" s="21"/>
      <c r="L1182" s="21"/>
      <c r="T1182" s="15"/>
      <c r="U1182" s="15"/>
      <c r="AB1182" s="19"/>
      <c r="AC1182" s="20"/>
      <c r="AD1182" s="19"/>
      <c r="AE1182" s="98"/>
    </row>
    <row r="1183" spans="11:31" x14ac:dyDescent="0.3">
      <c r="K1183" s="21"/>
      <c r="L1183" s="21"/>
      <c r="T1183" s="15"/>
      <c r="U1183" s="15"/>
      <c r="AB1183" s="19"/>
      <c r="AC1183" s="20"/>
      <c r="AD1183" s="19"/>
      <c r="AE1183" s="98"/>
    </row>
    <row r="1184" spans="11:31" x14ac:dyDescent="0.3">
      <c r="K1184" s="21"/>
      <c r="L1184" s="21"/>
      <c r="T1184" s="15"/>
      <c r="U1184" s="15"/>
      <c r="AB1184" s="19"/>
      <c r="AC1184" s="20"/>
      <c r="AD1184" s="19"/>
      <c r="AE1184" s="98"/>
    </row>
    <row r="1185" spans="11:31" x14ac:dyDescent="0.3">
      <c r="K1185" s="21"/>
      <c r="L1185" s="21"/>
      <c r="T1185" s="15"/>
      <c r="U1185" s="15"/>
      <c r="AB1185" s="19"/>
      <c r="AC1185" s="20"/>
      <c r="AD1185" s="19"/>
      <c r="AE1185" s="98"/>
    </row>
    <row r="1186" spans="11:31" x14ac:dyDescent="0.3">
      <c r="K1186" s="21"/>
      <c r="L1186" s="21"/>
      <c r="T1186" s="15"/>
      <c r="U1186" s="15"/>
      <c r="AB1186" s="19"/>
      <c r="AC1186" s="20"/>
      <c r="AD1186" s="19"/>
      <c r="AE1186" s="98"/>
    </row>
    <row r="1187" spans="11:31" x14ac:dyDescent="0.3">
      <c r="K1187" s="21"/>
      <c r="L1187" s="21"/>
      <c r="T1187" s="15"/>
      <c r="U1187" s="15"/>
      <c r="AB1187" s="19"/>
      <c r="AC1187" s="20"/>
      <c r="AD1187" s="19"/>
      <c r="AE1187" s="98"/>
    </row>
    <row r="1188" spans="11:31" x14ac:dyDescent="0.3">
      <c r="K1188" s="21"/>
      <c r="L1188" s="21"/>
      <c r="T1188" s="15"/>
      <c r="U1188" s="15"/>
      <c r="AB1188" s="19"/>
      <c r="AC1188" s="20"/>
      <c r="AD1188" s="19"/>
      <c r="AE1188" s="98"/>
    </row>
    <row r="1189" spans="11:31" x14ac:dyDescent="0.3">
      <c r="K1189" s="21"/>
      <c r="L1189" s="21"/>
      <c r="T1189" s="15"/>
      <c r="U1189" s="15"/>
      <c r="AB1189" s="19"/>
      <c r="AC1189" s="20"/>
      <c r="AD1189" s="19"/>
      <c r="AE1189" s="98"/>
    </row>
    <row r="1190" spans="11:31" x14ac:dyDescent="0.3">
      <c r="K1190" s="21"/>
      <c r="L1190" s="21"/>
      <c r="T1190" s="15"/>
      <c r="U1190" s="15"/>
      <c r="AB1190" s="19"/>
      <c r="AC1190" s="20"/>
      <c r="AD1190" s="19"/>
      <c r="AE1190" s="98"/>
    </row>
    <row r="1191" spans="11:31" x14ac:dyDescent="0.3">
      <c r="K1191" s="21"/>
      <c r="L1191" s="21"/>
      <c r="T1191" s="15"/>
      <c r="U1191" s="15"/>
      <c r="AB1191" s="19"/>
      <c r="AC1191" s="20"/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C1192" s="20"/>
      <c r="AD1192" s="19"/>
      <c r="AE1192" s="98"/>
    </row>
    <row r="1193" spans="11:31" x14ac:dyDescent="0.3">
      <c r="K1193" s="21"/>
      <c r="L1193" s="21"/>
      <c r="T1193" s="15"/>
      <c r="U1193" s="15"/>
      <c r="AB1193" s="19"/>
      <c r="AC1193" s="20"/>
      <c r="AD1193" s="19"/>
      <c r="AE1193" s="98"/>
    </row>
    <row r="1194" spans="11:31" x14ac:dyDescent="0.3">
      <c r="K1194" s="21"/>
      <c r="L1194" s="21"/>
      <c r="T1194" s="15"/>
      <c r="U1194" s="15"/>
      <c r="AB1194" s="19"/>
      <c r="AC1194" s="20"/>
      <c r="AD1194" s="19"/>
      <c r="AE1194" s="98"/>
    </row>
    <row r="1195" spans="11:31" x14ac:dyDescent="0.3">
      <c r="K1195" s="21"/>
      <c r="L1195" s="21"/>
      <c r="T1195" s="15"/>
      <c r="U1195" s="15"/>
      <c r="AB1195" s="19"/>
      <c r="AC1195" s="20"/>
      <c r="AD1195" s="19"/>
      <c r="AE1195" s="98"/>
    </row>
    <row r="1196" spans="11:31" x14ac:dyDescent="0.3">
      <c r="K1196" s="21"/>
      <c r="L1196" s="21"/>
      <c r="T1196" s="15"/>
      <c r="U1196" s="15"/>
      <c r="AB1196" s="19"/>
      <c r="AC1196" s="20"/>
      <c r="AD1196" s="19"/>
      <c r="AE1196" s="98"/>
    </row>
    <row r="1197" spans="11:31" x14ac:dyDescent="0.3">
      <c r="K1197" s="21"/>
      <c r="L1197" s="21"/>
      <c r="T1197" s="15"/>
      <c r="U1197" s="15"/>
      <c r="AB1197" s="19"/>
      <c r="AC1197" s="20"/>
      <c r="AD1197" s="19"/>
      <c r="AE1197" s="98"/>
    </row>
    <row r="1198" spans="11:31" x14ac:dyDescent="0.3">
      <c r="K1198" s="21"/>
      <c r="L1198" s="21"/>
      <c r="T1198" s="15"/>
      <c r="U1198" s="15"/>
      <c r="AB1198" s="19"/>
      <c r="AC1198" s="20"/>
      <c r="AD1198" s="19"/>
      <c r="AE1198" s="98"/>
    </row>
    <row r="1199" spans="11:31" x14ac:dyDescent="0.3">
      <c r="K1199" s="21"/>
      <c r="L1199" s="21"/>
      <c r="T1199" s="15"/>
      <c r="U1199" s="15"/>
      <c r="AB1199" s="19"/>
      <c r="AC1199" s="20"/>
      <c r="AD1199" s="19"/>
      <c r="AE1199" s="98"/>
    </row>
    <row r="1200" spans="11:31" x14ac:dyDescent="0.3">
      <c r="K1200" s="21"/>
      <c r="L1200" s="21"/>
      <c r="T1200" s="15"/>
      <c r="U1200" s="15"/>
      <c r="AB1200" s="19"/>
      <c r="AC1200" s="20"/>
      <c r="AD1200" s="19"/>
      <c r="AE1200" s="98"/>
    </row>
    <row r="1201" spans="11:31" x14ac:dyDescent="0.3">
      <c r="K1201" s="21"/>
      <c r="L1201" s="21"/>
      <c r="T1201" s="15"/>
      <c r="U1201" s="15"/>
      <c r="AB1201" s="19"/>
      <c r="AC1201" s="20"/>
      <c r="AD1201" s="19"/>
      <c r="AE1201" s="98"/>
    </row>
    <row r="1202" spans="11:31" x14ac:dyDescent="0.3">
      <c r="K1202" s="21"/>
      <c r="L1202" s="21"/>
      <c r="T1202" s="15"/>
      <c r="U1202" s="15"/>
      <c r="AB1202" s="19"/>
      <c r="AC1202" s="20"/>
      <c r="AD1202" s="19"/>
      <c r="AE1202" s="98"/>
    </row>
    <row r="1203" spans="11:31" x14ac:dyDescent="0.3">
      <c r="K1203" s="21"/>
      <c r="L1203" s="21"/>
      <c r="T1203" s="15"/>
      <c r="U1203" s="15"/>
      <c r="AB1203" s="19"/>
      <c r="AC1203" s="20"/>
      <c r="AD1203" s="19"/>
      <c r="AE1203" s="98"/>
    </row>
    <row r="1204" spans="11:31" x14ac:dyDescent="0.3">
      <c r="K1204" s="21"/>
      <c r="L1204" s="21"/>
      <c r="T1204" s="15"/>
      <c r="U1204" s="15"/>
      <c r="AB1204" s="19"/>
      <c r="AC1204" s="20"/>
      <c r="AD1204" s="19"/>
      <c r="AE1204" s="98"/>
    </row>
    <row r="1205" spans="11:31" x14ac:dyDescent="0.3">
      <c r="K1205" s="21"/>
      <c r="L1205" s="21"/>
      <c r="T1205" s="15"/>
      <c r="U1205" s="15"/>
      <c r="AB1205" s="19"/>
      <c r="AC1205" s="20"/>
      <c r="AD1205" s="19"/>
      <c r="AE1205" s="98"/>
    </row>
    <row r="1206" spans="11:31" x14ac:dyDescent="0.3">
      <c r="K1206" s="21"/>
      <c r="L1206" s="21"/>
      <c r="T1206" s="15"/>
      <c r="U1206" s="15"/>
      <c r="AB1206" s="19"/>
      <c r="AC1206" s="20"/>
      <c r="AD1206" s="19"/>
      <c r="AE1206" s="98"/>
    </row>
    <row r="1207" spans="11:31" x14ac:dyDescent="0.3">
      <c r="K1207" s="21"/>
      <c r="L1207" s="21"/>
      <c r="T1207" s="15"/>
      <c r="U1207" s="15"/>
      <c r="AB1207" s="19"/>
      <c r="AC1207" s="20"/>
      <c r="AD1207" s="19"/>
      <c r="AE1207" s="98"/>
    </row>
    <row r="1208" spans="11:31" x14ac:dyDescent="0.3">
      <c r="K1208" s="21"/>
      <c r="L1208" s="21"/>
      <c r="T1208" s="15"/>
      <c r="U1208" s="15"/>
      <c r="AB1208" s="19"/>
      <c r="AC1208" s="20"/>
      <c r="AD1208" s="19"/>
      <c r="AE1208" s="98"/>
    </row>
    <row r="1209" spans="11:31" x14ac:dyDescent="0.3">
      <c r="K1209" s="21"/>
      <c r="L1209" s="21"/>
      <c r="T1209" s="15"/>
      <c r="U1209" s="15"/>
      <c r="AB1209" s="19"/>
      <c r="AC1209" s="20"/>
      <c r="AD1209" s="19"/>
      <c r="AE1209" s="98"/>
    </row>
    <row r="1210" spans="11:31" x14ac:dyDescent="0.3">
      <c r="K1210" s="21"/>
      <c r="L1210" s="21"/>
      <c r="T1210" s="15"/>
      <c r="U1210" s="15"/>
      <c r="AB1210" s="19"/>
      <c r="AC1210" s="20"/>
      <c r="AD1210" s="19"/>
      <c r="AE1210" s="98"/>
    </row>
    <row r="1211" spans="11:31" x14ac:dyDescent="0.3">
      <c r="K1211" s="21"/>
      <c r="L1211" s="21"/>
      <c r="T1211" s="15"/>
      <c r="U1211" s="15"/>
      <c r="AB1211" s="19"/>
      <c r="AC1211" s="20"/>
      <c r="AD1211" s="19"/>
      <c r="AE1211" s="98"/>
    </row>
    <row r="1212" spans="11:31" x14ac:dyDescent="0.3">
      <c r="K1212" s="21"/>
      <c r="L1212" s="21"/>
      <c r="T1212" s="15"/>
      <c r="U1212" s="15"/>
      <c r="AB1212" s="19"/>
      <c r="AC1212" s="20"/>
      <c r="AD1212" s="19"/>
      <c r="AE1212" s="98"/>
    </row>
    <row r="1213" spans="11:31" x14ac:dyDescent="0.3">
      <c r="K1213" s="21"/>
      <c r="L1213" s="21"/>
      <c r="T1213" s="15"/>
      <c r="U1213" s="15"/>
      <c r="AB1213" s="19"/>
      <c r="AC1213" s="20"/>
      <c r="AD1213" s="19"/>
      <c r="AE1213" s="98"/>
    </row>
    <row r="1214" spans="11:31" x14ac:dyDescent="0.3">
      <c r="K1214" s="21"/>
      <c r="L1214" s="21"/>
      <c r="T1214" s="15"/>
      <c r="U1214" s="15"/>
      <c r="AB1214" s="19"/>
      <c r="AC1214" s="20"/>
      <c r="AD1214" s="19"/>
      <c r="AE1214" s="98"/>
    </row>
    <row r="1215" spans="11:31" x14ac:dyDescent="0.3">
      <c r="K1215" s="21"/>
      <c r="L1215" s="21"/>
      <c r="T1215" s="15"/>
      <c r="U1215" s="15"/>
      <c r="AB1215" s="19"/>
      <c r="AC1215" s="20"/>
      <c r="AD1215" s="19"/>
      <c r="AE1215" s="98"/>
    </row>
    <row r="1216" spans="11:31" x14ac:dyDescent="0.3">
      <c r="K1216" s="21"/>
      <c r="L1216" s="21"/>
      <c r="T1216" s="15"/>
      <c r="U1216" s="15"/>
      <c r="AB1216" s="19"/>
      <c r="AC1216" s="20"/>
      <c r="AD1216" s="19"/>
      <c r="AE1216" s="98"/>
    </row>
    <row r="1217" spans="11:31" x14ac:dyDescent="0.3">
      <c r="K1217" s="21"/>
      <c r="L1217" s="21"/>
      <c r="T1217" s="15"/>
      <c r="U1217" s="15"/>
      <c r="AB1217" s="19"/>
      <c r="AC1217" s="20"/>
      <c r="AD1217" s="19"/>
      <c r="AE1217" s="98"/>
    </row>
    <row r="1218" spans="11:31" x14ac:dyDescent="0.3">
      <c r="K1218" s="21"/>
      <c r="L1218" s="21"/>
      <c r="T1218" s="15"/>
      <c r="U1218" s="15"/>
      <c r="AB1218" s="19"/>
      <c r="AC1218" s="20"/>
      <c r="AD1218" s="19"/>
      <c r="AE1218" s="98"/>
    </row>
    <row r="1219" spans="11:31" x14ac:dyDescent="0.3">
      <c r="K1219" s="21"/>
      <c r="L1219" s="21"/>
      <c r="T1219" s="15"/>
      <c r="U1219" s="15"/>
      <c r="AB1219" s="19"/>
      <c r="AC1219" s="20"/>
      <c r="AD1219" s="19"/>
      <c r="AE1219" s="98"/>
    </row>
    <row r="1220" spans="11:31" x14ac:dyDescent="0.3">
      <c r="K1220" s="21"/>
      <c r="L1220" s="21"/>
      <c r="T1220" s="15"/>
      <c r="U1220" s="15"/>
      <c r="AB1220" s="19"/>
      <c r="AC1220" s="20"/>
      <c r="AD1220" s="19"/>
      <c r="AE1220" s="98"/>
    </row>
    <row r="1221" spans="11:31" x14ac:dyDescent="0.3">
      <c r="K1221" s="21"/>
      <c r="L1221" s="21"/>
      <c r="T1221" s="15"/>
      <c r="U1221" s="15"/>
      <c r="AB1221" s="19"/>
      <c r="AC1221" s="20"/>
      <c r="AD1221" s="19"/>
      <c r="AE1221" s="98"/>
    </row>
    <row r="1222" spans="11:31" x14ac:dyDescent="0.3">
      <c r="K1222" s="21"/>
      <c r="L1222" s="21"/>
      <c r="T1222" s="15"/>
      <c r="U1222" s="15"/>
      <c r="AB1222" s="19"/>
      <c r="AC1222" s="20"/>
      <c r="AD1222" s="19"/>
      <c r="AE1222" s="98"/>
    </row>
    <row r="1223" spans="11:31" x14ac:dyDescent="0.3">
      <c r="K1223" s="21"/>
      <c r="L1223" s="21"/>
      <c r="T1223" s="15"/>
      <c r="U1223" s="15"/>
      <c r="AB1223" s="19"/>
      <c r="AC1223" s="20"/>
      <c r="AD1223" s="19"/>
      <c r="AE1223" s="98"/>
    </row>
    <row r="1224" spans="11:31" x14ac:dyDescent="0.3">
      <c r="K1224" s="21"/>
      <c r="L1224" s="21"/>
      <c r="T1224" s="15"/>
      <c r="U1224" s="15"/>
      <c r="AB1224" s="19"/>
      <c r="AC1224" s="20"/>
      <c r="AD1224" s="19"/>
      <c r="AE1224" s="98"/>
    </row>
    <row r="1225" spans="11:31" x14ac:dyDescent="0.3">
      <c r="K1225" s="21"/>
      <c r="L1225" s="21"/>
      <c r="T1225" s="15"/>
      <c r="U1225" s="15"/>
      <c r="AB1225" s="19"/>
      <c r="AC1225" s="20"/>
      <c r="AD1225" s="19"/>
      <c r="AE1225" s="98"/>
    </row>
    <row r="1226" spans="11:31" x14ac:dyDescent="0.3">
      <c r="K1226" s="21"/>
      <c r="L1226" s="21"/>
      <c r="T1226" s="15"/>
      <c r="U1226" s="15"/>
      <c r="AB1226" s="19"/>
      <c r="AC1226" s="20"/>
      <c r="AD1226" s="19"/>
      <c r="AE1226" s="98"/>
    </row>
    <row r="1227" spans="11:31" x14ac:dyDescent="0.3">
      <c r="K1227" s="21"/>
      <c r="L1227" s="21"/>
      <c r="T1227" s="15"/>
      <c r="U1227" s="15"/>
      <c r="AB1227" s="19"/>
      <c r="AC1227" s="20"/>
      <c r="AD1227" s="19"/>
      <c r="AE1227" s="98"/>
    </row>
    <row r="1228" spans="11:31" x14ac:dyDescent="0.3">
      <c r="K1228" s="21"/>
      <c r="L1228" s="21"/>
      <c r="T1228" s="15"/>
      <c r="U1228" s="15"/>
      <c r="AB1228" s="19"/>
      <c r="AC1228" s="20"/>
      <c r="AD1228" s="19"/>
      <c r="AE1228" s="98"/>
    </row>
    <row r="1229" spans="11:31" x14ac:dyDescent="0.3">
      <c r="K1229" s="21"/>
      <c r="L1229" s="21"/>
      <c r="T1229" s="15"/>
      <c r="U1229" s="15"/>
      <c r="AB1229" s="19"/>
      <c r="AC1229" s="20"/>
      <c r="AD1229" s="19"/>
      <c r="AE1229" s="98"/>
    </row>
    <row r="1230" spans="11:31" x14ac:dyDescent="0.3">
      <c r="K1230" s="21"/>
      <c r="L1230" s="21"/>
      <c r="T1230" s="15"/>
      <c r="U1230" s="15"/>
      <c r="AB1230" s="19"/>
      <c r="AC1230" s="20"/>
      <c r="AD1230" s="19"/>
      <c r="AE1230" s="98"/>
    </row>
    <row r="1231" spans="11:31" x14ac:dyDescent="0.3">
      <c r="K1231" s="21"/>
      <c r="L1231" s="21"/>
      <c r="T1231" s="15"/>
      <c r="U1231" s="15"/>
      <c r="AB1231" s="19"/>
      <c r="AC1231" s="20"/>
      <c r="AD1231" s="19"/>
      <c r="AE1231" s="98"/>
    </row>
    <row r="1232" spans="11:31" x14ac:dyDescent="0.3">
      <c r="K1232" s="21"/>
      <c r="L1232" s="21"/>
      <c r="T1232" s="15"/>
      <c r="U1232" s="15"/>
      <c r="AB1232" s="19"/>
      <c r="AC1232" s="20"/>
      <c r="AD1232" s="19"/>
      <c r="AE1232" s="98"/>
    </row>
    <row r="1233" spans="11:31" x14ac:dyDescent="0.3">
      <c r="K1233" s="21"/>
      <c r="L1233" s="21"/>
      <c r="T1233" s="15"/>
      <c r="U1233" s="15"/>
      <c r="AB1233" s="19"/>
      <c r="AC1233" s="20"/>
      <c r="AD1233" s="19"/>
      <c r="AE1233" s="98"/>
    </row>
    <row r="1234" spans="11:31" x14ac:dyDescent="0.3">
      <c r="K1234" s="21"/>
      <c r="L1234" s="21"/>
      <c r="T1234" s="15"/>
      <c r="U1234" s="15"/>
      <c r="AB1234" s="19"/>
      <c r="AC1234" s="20"/>
      <c r="AD1234" s="19"/>
      <c r="AE1234" s="98"/>
    </row>
    <row r="1235" spans="11:31" x14ac:dyDescent="0.3">
      <c r="K1235" s="21"/>
      <c r="L1235" s="21"/>
      <c r="T1235" s="15"/>
      <c r="U1235" s="15"/>
      <c r="AB1235" s="19"/>
      <c r="AC1235" s="20"/>
      <c r="AD1235" s="19"/>
      <c r="AE1235" s="98"/>
    </row>
    <row r="1236" spans="11:31" x14ac:dyDescent="0.3">
      <c r="K1236" s="21"/>
      <c r="L1236" s="21"/>
      <c r="T1236" s="15"/>
      <c r="U1236" s="15"/>
      <c r="AB1236" s="19"/>
      <c r="AC1236" s="20"/>
      <c r="AD1236" s="19"/>
      <c r="AE1236" s="98"/>
    </row>
    <row r="1237" spans="11:31" x14ac:dyDescent="0.3">
      <c r="K1237" s="21"/>
      <c r="L1237" s="21"/>
      <c r="T1237" s="15"/>
      <c r="U1237" s="15"/>
      <c r="AB1237" s="19"/>
      <c r="AC1237" s="20"/>
      <c r="AD1237" s="19"/>
      <c r="AE1237" s="98"/>
    </row>
    <row r="1238" spans="11:31" x14ac:dyDescent="0.3">
      <c r="K1238" s="21"/>
      <c r="L1238" s="21"/>
      <c r="T1238" s="15"/>
      <c r="U1238" s="15"/>
      <c r="AB1238" s="19"/>
      <c r="AC1238" s="20"/>
      <c r="AD1238" s="19"/>
      <c r="AE1238" s="98"/>
    </row>
    <row r="1239" spans="11:31" x14ac:dyDescent="0.3">
      <c r="K1239" s="21"/>
      <c r="L1239" s="21"/>
      <c r="T1239" s="15"/>
      <c r="U1239" s="15"/>
      <c r="AB1239" s="19"/>
      <c r="AC1239" s="20"/>
      <c r="AD1239" s="19"/>
      <c r="AE1239" s="98"/>
    </row>
    <row r="1240" spans="11:31" x14ac:dyDescent="0.3">
      <c r="K1240" s="21"/>
      <c r="L1240" s="21"/>
      <c r="T1240" s="15"/>
      <c r="U1240" s="15"/>
      <c r="AB1240" s="19"/>
      <c r="AC1240" s="20"/>
      <c r="AD1240" s="19"/>
      <c r="AE1240" s="98"/>
    </row>
    <row r="1241" spans="11:31" x14ac:dyDescent="0.3">
      <c r="K1241" s="21"/>
      <c r="L1241" s="21"/>
      <c r="T1241" s="15"/>
      <c r="U1241" s="15"/>
      <c r="AB1241" s="19"/>
      <c r="AC1241" s="20"/>
      <c r="AD1241" s="19"/>
      <c r="AE1241" s="98"/>
    </row>
    <row r="1242" spans="11:31" x14ac:dyDescent="0.3">
      <c r="K1242" s="21"/>
      <c r="L1242" s="21"/>
      <c r="T1242" s="15"/>
      <c r="U1242" s="15"/>
      <c r="AB1242" s="19"/>
      <c r="AC1242" s="20"/>
      <c r="AD1242" s="19"/>
      <c r="AE1242" s="98"/>
    </row>
    <row r="1243" spans="11:31" x14ac:dyDescent="0.3">
      <c r="K1243" s="21"/>
      <c r="L1243" s="21"/>
      <c r="T1243" s="15"/>
      <c r="U1243" s="15"/>
      <c r="AB1243" s="19"/>
      <c r="AC1243" s="20"/>
      <c r="AD1243" s="19"/>
      <c r="AE1243" s="98"/>
    </row>
    <row r="1244" spans="11:31" x14ac:dyDescent="0.3">
      <c r="K1244" s="21"/>
      <c r="L1244" s="21"/>
      <c r="T1244" s="15"/>
      <c r="U1244" s="15"/>
      <c r="AB1244" s="19"/>
      <c r="AC1244" s="20"/>
      <c r="AD1244" s="19"/>
      <c r="AE1244" s="98"/>
    </row>
    <row r="1245" spans="11:31" x14ac:dyDescent="0.3">
      <c r="K1245" s="21"/>
      <c r="L1245" s="21"/>
      <c r="T1245" s="15"/>
      <c r="U1245" s="15"/>
      <c r="AB1245" s="19"/>
      <c r="AC1245" s="20"/>
      <c r="AD1245" s="19"/>
      <c r="AE1245" s="98"/>
    </row>
    <row r="1246" spans="11:31" x14ac:dyDescent="0.3">
      <c r="K1246" s="21"/>
      <c r="L1246" s="21"/>
      <c r="T1246" s="15"/>
      <c r="U1246" s="15"/>
      <c r="AB1246" s="19"/>
      <c r="AC1246" s="20"/>
      <c r="AD1246" s="19"/>
      <c r="AE1246" s="98"/>
    </row>
    <row r="1247" spans="11:31" x14ac:dyDescent="0.3">
      <c r="K1247" s="21"/>
      <c r="L1247" s="21"/>
      <c r="T1247" s="15"/>
      <c r="U1247" s="15"/>
      <c r="AB1247" s="19"/>
      <c r="AC1247" s="20"/>
      <c r="AD1247" s="19"/>
      <c r="AE1247" s="98"/>
    </row>
    <row r="1248" spans="11:31" x14ac:dyDescent="0.3">
      <c r="K1248" s="21"/>
      <c r="L1248" s="21"/>
      <c r="T1248" s="15"/>
      <c r="U1248" s="15"/>
      <c r="AB1248" s="19"/>
      <c r="AC1248" s="20"/>
      <c r="AD1248" s="19"/>
      <c r="AE1248" s="98"/>
    </row>
    <row r="1249" spans="11:31" x14ac:dyDescent="0.3">
      <c r="K1249" s="21"/>
      <c r="L1249" s="21"/>
      <c r="T1249" s="15"/>
      <c r="U1249" s="15"/>
      <c r="AB1249" s="19"/>
      <c r="AC1249" s="20"/>
      <c r="AD1249" s="19"/>
      <c r="AE1249" s="98"/>
    </row>
    <row r="1250" spans="11:31" x14ac:dyDescent="0.3">
      <c r="K1250" s="21"/>
      <c r="L1250" s="21"/>
      <c r="T1250" s="15"/>
      <c r="U1250" s="15"/>
      <c r="AB1250" s="19"/>
      <c r="AC1250" s="20"/>
      <c r="AD1250" s="19"/>
      <c r="AE1250" s="98"/>
    </row>
    <row r="1251" spans="11:31" x14ac:dyDescent="0.3">
      <c r="K1251" s="21"/>
      <c r="L1251" s="21"/>
      <c r="T1251" s="15"/>
      <c r="U1251" s="15"/>
      <c r="AB1251" s="19"/>
      <c r="AC1251" s="20"/>
      <c r="AD1251" s="19"/>
      <c r="AE1251" s="98"/>
    </row>
    <row r="1252" spans="11:31" x14ac:dyDescent="0.3">
      <c r="K1252" s="21"/>
      <c r="L1252" s="21"/>
      <c r="T1252" s="15"/>
      <c r="U1252" s="15"/>
      <c r="AB1252" s="19"/>
      <c r="AC1252" s="20"/>
      <c r="AD1252" s="19"/>
      <c r="AE1252" s="98"/>
    </row>
    <row r="1253" spans="11:31" x14ac:dyDescent="0.3">
      <c r="K1253" s="21"/>
      <c r="L1253" s="21"/>
      <c r="T1253" s="15"/>
      <c r="U1253" s="15"/>
      <c r="AB1253" s="19"/>
      <c r="AC1253" s="20"/>
      <c r="AD1253" s="19"/>
      <c r="AE1253" s="98"/>
    </row>
    <row r="1254" spans="11:31" x14ac:dyDescent="0.3">
      <c r="K1254" s="21"/>
      <c r="L1254" s="21"/>
      <c r="T1254" s="15"/>
      <c r="U1254" s="15"/>
      <c r="AB1254" s="19"/>
      <c r="AC1254" s="20"/>
      <c r="AD1254" s="19"/>
      <c r="AE1254" s="98"/>
    </row>
    <row r="1255" spans="11:31" x14ac:dyDescent="0.3">
      <c r="K1255" s="21"/>
      <c r="L1255" s="21"/>
      <c r="T1255" s="15"/>
      <c r="U1255" s="15"/>
      <c r="AB1255" s="19"/>
      <c r="AC1255" s="20"/>
      <c r="AD1255" s="19"/>
      <c r="AE1255" s="98"/>
    </row>
    <row r="1256" spans="11:31" x14ac:dyDescent="0.3">
      <c r="K1256" s="21"/>
      <c r="L1256" s="21"/>
      <c r="T1256" s="15"/>
      <c r="U1256" s="15"/>
      <c r="AB1256" s="19"/>
      <c r="AC1256" s="20"/>
      <c r="AD1256" s="19"/>
      <c r="AE1256" s="98"/>
    </row>
    <row r="1257" spans="11:31" x14ac:dyDescent="0.3">
      <c r="K1257" s="21"/>
      <c r="L1257" s="21"/>
      <c r="T1257" s="15"/>
      <c r="U1257" s="15"/>
      <c r="AB1257" s="19"/>
      <c r="AC1257" s="20"/>
      <c r="AD1257" s="19"/>
      <c r="AE1257" s="98"/>
    </row>
    <row r="1258" spans="11:31" x14ac:dyDescent="0.3">
      <c r="K1258" s="21"/>
      <c r="L1258" s="21"/>
      <c r="T1258" s="15"/>
      <c r="U1258" s="15"/>
      <c r="AB1258" s="19"/>
      <c r="AC1258" s="20"/>
      <c r="AD1258" s="19"/>
      <c r="AE1258" s="98"/>
    </row>
    <row r="1259" spans="11:31" x14ac:dyDescent="0.3">
      <c r="K1259" s="21"/>
      <c r="L1259" s="21"/>
      <c r="T1259" s="15"/>
      <c r="U1259" s="15"/>
      <c r="AB1259" s="19"/>
      <c r="AC1259" s="20"/>
      <c r="AD1259" s="19"/>
      <c r="AE1259" s="98"/>
    </row>
    <row r="1260" spans="11:31" x14ac:dyDescent="0.3">
      <c r="K1260" s="21"/>
      <c r="L1260" s="21"/>
      <c r="T1260" s="15"/>
      <c r="U1260" s="15"/>
      <c r="AB1260" s="19"/>
      <c r="AC1260" s="20"/>
      <c r="AD1260" s="19"/>
      <c r="AE1260" s="98"/>
    </row>
    <row r="1261" spans="11:31" x14ac:dyDescent="0.3">
      <c r="K1261" s="21"/>
      <c r="L1261" s="21"/>
      <c r="T1261" s="15"/>
      <c r="U1261" s="15"/>
      <c r="AB1261" s="19"/>
      <c r="AC1261" s="20"/>
      <c r="AD1261" s="19"/>
      <c r="AE1261" s="98"/>
    </row>
    <row r="1262" spans="11:31" x14ac:dyDescent="0.3">
      <c r="K1262" s="21"/>
      <c r="L1262" s="21"/>
      <c r="T1262" s="15"/>
      <c r="U1262" s="15"/>
      <c r="AB1262" s="19"/>
      <c r="AC1262" s="20"/>
      <c r="AD1262" s="19"/>
      <c r="AE1262" s="98"/>
    </row>
    <row r="1263" spans="11:31" x14ac:dyDescent="0.3">
      <c r="K1263" s="21"/>
      <c r="L1263" s="21"/>
      <c r="T1263" s="15"/>
      <c r="U1263" s="15"/>
      <c r="AB1263" s="19"/>
      <c r="AC1263" s="20"/>
      <c r="AD1263" s="19"/>
      <c r="AE1263" s="98"/>
    </row>
    <row r="1264" spans="11:31" x14ac:dyDescent="0.3">
      <c r="K1264" s="21"/>
      <c r="L1264" s="21"/>
      <c r="T1264" s="15"/>
      <c r="U1264" s="15"/>
      <c r="AB1264" s="19"/>
      <c r="AC1264" s="20"/>
      <c r="AD1264" s="19"/>
      <c r="AE1264" s="98"/>
    </row>
    <row r="1265" spans="11:31" x14ac:dyDescent="0.3">
      <c r="K1265" s="21"/>
      <c r="L1265" s="21"/>
      <c r="T1265" s="15"/>
      <c r="U1265" s="15"/>
      <c r="AB1265" s="19"/>
      <c r="AC1265" s="20"/>
      <c r="AD1265" s="19"/>
      <c r="AE1265" s="98"/>
    </row>
    <row r="1266" spans="11:31" x14ac:dyDescent="0.3">
      <c r="K1266" s="21"/>
      <c r="L1266" s="21"/>
      <c r="T1266" s="15"/>
      <c r="U1266" s="15"/>
      <c r="AB1266" s="19"/>
      <c r="AC1266" s="20"/>
      <c r="AD1266" s="19"/>
      <c r="AE1266" s="98"/>
    </row>
    <row r="1267" spans="11:31" x14ac:dyDescent="0.3">
      <c r="K1267" s="21"/>
      <c r="L1267" s="21"/>
      <c r="T1267" s="15"/>
      <c r="U1267" s="15"/>
      <c r="AB1267" s="19"/>
      <c r="AC1267" s="20"/>
      <c r="AD1267" s="19"/>
      <c r="AE1267" s="98"/>
    </row>
    <row r="1268" spans="11:31" x14ac:dyDescent="0.3">
      <c r="K1268" s="21"/>
      <c r="L1268" s="21"/>
      <c r="T1268" s="15"/>
      <c r="U1268" s="15"/>
      <c r="AB1268" s="19"/>
      <c r="AC1268" s="20"/>
      <c r="AD1268" s="19"/>
      <c r="AE1268" s="98"/>
    </row>
    <row r="1269" spans="11:31" x14ac:dyDescent="0.3">
      <c r="K1269" s="21"/>
      <c r="L1269" s="21"/>
      <c r="T1269" s="15"/>
      <c r="U1269" s="15"/>
      <c r="AB1269" s="19"/>
      <c r="AC1269" s="20"/>
      <c r="AD1269" s="19"/>
      <c r="AE1269" s="98"/>
    </row>
    <row r="1270" spans="11:31" x14ac:dyDescent="0.3">
      <c r="K1270" s="21"/>
      <c r="L1270" s="21"/>
      <c r="T1270" s="15"/>
      <c r="U1270" s="15"/>
      <c r="AB1270" s="19"/>
      <c r="AC1270" s="20"/>
      <c r="AD1270" s="19"/>
      <c r="AE1270" s="98"/>
    </row>
    <row r="1271" spans="11:31" x14ac:dyDescent="0.3">
      <c r="K1271" s="21"/>
      <c r="L1271" s="21"/>
      <c r="T1271" s="15"/>
      <c r="U1271" s="15"/>
      <c r="AB1271" s="19"/>
      <c r="AC1271" s="20"/>
      <c r="AD1271" s="19"/>
      <c r="AE1271" s="98"/>
    </row>
    <row r="1272" spans="11:31" x14ac:dyDescent="0.3">
      <c r="K1272" s="21"/>
      <c r="L1272" s="21"/>
      <c r="T1272" s="15"/>
      <c r="U1272" s="15"/>
      <c r="AB1272" s="19"/>
      <c r="AC1272" s="20"/>
      <c r="AD1272" s="19"/>
      <c r="AE1272" s="98"/>
    </row>
    <row r="1273" spans="11:31" x14ac:dyDescent="0.3">
      <c r="K1273" s="21"/>
      <c r="L1273" s="21"/>
      <c r="T1273" s="15"/>
      <c r="U1273" s="15"/>
      <c r="AB1273" s="19"/>
      <c r="AC1273" s="20"/>
      <c r="AD1273" s="19"/>
      <c r="AE1273" s="98"/>
    </row>
    <row r="1274" spans="11:31" x14ac:dyDescent="0.3">
      <c r="K1274" s="21"/>
      <c r="L1274" s="21"/>
      <c r="T1274" s="15"/>
      <c r="U1274" s="15"/>
      <c r="AB1274" s="19"/>
      <c r="AC1274" s="20"/>
      <c r="AD1274" s="19"/>
      <c r="AE1274" s="98"/>
    </row>
    <row r="1275" spans="11:31" x14ac:dyDescent="0.3">
      <c r="K1275" s="21"/>
      <c r="L1275" s="21"/>
      <c r="T1275" s="15"/>
      <c r="U1275" s="15"/>
      <c r="AB1275" s="19"/>
      <c r="AC1275" s="20"/>
      <c r="AD1275" s="19"/>
      <c r="AE1275" s="98"/>
    </row>
    <row r="1276" spans="11:31" x14ac:dyDescent="0.3">
      <c r="K1276" s="21"/>
      <c r="L1276" s="21"/>
      <c r="T1276" s="15"/>
      <c r="U1276" s="15"/>
      <c r="AB1276" s="19"/>
      <c r="AC1276" s="20"/>
      <c r="AD1276" s="19"/>
      <c r="AE1276" s="98"/>
    </row>
    <row r="1277" spans="11:31" x14ac:dyDescent="0.3">
      <c r="K1277" s="21"/>
      <c r="L1277" s="21"/>
      <c r="T1277" s="15"/>
      <c r="U1277" s="15"/>
      <c r="AB1277" s="19"/>
      <c r="AC1277" s="20"/>
      <c r="AD1277" s="19"/>
      <c r="AE1277" s="98"/>
    </row>
    <row r="1278" spans="11:31" x14ac:dyDescent="0.3">
      <c r="K1278" s="21"/>
      <c r="L1278" s="21"/>
      <c r="T1278" s="15"/>
      <c r="U1278" s="15"/>
      <c r="AB1278" s="19"/>
      <c r="AC1278" s="20"/>
      <c r="AD1278" s="19"/>
      <c r="AE1278" s="98"/>
    </row>
    <row r="1279" spans="11:31" x14ac:dyDescent="0.3">
      <c r="K1279" s="21"/>
      <c r="L1279" s="21"/>
      <c r="T1279" s="15"/>
      <c r="U1279" s="15"/>
      <c r="AB1279" s="19"/>
      <c r="AC1279" s="20"/>
      <c r="AD1279" s="19"/>
      <c r="AE1279" s="98"/>
    </row>
    <row r="1280" spans="11:31" x14ac:dyDescent="0.3">
      <c r="K1280" s="21"/>
      <c r="L1280" s="21"/>
      <c r="T1280" s="15"/>
      <c r="U1280" s="15"/>
      <c r="AB1280" s="19"/>
      <c r="AC1280" s="20"/>
      <c r="AD1280" s="19"/>
      <c r="AE1280" s="98"/>
    </row>
    <row r="1281" spans="11:31" x14ac:dyDescent="0.3">
      <c r="K1281" s="21"/>
      <c r="L1281" s="21"/>
      <c r="T1281" s="15"/>
      <c r="U1281" s="15"/>
      <c r="AB1281" s="19"/>
      <c r="AC1281" s="20"/>
      <c r="AD1281" s="19"/>
      <c r="AE1281" s="98"/>
    </row>
    <row r="1282" spans="11:31" x14ac:dyDescent="0.3">
      <c r="K1282" s="21"/>
      <c r="L1282" s="21"/>
      <c r="T1282" s="15"/>
      <c r="U1282" s="15"/>
      <c r="AB1282" s="19"/>
      <c r="AC1282" s="20"/>
      <c r="AD1282" s="19"/>
      <c r="AE1282" s="98"/>
    </row>
    <row r="1283" spans="11:31" x14ac:dyDescent="0.3">
      <c r="K1283" s="21"/>
      <c r="L1283" s="21"/>
      <c r="T1283" s="15"/>
      <c r="U1283" s="15"/>
      <c r="AB1283" s="19"/>
      <c r="AC1283" s="20"/>
      <c r="AD1283" s="19"/>
      <c r="AE1283" s="98"/>
    </row>
    <row r="1284" spans="11:31" x14ac:dyDescent="0.3">
      <c r="K1284" s="21"/>
      <c r="L1284" s="21"/>
      <c r="T1284" s="15"/>
      <c r="U1284" s="15"/>
      <c r="AB1284" s="19"/>
      <c r="AC1284" s="20"/>
      <c r="AD1284" s="19"/>
      <c r="AE1284" s="98"/>
    </row>
    <row r="1285" spans="11:31" x14ac:dyDescent="0.3">
      <c r="K1285" s="21"/>
      <c r="L1285" s="21"/>
      <c r="T1285" s="15"/>
      <c r="U1285" s="15"/>
      <c r="AB1285" s="19"/>
      <c r="AC1285" s="20"/>
      <c r="AD1285" s="19"/>
      <c r="AE1285" s="98"/>
    </row>
    <row r="1286" spans="11:31" x14ac:dyDescent="0.3">
      <c r="K1286" s="21"/>
      <c r="L1286" s="21"/>
      <c r="T1286" s="15"/>
      <c r="U1286" s="15"/>
      <c r="AB1286" s="19"/>
      <c r="AC1286" s="20"/>
      <c r="AD1286" s="19"/>
      <c r="AE1286" s="98"/>
    </row>
    <row r="1287" spans="11:31" x14ac:dyDescent="0.3">
      <c r="K1287" s="21"/>
      <c r="L1287" s="21"/>
      <c r="T1287" s="15"/>
      <c r="U1287" s="15"/>
      <c r="AB1287" s="19"/>
      <c r="AC1287" s="20"/>
      <c r="AD1287" s="19"/>
      <c r="AE1287" s="98"/>
    </row>
    <row r="1288" spans="11:31" x14ac:dyDescent="0.3">
      <c r="K1288" s="21"/>
      <c r="L1288" s="21"/>
      <c r="T1288" s="15"/>
      <c r="U1288" s="15"/>
      <c r="AB1288" s="19"/>
      <c r="AC1288" s="20"/>
      <c r="AD1288" s="19"/>
      <c r="AE1288" s="98"/>
    </row>
    <row r="1289" spans="11:31" x14ac:dyDescent="0.3">
      <c r="K1289" s="21"/>
      <c r="L1289" s="21"/>
      <c r="T1289" s="15"/>
      <c r="U1289" s="15"/>
      <c r="AB1289" s="19"/>
      <c r="AC1289" s="20"/>
      <c r="AD1289" s="19"/>
      <c r="AE1289" s="98"/>
    </row>
    <row r="1290" spans="11:31" x14ac:dyDescent="0.3">
      <c r="K1290" s="21"/>
      <c r="L1290" s="21"/>
      <c r="T1290" s="15"/>
      <c r="U1290" s="15"/>
      <c r="AB1290" s="19"/>
      <c r="AC1290" s="20"/>
      <c r="AD1290" s="19"/>
      <c r="AE1290" s="98"/>
    </row>
    <row r="1291" spans="11:31" x14ac:dyDescent="0.3">
      <c r="K1291" s="21"/>
      <c r="L1291" s="21"/>
      <c r="T1291" s="15"/>
      <c r="U1291" s="15"/>
      <c r="AB1291" s="19"/>
      <c r="AC1291" s="20"/>
      <c r="AD1291" s="19"/>
      <c r="AE1291" s="98"/>
    </row>
    <row r="1292" spans="11:31" x14ac:dyDescent="0.3">
      <c r="K1292" s="21"/>
      <c r="L1292" s="21"/>
      <c r="T1292" s="15"/>
      <c r="U1292" s="15"/>
      <c r="AB1292" s="19"/>
      <c r="AC1292" s="20"/>
      <c r="AD1292" s="19"/>
      <c r="AE1292" s="98"/>
    </row>
    <row r="1293" spans="11:31" x14ac:dyDescent="0.3">
      <c r="K1293" s="21"/>
      <c r="L1293" s="21"/>
      <c r="T1293" s="15"/>
      <c r="U1293" s="15"/>
      <c r="AB1293" s="19"/>
      <c r="AC1293" s="20"/>
      <c r="AD1293" s="19"/>
      <c r="AE1293" s="98"/>
    </row>
    <row r="1294" spans="11:31" x14ac:dyDescent="0.3">
      <c r="K1294" s="21"/>
      <c r="L1294" s="21"/>
      <c r="T1294" s="15"/>
      <c r="U1294" s="15"/>
      <c r="AB1294" s="19"/>
      <c r="AC1294" s="20"/>
      <c r="AD1294" s="19"/>
      <c r="AE1294" s="98"/>
    </row>
    <row r="1295" spans="11:31" x14ac:dyDescent="0.3">
      <c r="K1295" s="21"/>
      <c r="L1295" s="21"/>
      <c r="T1295" s="15"/>
      <c r="U1295" s="15"/>
      <c r="AB1295" s="19"/>
      <c r="AC1295" s="20"/>
      <c r="AD1295" s="19"/>
      <c r="AE1295" s="98"/>
    </row>
    <row r="1296" spans="11:31" x14ac:dyDescent="0.3">
      <c r="K1296" s="21"/>
      <c r="L1296" s="21"/>
      <c r="T1296" s="15"/>
      <c r="U1296" s="15"/>
      <c r="AB1296" s="19"/>
      <c r="AC1296" s="20"/>
      <c r="AD1296" s="19"/>
      <c r="AE1296" s="98"/>
    </row>
    <row r="1297" spans="11:31" x14ac:dyDescent="0.3">
      <c r="K1297" s="21"/>
      <c r="L1297" s="21"/>
      <c r="T1297" s="15"/>
      <c r="U1297" s="15"/>
      <c r="AB1297" s="19"/>
      <c r="AC1297" s="20"/>
      <c r="AD1297" s="19"/>
      <c r="AE1297" s="98"/>
    </row>
    <row r="1298" spans="11:31" x14ac:dyDescent="0.3">
      <c r="K1298" s="21"/>
      <c r="L1298" s="21"/>
      <c r="T1298" s="15"/>
      <c r="U1298" s="15"/>
      <c r="AB1298" s="19"/>
      <c r="AC1298" s="20"/>
      <c r="AD1298" s="19"/>
      <c r="AE1298" s="98"/>
    </row>
    <row r="1299" spans="11:31" x14ac:dyDescent="0.3">
      <c r="K1299" s="21"/>
      <c r="L1299" s="21"/>
      <c r="T1299" s="15"/>
      <c r="U1299" s="15"/>
      <c r="AB1299" s="19"/>
      <c r="AC1299" s="20"/>
      <c r="AD1299" s="19"/>
      <c r="AE1299" s="98"/>
    </row>
    <row r="1300" spans="11:31" x14ac:dyDescent="0.3">
      <c r="K1300" s="21"/>
      <c r="L1300" s="21"/>
      <c r="T1300" s="15"/>
      <c r="U1300" s="15"/>
      <c r="AB1300" s="19"/>
      <c r="AC1300" s="20"/>
      <c r="AD1300" s="19"/>
      <c r="AE1300" s="98"/>
    </row>
    <row r="1301" spans="11:31" x14ac:dyDescent="0.3">
      <c r="K1301" s="21"/>
      <c r="L1301" s="21"/>
      <c r="T1301" s="15"/>
      <c r="U1301" s="15"/>
      <c r="AB1301" s="19"/>
      <c r="AC1301" s="20"/>
      <c r="AD1301" s="19"/>
      <c r="AE1301" s="98"/>
    </row>
    <row r="1302" spans="11:31" x14ac:dyDescent="0.3">
      <c r="K1302" s="21"/>
      <c r="L1302" s="21"/>
      <c r="T1302" s="15"/>
      <c r="U1302" s="15"/>
      <c r="AB1302" s="19"/>
      <c r="AC1302" s="20"/>
      <c r="AD1302" s="19"/>
      <c r="AE1302" s="98"/>
    </row>
    <row r="1303" spans="11:31" x14ac:dyDescent="0.3">
      <c r="K1303" s="21"/>
      <c r="L1303" s="21"/>
      <c r="T1303" s="15"/>
      <c r="U1303" s="15"/>
      <c r="AB1303" s="19"/>
      <c r="AC1303" s="20"/>
      <c r="AD1303" s="19"/>
      <c r="AE1303" s="98"/>
    </row>
    <row r="1304" spans="11:31" x14ac:dyDescent="0.3">
      <c r="K1304" s="21"/>
      <c r="L1304" s="21"/>
      <c r="T1304" s="15"/>
      <c r="U1304" s="15"/>
      <c r="AB1304" s="19"/>
      <c r="AC1304" s="20"/>
      <c r="AD1304" s="19"/>
      <c r="AE1304" s="98"/>
    </row>
    <row r="1305" spans="11:31" x14ac:dyDescent="0.3">
      <c r="K1305" s="21"/>
      <c r="L1305" s="21"/>
      <c r="T1305" s="15"/>
      <c r="U1305" s="15"/>
      <c r="AB1305" s="19"/>
      <c r="AC1305" s="20"/>
      <c r="AD1305" s="19"/>
      <c r="AE1305" s="98"/>
    </row>
    <row r="1306" spans="11:31" x14ac:dyDescent="0.3">
      <c r="K1306" s="21"/>
      <c r="L1306" s="21"/>
      <c r="T1306" s="15"/>
      <c r="U1306" s="15"/>
      <c r="AB1306" s="19"/>
      <c r="AC1306" s="20"/>
      <c r="AD1306" s="19"/>
      <c r="AE1306" s="98"/>
    </row>
    <row r="1307" spans="11:31" x14ac:dyDescent="0.3">
      <c r="K1307" s="21"/>
      <c r="L1307" s="21"/>
      <c r="T1307" s="15"/>
      <c r="U1307" s="15"/>
      <c r="AB1307" s="19"/>
      <c r="AC1307" s="20"/>
      <c r="AD1307" s="19"/>
      <c r="AE1307" s="98"/>
    </row>
    <row r="1308" spans="11:31" x14ac:dyDescent="0.3">
      <c r="K1308" s="21"/>
      <c r="L1308" s="21"/>
      <c r="T1308" s="15"/>
      <c r="U1308" s="15"/>
      <c r="AB1308" s="19"/>
      <c r="AC1308" s="20"/>
      <c r="AD1308" s="19"/>
      <c r="AE1308" s="98"/>
    </row>
    <row r="1309" spans="11:31" x14ac:dyDescent="0.3">
      <c r="K1309" s="21"/>
      <c r="L1309" s="21"/>
      <c r="T1309" s="15"/>
      <c r="U1309" s="15"/>
      <c r="AB1309" s="19"/>
      <c r="AC1309" s="20"/>
      <c r="AD1309" s="19"/>
      <c r="AE1309" s="98"/>
    </row>
    <row r="1310" spans="11:31" x14ac:dyDescent="0.3">
      <c r="K1310" s="21"/>
      <c r="L1310" s="21"/>
      <c r="T1310" s="15"/>
      <c r="U1310" s="15"/>
      <c r="AB1310" s="19"/>
      <c r="AC1310" s="20"/>
      <c r="AD1310" s="19"/>
      <c r="AE1310" s="98"/>
    </row>
    <row r="1311" spans="11:31" x14ac:dyDescent="0.3">
      <c r="K1311" s="21"/>
      <c r="L1311" s="21"/>
      <c r="T1311" s="15"/>
      <c r="U1311" s="15"/>
      <c r="AB1311" s="19"/>
      <c r="AC1311" s="20"/>
      <c r="AD1311" s="19"/>
      <c r="AE1311" s="98"/>
    </row>
    <row r="1312" spans="11:31" x14ac:dyDescent="0.3">
      <c r="K1312" s="21"/>
      <c r="L1312" s="21"/>
      <c r="T1312" s="15"/>
      <c r="U1312" s="15"/>
      <c r="AB1312" s="19"/>
      <c r="AC1312" s="20"/>
      <c r="AD1312" s="19"/>
      <c r="AE1312" s="98"/>
    </row>
    <row r="1313" spans="11:31" x14ac:dyDescent="0.3">
      <c r="K1313" s="21"/>
      <c r="L1313" s="21"/>
      <c r="T1313" s="15"/>
      <c r="U1313" s="15"/>
      <c r="AB1313" s="19"/>
      <c r="AC1313" s="20"/>
      <c r="AD1313" s="19"/>
      <c r="AE1313" s="98"/>
    </row>
    <row r="1314" spans="11:31" x14ac:dyDescent="0.3">
      <c r="K1314" s="21"/>
      <c r="L1314" s="21"/>
      <c r="T1314" s="15"/>
      <c r="U1314" s="15"/>
      <c r="AB1314" s="19"/>
      <c r="AC1314" s="20"/>
      <c r="AD1314" s="19"/>
      <c r="AE1314" s="98"/>
    </row>
    <row r="1315" spans="11:31" x14ac:dyDescent="0.3">
      <c r="K1315" s="21"/>
      <c r="L1315" s="21"/>
      <c r="T1315" s="15"/>
      <c r="U1315" s="15"/>
      <c r="AB1315" s="19"/>
      <c r="AC1315" s="20"/>
      <c r="AD1315" s="19"/>
      <c r="AE1315" s="98"/>
    </row>
    <row r="1316" spans="11:31" x14ac:dyDescent="0.3">
      <c r="K1316" s="21"/>
      <c r="L1316" s="21"/>
      <c r="T1316" s="15"/>
      <c r="U1316" s="15"/>
      <c r="AB1316" s="19"/>
      <c r="AC1316" s="20"/>
      <c r="AD1316" s="19"/>
      <c r="AE1316" s="98"/>
    </row>
    <row r="1317" spans="11:31" x14ac:dyDescent="0.3">
      <c r="K1317" s="21"/>
      <c r="L1317" s="21"/>
      <c r="T1317" s="15"/>
      <c r="U1317" s="15"/>
      <c r="AB1317" s="19"/>
      <c r="AC1317" s="20"/>
      <c r="AD1317" s="19"/>
      <c r="AE1317" s="98"/>
    </row>
    <row r="1318" spans="11:31" x14ac:dyDescent="0.3">
      <c r="K1318" s="21"/>
      <c r="L1318" s="21"/>
      <c r="T1318" s="15"/>
      <c r="U1318" s="15"/>
      <c r="AB1318" s="19"/>
      <c r="AC1318" s="20"/>
      <c r="AD1318" s="19"/>
      <c r="AE1318" s="98"/>
    </row>
    <row r="1319" spans="11:31" x14ac:dyDescent="0.3">
      <c r="K1319" s="21"/>
      <c r="L1319" s="21"/>
      <c r="T1319" s="15"/>
      <c r="U1319" s="15"/>
      <c r="AB1319" s="19"/>
      <c r="AC1319" s="20"/>
      <c r="AD1319" s="19"/>
      <c r="AE1319" s="98"/>
    </row>
    <row r="1320" spans="11:31" x14ac:dyDescent="0.3">
      <c r="K1320" s="21"/>
      <c r="L1320" s="21"/>
      <c r="T1320" s="15"/>
      <c r="U1320" s="15"/>
      <c r="AB1320" s="19"/>
      <c r="AC1320" s="20"/>
      <c r="AD1320" s="19"/>
      <c r="AE1320" s="98"/>
    </row>
    <row r="1321" spans="11:31" x14ac:dyDescent="0.3">
      <c r="K1321" s="21"/>
      <c r="L1321" s="21"/>
      <c r="T1321" s="15"/>
      <c r="U1321" s="15"/>
      <c r="AB1321" s="19"/>
      <c r="AC1321" s="20"/>
      <c r="AD1321" s="19"/>
      <c r="AE1321" s="98"/>
    </row>
    <row r="1322" spans="11:31" x14ac:dyDescent="0.3">
      <c r="K1322" s="21"/>
      <c r="L1322" s="21"/>
      <c r="T1322" s="15"/>
      <c r="U1322" s="15"/>
      <c r="AB1322" s="19"/>
      <c r="AC1322" s="20"/>
      <c r="AD1322" s="19"/>
      <c r="AE1322" s="98"/>
    </row>
    <row r="1323" spans="11:31" x14ac:dyDescent="0.3">
      <c r="K1323" s="21"/>
      <c r="L1323" s="21"/>
      <c r="T1323" s="15"/>
      <c r="U1323" s="15"/>
      <c r="AB1323" s="19"/>
      <c r="AC1323" s="20"/>
      <c r="AD1323" s="19"/>
      <c r="AE1323" s="98"/>
    </row>
    <row r="1324" spans="11:31" x14ac:dyDescent="0.3">
      <c r="K1324" s="21"/>
      <c r="L1324" s="21"/>
      <c r="T1324" s="15"/>
      <c r="U1324" s="15"/>
      <c r="AB1324" s="19"/>
      <c r="AC1324" s="20"/>
      <c r="AD1324" s="19"/>
      <c r="AE1324" s="98"/>
    </row>
    <row r="1325" spans="11:31" x14ac:dyDescent="0.3">
      <c r="K1325" s="21"/>
      <c r="L1325" s="21"/>
      <c r="T1325" s="15"/>
      <c r="U1325" s="15"/>
      <c r="AB1325" s="19"/>
      <c r="AC1325" s="20"/>
      <c r="AD1325" s="19"/>
      <c r="AE1325" s="98"/>
    </row>
    <row r="1326" spans="11:31" x14ac:dyDescent="0.3">
      <c r="K1326" s="21"/>
      <c r="L1326" s="21"/>
      <c r="T1326" s="15"/>
      <c r="U1326" s="15"/>
      <c r="AB1326" s="19"/>
      <c r="AC1326" s="20"/>
      <c r="AD1326" s="19"/>
      <c r="AE1326" s="98"/>
    </row>
    <row r="1327" spans="11:31" x14ac:dyDescent="0.3">
      <c r="K1327" s="21"/>
      <c r="L1327" s="21"/>
      <c r="T1327" s="15"/>
      <c r="U1327" s="15"/>
      <c r="AB1327" s="19"/>
      <c r="AC1327" s="20"/>
      <c r="AD1327" s="19"/>
      <c r="AE1327" s="98"/>
    </row>
    <row r="1328" spans="11:31" x14ac:dyDescent="0.3">
      <c r="K1328" s="21"/>
      <c r="L1328" s="21"/>
      <c r="T1328" s="15"/>
      <c r="U1328" s="15"/>
      <c r="AB1328" s="19"/>
      <c r="AC1328" s="20"/>
      <c r="AD1328" s="19"/>
      <c r="AE1328" s="98"/>
    </row>
    <row r="1329" spans="11:31" x14ac:dyDescent="0.3">
      <c r="K1329" s="21"/>
      <c r="L1329" s="21"/>
      <c r="T1329" s="15"/>
      <c r="U1329" s="15"/>
      <c r="AB1329" s="19"/>
      <c r="AC1329" s="20"/>
      <c r="AD1329" s="19"/>
      <c r="AE1329" s="98"/>
    </row>
    <row r="1330" spans="11:31" x14ac:dyDescent="0.3">
      <c r="K1330" s="21"/>
      <c r="L1330" s="21"/>
      <c r="T1330" s="15"/>
      <c r="U1330" s="15"/>
      <c r="AB1330" s="19"/>
      <c r="AC1330" s="20"/>
      <c r="AD1330" s="19"/>
      <c r="AE1330" s="98"/>
    </row>
    <row r="1331" spans="11:31" x14ac:dyDescent="0.3">
      <c r="K1331" s="21"/>
      <c r="L1331" s="21"/>
      <c r="T1331" s="15"/>
      <c r="U1331" s="15"/>
      <c r="AB1331" s="19"/>
      <c r="AC1331" s="20"/>
      <c r="AD1331" s="19"/>
      <c r="AE1331" s="98"/>
    </row>
    <row r="1332" spans="11:31" x14ac:dyDescent="0.3">
      <c r="K1332" s="21"/>
      <c r="L1332" s="21"/>
      <c r="T1332" s="15"/>
      <c r="U1332" s="15"/>
      <c r="AB1332" s="19"/>
      <c r="AC1332" s="20"/>
      <c r="AD1332" s="19"/>
      <c r="AE1332" s="98"/>
    </row>
    <row r="1333" spans="11:31" x14ac:dyDescent="0.3">
      <c r="K1333" s="21"/>
      <c r="L1333" s="21"/>
      <c r="T1333" s="15"/>
      <c r="U1333" s="15"/>
      <c r="AB1333" s="19"/>
      <c r="AC1333" s="20"/>
      <c r="AD1333" s="19"/>
      <c r="AE1333" s="98"/>
    </row>
    <row r="1334" spans="11:31" x14ac:dyDescent="0.3">
      <c r="K1334" s="21"/>
      <c r="L1334" s="21"/>
      <c r="T1334" s="15"/>
      <c r="U1334" s="15"/>
      <c r="AB1334" s="19"/>
      <c r="AC1334" s="20"/>
      <c r="AD1334" s="19"/>
      <c r="AE1334" s="98"/>
    </row>
    <row r="1335" spans="11:31" x14ac:dyDescent="0.3">
      <c r="K1335" s="21"/>
      <c r="L1335" s="21"/>
      <c r="T1335" s="15"/>
      <c r="U1335" s="15"/>
      <c r="AB1335" s="19"/>
      <c r="AC1335" s="20"/>
      <c r="AD1335" s="19"/>
      <c r="AE1335" s="98"/>
    </row>
    <row r="1336" spans="11:31" x14ac:dyDescent="0.3">
      <c r="K1336" s="21"/>
      <c r="L1336" s="21"/>
      <c r="T1336" s="15"/>
      <c r="U1336" s="15"/>
      <c r="AB1336" s="19"/>
      <c r="AC1336" s="20"/>
      <c r="AD1336" s="19"/>
      <c r="AE1336" s="98"/>
    </row>
    <row r="1337" spans="11:31" x14ac:dyDescent="0.3">
      <c r="K1337" s="21"/>
      <c r="L1337" s="21"/>
      <c r="T1337" s="15"/>
      <c r="U1337" s="15"/>
      <c r="AB1337" s="19"/>
      <c r="AC1337" s="20"/>
      <c r="AD1337" s="19"/>
      <c r="AE1337" s="98"/>
    </row>
    <row r="1338" spans="11:31" x14ac:dyDescent="0.3">
      <c r="K1338" s="21"/>
      <c r="L1338" s="21"/>
      <c r="T1338" s="15"/>
      <c r="U1338" s="15"/>
      <c r="AB1338" s="19"/>
      <c r="AC1338" s="20"/>
      <c r="AD1338" s="19"/>
      <c r="AE1338" s="98"/>
    </row>
    <row r="1339" spans="11:31" x14ac:dyDescent="0.3">
      <c r="K1339" s="21"/>
      <c r="L1339" s="21"/>
      <c r="T1339" s="15"/>
      <c r="U1339" s="15"/>
      <c r="AB1339" s="19"/>
      <c r="AC1339" s="20"/>
      <c r="AD1339" s="19"/>
      <c r="AE1339" s="98"/>
    </row>
    <row r="1340" spans="11:31" x14ac:dyDescent="0.3">
      <c r="K1340" s="21"/>
      <c r="L1340" s="21"/>
      <c r="T1340" s="15"/>
      <c r="U1340" s="15"/>
      <c r="AB1340" s="19"/>
      <c r="AC1340" s="20"/>
      <c r="AD1340" s="19"/>
      <c r="AE1340" s="98"/>
    </row>
    <row r="1341" spans="11:31" x14ac:dyDescent="0.3">
      <c r="K1341" s="21"/>
      <c r="L1341" s="21"/>
      <c r="T1341" s="15"/>
      <c r="U1341" s="15"/>
      <c r="AB1341" s="19"/>
      <c r="AC1341" s="20"/>
      <c r="AD1341" s="19"/>
      <c r="AE1341" s="98"/>
    </row>
    <row r="1342" spans="11:31" x14ac:dyDescent="0.3">
      <c r="K1342" s="21"/>
      <c r="L1342" s="21"/>
      <c r="T1342" s="15"/>
      <c r="U1342" s="15"/>
      <c r="AB1342" s="19"/>
      <c r="AC1342" s="20"/>
      <c r="AD1342" s="19"/>
      <c r="AE1342" s="98"/>
    </row>
    <row r="1343" spans="11:31" x14ac:dyDescent="0.3">
      <c r="K1343" s="21"/>
      <c r="L1343" s="21"/>
      <c r="T1343" s="15"/>
      <c r="U1343" s="15"/>
      <c r="AB1343" s="19"/>
      <c r="AC1343" s="20"/>
      <c r="AD1343" s="19"/>
      <c r="AE1343" s="98"/>
    </row>
    <row r="1344" spans="11:31" x14ac:dyDescent="0.3">
      <c r="K1344" s="21"/>
      <c r="L1344" s="21"/>
      <c r="T1344" s="15"/>
      <c r="U1344" s="15"/>
      <c r="AB1344" s="19"/>
      <c r="AC1344" s="20"/>
      <c r="AD1344" s="19"/>
      <c r="AE1344" s="98"/>
    </row>
    <row r="1345" spans="11:31" x14ac:dyDescent="0.3">
      <c r="K1345" s="21"/>
      <c r="L1345" s="21"/>
      <c r="T1345" s="15"/>
      <c r="U1345" s="15"/>
      <c r="AB1345" s="19"/>
      <c r="AC1345" s="20"/>
      <c r="AD1345" s="19"/>
      <c r="AE1345" s="98"/>
    </row>
    <row r="1346" spans="11:31" x14ac:dyDescent="0.3">
      <c r="K1346" s="21"/>
      <c r="L1346" s="21"/>
      <c r="T1346" s="15"/>
      <c r="U1346" s="15"/>
      <c r="AB1346" s="19"/>
      <c r="AC1346" s="20"/>
      <c r="AD1346" s="19"/>
      <c r="AE1346" s="98"/>
    </row>
    <row r="1347" spans="11:31" x14ac:dyDescent="0.3">
      <c r="K1347" s="21"/>
      <c r="L1347" s="21"/>
      <c r="T1347" s="15"/>
      <c r="U1347" s="15"/>
      <c r="AB1347" s="19"/>
      <c r="AC1347" s="20"/>
      <c r="AD1347" s="19"/>
      <c r="AE1347" s="98"/>
    </row>
    <row r="1348" spans="11:31" x14ac:dyDescent="0.3">
      <c r="K1348" s="21"/>
      <c r="L1348" s="21"/>
      <c r="T1348" s="15"/>
      <c r="U1348" s="15"/>
      <c r="AB1348" s="19"/>
      <c r="AC1348" s="20"/>
      <c r="AD1348" s="19"/>
      <c r="AE1348" s="98"/>
    </row>
    <row r="1349" spans="11:31" x14ac:dyDescent="0.3">
      <c r="K1349" s="21"/>
      <c r="L1349" s="21"/>
      <c r="T1349" s="15"/>
      <c r="U1349" s="15"/>
      <c r="AB1349" s="19"/>
      <c r="AC1349" s="20"/>
      <c r="AD1349" s="19"/>
      <c r="AE1349" s="98"/>
    </row>
    <row r="1350" spans="11:31" x14ac:dyDescent="0.3">
      <c r="K1350" s="21"/>
      <c r="L1350" s="21"/>
      <c r="T1350" s="15"/>
      <c r="U1350" s="15"/>
      <c r="AB1350" s="19"/>
      <c r="AC1350" s="20"/>
      <c r="AD1350" s="19"/>
      <c r="AE1350" s="98"/>
    </row>
    <row r="1351" spans="11:31" x14ac:dyDescent="0.3">
      <c r="K1351" s="21"/>
      <c r="L1351" s="21"/>
      <c r="T1351" s="15"/>
      <c r="U1351" s="15"/>
      <c r="AB1351" s="19"/>
      <c r="AC1351" s="20"/>
      <c r="AD1351" s="19"/>
      <c r="AE1351" s="98"/>
    </row>
    <row r="1352" spans="11:31" x14ac:dyDescent="0.3">
      <c r="K1352" s="21"/>
      <c r="L1352" s="21"/>
      <c r="T1352" s="15"/>
      <c r="U1352" s="15"/>
      <c r="AB1352" s="19"/>
      <c r="AC1352" s="20"/>
      <c r="AD1352" s="19"/>
      <c r="AE1352" s="98"/>
    </row>
    <row r="1353" spans="11:31" x14ac:dyDescent="0.3">
      <c r="K1353" s="21"/>
      <c r="L1353" s="21"/>
      <c r="T1353" s="15"/>
      <c r="U1353" s="15"/>
      <c r="AB1353" s="19"/>
      <c r="AC1353" s="20"/>
      <c r="AD1353" s="19"/>
      <c r="AE1353" s="98"/>
    </row>
    <row r="1354" spans="11:31" x14ac:dyDescent="0.3">
      <c r="K1354" s="21"/>
      <c r="L1354" s="21"/>
      <c r="T1354" s="15"/>
      <c r="U1354" s="15"/>
      <c r="AB1354" s="19"/>
      <c r="AC1354" s="20"/>
      <c r="AD1354" s="19"/>
      <c r="AE1354" s="98"/>
    </row>
    <row r="1355" spans="11:31" x14ac:dyDescent="0.3">
      <c r="K1355" s="21"/>
      <c r="L1355" s="21"/>
      <c r="T1355" s="15"/>
      <c r="U1355" s="15"/>
      <c r="AB1355" s="19"/>
      <c r="AC1355" s="20"/>
      <c r="AD1355" s="19"/>
      <c r="AE1355" s="98"/>
    </row>
    <row r="1356" spans="11:31" x14ac:dyDescent="0.3">
      <c r="K1356" s="21"/>
      <c r="L1356" s="21"/>
      <c r="T1356" s="15"/>
      <c r="U1356" s="15"/>
      <c r="AB1356" s="19"/>
      <c r="AC1356" s="20"/>
      <c r="AD1356" s="19"/>
      <c r="AE1356" s="98"/>
    </row>
    <row r="1357" spans="11:31" x14ac:dyDescent="0.3">
      <c r="K1357" s="21"/>
      <c r="L1357" s="21"/>
      <c r="T1357" s="15"/>
      <c r="U1357" s="15"/>
      <c r="AB1357" s="19"/>
      <c r="AC1357" s="20"/>
      <c r="AD1357" s="19"/>
      <c r="AE1357" s="98"/>
    </row>
    <row r="1358" spans="11:31" x14ac:dyDescent="0.3">
      <c r="K1358" s="21"/>
      <c r="L1358" s="21"/>
      <c r="T1358" s="15"/>
      <c r="U1358" s="15"/>
      <c r="AB1358" s="19"/>
      <c r="AC1358" s="20"/>
      <c r="AD1358" s="19"/>
      <c r="AE1358" s="98"/>
    </row>
    <row r="1359" spans="11:31" x14ac:dyDescent="0.3">
      <c r="K1359" s="21"/>
      <c r="L1359" s="21"/>
      <c r="T1359" s="15"/>
      <c r="U1359" s="15"/>
      <c r="AB1359" s="19"/>
      <c r="AC1359" s="20"/>
      <c r="AD1359" s="19"/>
      <c r="AE1359" s="98"/>
    </row>
    <row r="1360" spans="11:31" x14ac:dyDescent="0.3">
      <c r="K1360" s="21"/>
      <c r="L1360" s="21"/>
      <c r="T1360" s="15"/>
      <c r="U1360" s="15"/>
      <c r="AB1360" s="19"/>
      <c r="AC1360" s="20"/>
      <c r="AD1360" s="19"/>
      <c r="AE1360" s="98"/>
    </row>
    <row r="1361" spans="11:31" x14ac:dyDescent="0.3">
      <c r="K1361" s="21"/>
      <c r="L1361" s="21"/>
      <c r="T1361" s="15"/>
      <c r="U1361" s="15"/>
      <c r="AB1361" s="19"/>
      <c r="AC1361" s="20"/>
      <c r="AD1361" s="19"/>
      <c r="AE1361" s="98"/>
    </row>
    <row r="1362" spans="11:31" x14ac:dyDescent="0.3">
      <c r="K1362" s="21"/>
      <c r="L1362" s="21"/>
      <c r="T1362" s="15"/>
      <c r="U1362" s="15"/>
      <c r="AB1362" s="19"/>
      <c r="AC1362" s="20"/>
      <c r="AD1362" s="19"/>
      <c r="AE1362" s="98"/>
    </row>
    <row r="1363" spans="11:31" x14ac:dyDescent="0.3">
      <c r="K1363" s="21"/>
      <c r="L1363" s="21"/>
      <c r="T1363" s="15"/>
      <c r="U1363" s="15"/>
      <c r="AB1363" s="19"/>
      <c r="AC1363" s="20"/>
      <c r="AD1363" s="19"/>
      <c r="AE1363" s="98"/>
    </row>
    <row r="1364" spans="11:31" x14ac:dyDescent="0.3">
      <c r="K1364" s="21"/>
      <c r="L1364" s="21"/>
      <c r="T1364" s="15"/>
      <c r="U1364" s="15"/>
      <c r="AB1364" s="19"/>
      <c r="AC1364" s="20"/>
      <c r="AD1364" s="19"/>
      <c r="AE1364" s="98"/>
    </row>
    <row r="1365" spans="11:31" x14ac:dyDescent="0.3">
      <c r="K1365" s="21"/>
      <c r="L1365" s="21"/>
      <c r="T1365" s="15"/>
      <c r="U1365" s="15"/>
      <c r="AB1365" s="19"/>
      <c r="AC1365" s="20"/>
      <c r="AD1365" s="19"/>
      <c r="AE1365" s="98"/>
    </row>
    <row r="1366" spans="11:31" x14ac:dyDescent="0.3">
      <c r="K1366" s="21"/>
      <c r="L1366" s="21"/>
      <c r="T1366" s="15"/>
      <c r="U1366" s="15"/>
      <c r="AB1366" s="19"/>
      <c r="AC1366" s="20"/>
      <c r="AD1366" s="19"/>
      <c r="AE1366" s="98"/>
    </row>
    <row r="1367" spans="11:31" x14ac:dyDescent="0.3">
      <c r="K1367" s="21"/>
      <c r="L1367" s="21"/>
      <c r="T1367" s="15"/>
      <c r="U1367" s="15"/>
      <c r="AB1367" s="19"/>
      <c r="AC1367" s="20"/>
      <c r="AD1367" s="19"/>
      <c r="AE1367" s="98"/>
    </row>
    <row r="1368" spans="11:31" x14ac:dyDescent="0.3">
      <c r="K1368" s="21"/>
      <c r="L1368" s="21"/>
      <c r="T1368" s="15"/>
      <c r="U1368" s="15"/>
      <c r="AB1368" s="19"/>
      <c r="AC1368" s="20"/>
      <c r="AD1368" s="19"/>
      <c r="AE1368" s="98"/>
    </row>
    <row r="1369" spans="11:31" x14ac:dyDescent="0.3">
      <c r="K1369" s="21"/>
      <c r="L1369" s="21"/>
      <c r="T1369" s="15"/>
      <c r="U1369" s="15"/>
      <c r="AB1369" s="19"/>
      <c r="AC1369" s="20"/>
      <c r="AD1369" s="19"/>
      <c r="AE1369" s="98"/>
    </row>
    <row r="1370" spans="11:31" x14ac:dyDescent="0.3">
      <c r="K1370" s="21"/>
      <c r="L1370" s="21"/>
      <c r="T1370" s="15"/>
      <c r="U1370" s="15"/>
      <c r="AB1370" s="19"/>
      <c r="AC1370" s="20"/>
      <c r="AD1370" s="19"/>
      <c r="AE1370" s="98"/>
    </row>
    <row r="1371" spans="11:31" x14ac:dyDescent="0.3">
      <c r="K1371" s="21"/>
      <c r="L1371" s="21"/>
      <c r="T1371" s="15"/>
      <c r="U1371" s="15"/>
      <c r="AB1371" s="19"/>
      <c r="AC1371" s="20"/>
      <c r="AD1371" s="19"/>
      <c r="AE1371" s="98"/>
    </row>
    <row r="1372" spans="11:31" x14ac:dyDescent="0.3">
      <c r="K1372" s="21"/>
      <c r="L1372" s="21"/>
      <c r="T1372" s="15"/>
      <c r="U1372" s="15"/>
      <c r="AB1372" s="19"/>
      <c r="AC1372" s="20"/>
      <c r="AD1372" s="19"/>
      <c r="AE1372" s="98"/>
    </row>
    <row r="1373" spans="11:31" x14ac:dyDescent="0.3">
      <c r="K1373" s="21"/>
      <c r="L1373" s="21"/>
      <c r="T1373" s="15"/>
      <c r="U1373" s="15"/>
      <c r="AB1373" s="19"/>
      <c r="AC1373" s="20"/>
      <c r="AD1373" s="19"/>
      <c r="AE1373" s="98"/>
    </row>
    <row r="1374" spans="11:31" x14ac:dyDescent="0.3">
      <c r="K1374" s="21"/>
      <c r="L1374" s="21"/>
      <c r="T1374" s="15"/>
      <c r="U1374" s="15"/>
      <c r="AB1374" s="19"/>
      <c r="AC1374" s="20"/>
      <c r="AD1374" s="19"/>
      <c r="AE1374" s="98"/>
    </row>
    <row r="1375" spans="11:31" x14ac:dyDescent="0.3">
      <c r="K1375" s="21"/>
      <c r="L1375" s="21"/>
      <c r="T1375" s="15"/>
      <c r="U1375" s="15"/>
      <c r="AB1375" s="19"/>
      <c r="AC1375" s="20"/>
      <c r="AD1375" s="19"/>
      <c r="AE1375" s="98"/>
    </row>
    <row r="1376" spans="11:31" x14ac:dyDescent="0.3">
      <c r="K1376" s="21"/>
      <c r="L1376" s="21"/>
      <c r="T1376" s="15"/>
      <c r="U1376" s="15"/>
      <c r="AB1376" s="19"/>
      <c r="AC1376" s="20"/>
      <c r="AD1376" s="19"/>
      <c r="AE1376" s="98"/>
    </row>
    <row r="1377" spans="11:31" x14ac:dyDescent="0.3">
      <c r="K1377" s="21"/>
      <c r="L1377" s="21"/>
      <c r="T1377" s="15"/>
      <c r="U1377" s="15"/>
      <c r="AB1377" s="19"/>
      <c r="AC1377" s="20"/>
      <c r="AD1377" s="19"/>
      <c r="AE1377" s="98"/>
    </row>
    <row r="1378" spans="11:31" x14ac:dyDescent="0.3">
      <c r="K1378" s="21"/>
      <c r="L1378" s="21"/>
      <c r="T1378" s="15"/>
      <c r="U1378" s="15"/>
      <c r="AB1378" s="19"/>
      <c r="AC1378" s="20"/>
      <c r="AD1378" s="19"/>
      <c r="AE1378" s="98"/>
    </row>
    <row r="1379" spans="11:31" x14ac:dyDescent="0.3">
      <c r="K1379" s="21"/>
      <c r="L1379" s="21"/>
      <c r="T1379" s="15"/>
      <c r="U1379" s="15"/>
      <c r="AB1379" s="19"/>
      <c r="AC1379" s="20"/>
      <c r="AD1379" s="19"/>
      <c r="AE1379" s="98"/>
    </row>
    <row r="1380" spans="11:31" x14ac:dyDescent="0.3">
      <c r="K1380" s="21"/>
      <c r="L1380" s="21"/>
      <c r="T1380" s="15"/>
      <c r="U1380" s="15"/>
      <c r="AB1380" s="19"/>
      <c r="AC1380" s="20"/>
      <c r="AD1380" s="19"/>
      <c r="AE1380" s="98"/>
    </row>
    <row r="1381" spans="11:31" x14ac:dyDescent="0.3">
      <c r="K1381" s="21"/>
      <c r="L1381" s="21"/>
      <c r="T1381" s="15"/>
      <c r="U1381" s="15"/>
      <c r="AB1381" s="19"/>
      <c r="AC1381" s="20"/>
      <c r="AD1381" s="19"/>
      <c r="AE1381" s="98"/>
    </row>
    <row r="1382" spans="11:31" x14ac:dyDescent="0.3">
      <c r="K1382" s="21"/>
      <c r="L1382" s="21"/>
      <c r="T1382" s="15"/>
      <c r="U1382" s="15"/>
      <c r="AB1382" s="19"/>
      <c r="AC1382" s="20"/>
      <c r="AD1382" s="19"/>
      <c r="AE1382" s="98"/>
    </row>
    <row r="1383" spans="11:31" x14ac:dyDescent="0.3">
      <c r="K1383" s="21"/>
      <c r="L1383" s="21"/>
      <c r="T1383" s="15"/>
      <c r="U1383" s="15"/>
      <c r="AB1383" s="19"/>
      <c r="AC1383" s="20"/>
      <c r="AD1383" s="19"/>
      <c r="AE1383" s="98"/>
    </row>
    <row r="1384" spans="11:31" x14ac:dyDescent="0.3">
      <c r="K1384" s="21"/>
      <c r="L1384" s="21"/>
      <c r="T1384" s="15"/>
      <c r="U1384" s="15"/>
      <c r="AB1384" s="19"/>
      <c r="AC1384" s="20"/>
      <c r="AD1384" s="19"/>
      <c r="AE1384" s="98"/>
    </row>
    <row r="1385" spans="11:31" x14ac:dyDescent="0.3">
      <c r="K1385" s="21"/>
      <c r="L1385" s="21"/>
      <c r="T1385" s="15"/>
      <c r="U1385" s="15"/>
      <c r="AB1385" s="19"/>
      <c r="AC1385" s="20"/>
      <c r="AD1385" s="19"/>
      <c r="AE1385" s="98"/>
    </row>
    <row r="1386" spans="11:31" x14ac:dyDescent="0.3">
      <c r="K1386" s="21"/>
      <c r="L1386" s="21"/>
      <c r="T1386" s="15"/>
      <c r="U1386" s="15"/>
      <c r="AB1386" s="19"/>
      <c r="AC1386" s="20"/>
      <c r="AD1386" s="19"/>
      <c r="AE1386" s="98"/>
    </row>
    <row r="1387" spans="11:31" x14ac:dyDescent="0.3">
      <c r="K1387" s="21"/>
      <c r="L1387" s="21"/>
      <c r="T1387" s="15"/>
      <c r="U1387" s="15"/>
      <c r="AB1387" s="19"/>
      <c r="AC1387" s="20"/>
      <c r="AD1387" s="19"/>
      <c r="AE1387" s="98"/>
    </row>
    <row r="1388" spans="11:31" x14ac:dyDescent="0.3">
      <c r="K1388" s="21"/>
      <c r="L1388" s="21"/>
      <c r="T1388" s="15"/>
      <c r="U1388" s="15"/>
      <c r="AB1388" s="19"/>
      <c r="AC1388" s="20"/>
      <c r="AD1388" s="19"/>
      <c r="AE1388" s="98"/>
    </row>
    <row r="1389" spans="11:31" x14ac:dyDescent="0.3">
      <c r="K1389" s="21"/>
      <c r="L1389" s="21"/>
      <c r="T1389" s="15"/>
      <c r="U1389" s="15"/>
      <c r="AB1389" s="19"/>
      <c r="AC1389" s="20"/>
      <c r="AD1389" s="19"/>
      <c r="AE1389" s="98"/>
    </row>
    <row r="1390" spans="11:31" x14ac:dyDescent="0.3">
      <c r="K1390" s="21"/>
      <c r="L1390" s="21"/>
      <c r="T1390" s="15"/>
      <c r="U1390" s="15"/>
      <c r="AB1390" s="19"/>
      <c r="AC1390" s="20"/>
      <c r="AD1390" s="19"/>
      <c r="AE1390" s="98"/>
    </row>
    <row r="1391" spans="11:31" x14ac:dyDescent="0.3">
      <c r="K1391" s="21"/>
      <c r="L1391" s="21"/>
      <c r="T1391" s="15"/>
      <c r="U1391" s="15"/>
      <c r="AB1391" s="19"/>
      <c r="AC1391" s="20"/>
      <c r="AD1391" s="19"/>
      <c r="AE1391" s="98"/>
    </row>
    <row r="1392" spans="11:31" x14ac:dyDescent="0.3">
      <c r="K1392" s="21"/>
      <c r="L1392" s="21"/>
      <c r="T1392" s="15"/>
      <c r="U1392" s="15"/>
      <c r="AB1392" s="19"/>
      <c r="AC1392" s="20"/>
      <c r="AD1392" s="19"/>
      <c r="AE1392" s="98"/>
    </row>
    <row r="1393" spans="11:31" x14ac:dyDescent="0.3">
      <c r="K1393" s="21"/>
      <c r="L1393" s="21"/>
      <c r="T1393" s="15"/>
      <c r="U1393" s="15"/>
      <c r="AB1393" s="19"/>
      <c r="AC1393" s="20"/>
      <c r="AD1393" s="19"/>
      <c r="AE1393" s="98"/>
    </row>
    <row r="1394" spans="11:31" x14ac:dyDescent="0.3">
      <c r="K1394" s="21"/>
      <c r="L1394" s="21"/>
      <c r="T1394" s="15"/>
      <c r="U1394" s="15"/>
      <c r="AB1394" s="19"/>
      <c r="AC1394" s="20"/>
      <c r="AD1394" s="19"/>
      <c r="AE1394" s="98"/>
    </row>
    <row r="1395" spans="11:31" x14ac:dyDescent="0.3">
      <c r="K1395" s="21"/>
      <c r="L1395" s="21"/>
      <c r="T1395" s="15"/>
      <c r="U1395" s="15"/>
      <c r="AB1395" s="19"/>
      <c r="AC1395" s="20"/>
      <c r="AD1395" s="19"/>
      <c r="AE1395" s="98"/>
    </row>
    <row r="1396" spans="11:31" x14ac:dyDescent="0.3">
      <c r="K1396" s="21"/>
      <c r="L1396" s="21"/>
      <c r="T1396" s="15"/>
      <c r="U1396" s="15"/>
      <c r="AB1396" s="19"/>
      <c r="AC1396" s="20"/>
      <c r="AD1396" s="19"/>
      <c r="AE1396" s="98"/>
    </row>
    <row r="1397" spans="11:31" x14ac:dyDescent="0.3">
      <c r="K1397" s="21"/>
      <c r="L1397" s="21"/>
      <c r="T1397" s="15"/>
      <c r="U1397" s="15"/>
      <c r="AB1397" s="19"/>
      <c r="AC1397" s="20"/>
      <c r="AD1397" s="19"/>
      <c r="AE1397" s="98"/>
    </row>
    <row r="1398" spans="11:31" x14ac:dyDescent="0.3">
      <c r="K1398" s="21"/>
      <c r="L1398" s="21"/>
      <c r="T1398" s="15"/>
      <c r="U1398" s="15"/>
      <c r="AB1398" s="19"/>
      <c r="AC1398" s="20"/>
      <c r="AD1398" s="19"/>
      <c r="AE1398" s="98"/>
    </row>
    <row r="1399" spans="11:31" x14ac:dyDescent="0.3">
      <c r="K1399" s="21"/>
      <c r="L1399" s="21"/>
      <c r="T1399" s="15"/>
      <c r="U1399" s="15"/>
      <c r="AB1399" s="19"/>
      <c r="AC1399" s="20"/>
      <c r="AD1399" s="19"/>
      <c r="AE1399" s="98"/>
    </row>
    <row r="1400" spans="11:31" x14ac:dyDescent="0.3">
      <c r="K1400" s="21"/>
      <c r="L1400" s="21"/>
      <c r="T1400" s="15"/>
      <c r="U1400" s="15"/>
      <c r="AB1400" s="19"/>
      <c r="AC1400" s="20"/>
      <c r="AD1400" s="19"/>
      <c r="AE1400" s="98"/>
    </row>
    <row r="1401" spans="11:31" x14ac:dyDescent="0.3">
      <c r="K1401" s="21"/>
      <c r="L1401" s="21"/>
      <c r="T1401" s="15"/>
      <c r="U1401" s="15"/>
      <c r="AB1401" s="19"/>
      <c r="AC1401" s="20"/>
      <c r="AD1401" s="19"/>
      <c r="AE1401" s="98"/>
    </row>
    <row r="1402" spans="11:31" x14ac:dyDescent="0.3">
      <c r="K1402" s="21"/>
      <c r="L1402" s="21"/>
      <c r="T1402" s="15"/>
      <c r="U1402" s="15"/>
      <c r="AB1402" s="19"/>
      <c r="AC1402" s="20"/>
      <c r="AD1402" s="19"/>
      <c r="AE1402" s="98"/>
    </row>
    <row r="1403" spans="11:31" x14ac:dyDescent="0.3">
      <c r="K1403" s="21"/>
      <c r="L1403" s="21"/>
      <c r="T1403" s="15"/>
      <c r="U1403" s="15"/>
      <c r="AB1403" s="19"/>
      <c r="AC1403" s="20"/>
      <c r="AD1403" s="19"/>
      <c r="AE1403" s="98"/>
    </row>
    <row r="1404" spans="11:31" x14ac:dyDescent="0.3">
      <c r="K1404" s="21"/>
      <c r="L1404" s="21"/>
      <c r="T1404" s="15"/>
      <c r="U1404" s="15"/>
      <c r="AB1404" s="19"/>
      <c r="AC1404" s="20"/>
      <c r="AD1404" s="19"/>
      <c r="AE1404" s="98"/>
    </row>
    <row r="1405" spans="11:31" x14ac:dyDescent="0.3">
      <c r="K1405" s="21"/>
      <c r="L1405" s="21"/>
      <c r="T1405" s="15"/>
      <c r="U1405" s="15"/>
      <c r="AB1405" s="19"/>
      <c r="AC1405" s="20"/>
      <c r="AD1405" s="19"/>
      <c r="AE1405" s="98"/>
    </row>
    <row r="1406" spans="11:31" x14ac:dyDescent="0.3">
      <c r="K1406" s="21"/>
      <c r="L1406" s="21"/>
      <c r="T1406" s="15"/>
      <c r="U1406" s="15"/>
      <c r="AB1406" s="19"/>
      <c r="AC1406" s="20"/>
      <c r="AD1406" s="19"/>
      <c r="AE1406" s="98"/>
    </row>
    <row r="1407" spans="11:31" x14ac:dyDescent="0.3">
      <c r="K1407" s="21"/>
      <c r="L1407" s="21"/>
      <c r="T1407" s="15"/>
      <c r="U1407" s="15"/>
      <c r="AB1407" s="19"/>
      <c r="AC1407" s="20"/>
      <c r="AD1407" s="19"/>
      <c r="AE1407" s="98"/>
    </row>
    <row r="1408" spans="11:31" x14ac:dyDescent="0.3">
      <c r="K1408" s="21"/>
      <c r="L1408" s="21"/>
      <c r="T1408" s="15"/>
      <c r="U1408" s="15"/>
      <c r="AB1408" s="19"/>
      <c r="AC1408" s="20"/>
      <c r="AD1408" s="19"/>
      <c r="AE1408" s="98"/>
    </row>
    <row r="1409" spans="11:31" x14ac:dyDescent="0.3">
      <c r="K1409" s="21"/>
      <c r="L1409" s="21"/>
      <c r="T1409" s="15"/>
      <c r="U1409" s="15"/>
      <c r="AB1409" s="19"/>
      <c r="AC1409" s="20"/>
      <c r="AD1409" s="19"/>
      <c r="AE1409" s="98"/>
    </row>
    <row r="1410" spans="11:31" x14ac:dyDescent="0.3">
      <c r="K1410" s="21"/>
      <c r="L1410" s="21"/>
      <c r="T1410" s="15"/>
      <c r="U1410" s="15"/>
      <c r="AB1410" s="19"/>
      <c r="AC1410" s="20"/>
      <c r="AD1410" s="19"/>
      <c r="AE1410" s="98"/>
    </row>
    <row r="1411" spans="11:31" x14ac:dyDescent="0.3">
      <c r="K1411" s="21"/>
      <c r="L1411" s="21"/>
      <c r="T1411" s="15"/>
      <c r="U1411" s="15"/>
      <c r="AB1411" s="19"/>
      <c r="AC1411" s="20"/>
      <c r="AD1411" s="19"/>
      <c r="AE1411" s="98"/>
    </row>
    <row r="1412" spans="11:31" x14ac:dyDescent="0.3">
      <c r="K1412" s="21"/>
      <c r="L1412" s="21"/>
      <c r="T1412" s="15"/>
      <c r="U1412" s="15"/>
      <c r="AB1412" s="19"/>
      <c r="AC1412" s="20"/>
      <c r="AD1412" s="19"/>
      <c r="AE1412" s="98"/>
    </row>
    <row r="1413" spans="11:31" x14ac:dyDescent="0.3">
      <c r="K1413" s="21"/>
      <c r="L1413" s="21"/>
      <c r="T1413" s="15"/>
      <c r="U1413" s="15"/>
      <c r="AB1413" s="19"/>
      <c r="AC1413" s="20"/>
      <c r="AD1413" s="19"/>
      <c r="AE1413" s="98"/>
    </row>
    <row r="1414" spans="11:31" x14ac:dyDescent="0.3">
      <c r="K1414" s="21"/>
      <c r="L1414" s="21"/>
      <c r="T1414" s="15"/>
      <c r="U1414" s="15"/>
      <c r="AB1414" s="19"/>
      <c r="AC1414" s="20"/>
      <c r="AD1414" s="19"/>
      <c r="AE1414" s="98"/>
    </row>
    <row r="1415" spans="11:31" x14ac:dyDescent="0.3">
      <c r="K1415" s="21"/>
      <c r="L1415" s="21"/>
      <c r="T1415" s="15"/>
      <c r="U1415" s="15"/>
      <c r="AB1415" s="19"/>
      <c r="AC1415" s="20"/>
      <c r="AD1415" s="19"/>
      <c r="AE1415" s="98"/>
    </row>
    <row r="1416" spans="11:31" x14ac:dyDescent="0.3">
      <c r="K1416" s="21"/>
      <c r="L1416" s="21"/>
      <c r="T1416" s="15"/>
      <c r="U1416" s="15"/>
      <c r="AB1416" s="19"/>
      <c r="AC1416" s="20"/>
      <c r="AD1416" s="19"/>
      <c r="AE1416" s="98"/>
    </row>
    <row r="1417" spans="11:31" x14ac:dyDescent="0.3">
      <c r="K1417" s="21"/>
      <c r="L1417" s="21"/>
      <c r="T1417" s="15"/>
      <c r="U1417" s="15"/>
      <c r="AB1417" s="19"/>
      <c r="AC1417" s="20"/>
      <c r="AD1417" s="19"/>
      <c r="AE1417" s="98"/>
    </row>
    <row r="1418" spans="11:31" x14ac:dyDescent="0.3">
      <c r="K1418" s="21"/>
      <c r="L1418" s="21"/>
      <c r="T1418" s="15"/>
      <c r="U1418" s="15"/>
      <c r="AB1418" s="19"/>
      <c r="AC1418" s="20"/>
      <c r="AD1418" s="19"/>
      <c r="AE1418" s="98"/>
    </row>
    <row r="1419" spans="11:31" x14ac:dyDescent="0.3">
      <c r="K1419" s="21"/>
      <c r="L1419" s="21"/>
      <c r="T1419" s="15"/>
      <c r="U1419" s="15"/>
      <c r="AB1419" s="19"/>
      <c r="AC1419" s="20"/>
      <c r="AD1419" s="19"/>
      <c r="AE1419" s="98"/>
    </row>
    <row r="1420" spans="11:31" x14ac:dyDescent="0.3">
      <c r="K1420" s="21"/>
      <c r="L1420" s="21"/>
      <c r="T1420" s="15"/>
      <c r="U1420" s="15"/>
      <c r="AB1420" s="19"/>
      <c r="AC1420" s="20"/>
      <c r="AD1420" s="19"/>
      <c r="AE1420" s="98"/>
    </row>
    <row r="1421" spans="11:31" x14ac:dyDescent="0.3">
      <c r="K1421" s="21"/>
      <c r="L1421" s="21"/>
      <c r="T1421" s="15"/>
      <c r="U1421" s="15"/>
      <c r="AB1421" s="19"/>
      <c r="AC1421" s="20"/>
      <c r="AD1421" s="19"/>
      <c r="AE1421" s="98"/>
    </row>
    <row r="1422" spans="11:31" x14ac:dyDescent="0.3">
      <c r="K1422" s="21"/>
      <c r="L1422" s="21"/>
      <c r="T1422" s="15"/>
      <c r="U1422" s="15"/>
      <c r="AB1422" s="19"/>
      <c r="AC1422" s="20"/>
      <c r="AD1422" s="19"/>
      <c r="AE1422" s="98"/>
    </row>
    <row r="1423" spans="11:31" x14ac:dyDescent="0.3">
      <c r="K1423" s="21"/>
      <c r="L1423" s="21"/>
      <c r="T1423" s="15"/>
      <c r="U1423" s="15"/>
      <c r="AB1423" s="19"/>
      <c r="AC1423" s="20"/>
      <c r="AD1423" s="19"/>
      <c r="AE1423" s="98"/>
    </row>
    <row r="1424" spans="11:31" x14ac:dyDescent="0.3">
      <c r="K1424" s="21"/>
      <c r="L1424" s="21"/>
      <c r="T1424" s="15"/>
      <c r="U1424" s="15"/>
      <c r="AB1424" s="19"/>
      <c r="AC1424" s="20"/>
      <c r="AD1424" s="19"/>
      <c r="AE1424" s="98"/>
    </row>
    <row r="1425" spans="11:31" x14ac:dyDescent="0.3">
      <c r="K1425" s="21"/>
      <c r="L1425" s="21"/>
      <c r="T1425" s="15"/>
      <c r="U1425" s="15"/>
      <c r="AB1425" s="19"/>
      <c r="AC1425" s="20"/>
      <c r="AD1425" s="19"/>
      <c r="AE1425" s="98"/>
    </row>
    <row r="1426" spans="11:31" x14ac:dyDescent="0.3">
      <c r="K1426" s="21"/>
      <c r="L1426" s="21"/>
      <c r="T1426" s="15"/>
      <c r="U1426" s="15"/>
      <c r="AB1426" s="19"/>
      <c r="AC1426" s="20"/>
      <c r="AD1426" s="19"/>
      <c r="AE1426" s="98"/>
    </row>
    <row r="1427" spans="11:31" x14ac:dyDescent="0.3">
      <c r="K1427" s="21"/>
      <c r="L1427" s="21"/>
      <c r="T1427" s="15"/>
      <c r="U1427" s="15"/>
      <c r="AB1427" s="19"/>
      <c r="AC1427" s="20"/>
      <c r="AD1427" s="19"/>
      <c r="AE1427" s="98"/>
    </row>
    <row r="1428" spans="11:31" x14ac:dyDescent="0.3">
      <c r="K1428" s="21"/>
      <c r="L1428" s="21"/>
      <c r="T1428" s="15"/>
      <c r="U1428" s="15"/>
      <c r="AB1428" s="19"/>
      <c r="AC1428" s="20"/>
      <c r="AD1428" s="19"/>
      <c r="AE1428" s="98"/>
    </row>
    <row r="1429" spans="11:31" x14ac:dyDescent="0.3">
      <c r="K1429" s="21"/>
      <c r="L1429" s="21"/>
      <c r="T1429" s="15"/>
      <c r="U1429" s="15"/>
      <c r="AB1429" s="19"/>
      <c r="AC1429" s="20"/>
      <c r="AD1429" s="19"/>
      <c r="AE1429" s="98"/>
    </row>
    <row r="1430" spans="11:31" x14ac:dyDescent="0.3">
      <c r="K1430" s="21"/>
      <c r="L1430" s="21"/>
      <c r="T1430" s="15"/>
      <c r="U1430" s="15"/>
      <c r="AB1430" s="19"/>
      <c r="AC1430" s="20"/>
      <c r="AD1430" s="19"/>
      <c r="AE1430" s="98"/>
    </row>
    <row r="1431" spans="11:31" x14ac:dyDescent="0.3">
      <c r="K1431" s="21"/>
      <c r="L1431" s="21"/>
      <c r="T1431" s="15"/>
      <c r="U1431" s="15"/>
      <c r="AB1431" s="19"/>
      <c r="AC1431" s="20"/>
      <c r="AD1431" s="19"/>
      <c r="AE1431" s="98"/>
    </row>
    <row r="1432" spans="11:31" x14ac:dyDescent="0.3">
      <c r="K1432" s="21"/>
      <c r="L1432" s="21"/>
      <c r="T1432" s="15"/>
      <c r="U1432" s="15"/>
      <c r="AB1432" s="19"/>
      <c r="AC1432" s="20"/>
      <c r="AD1432" s="19"/>
      <c r="AE1432" s="98"/>
    </row>
    <row r="1433" spans="11:31" x14ac:dyDescent="0.3">
      <c r="K1433" s="21"/>
      <c r="L1433" s="21"/>
      <c r="T1433" s="15"/>
      <c r="U1433" s="15"/>
      <c r="AB1433" s="19"/>
      <c r="AC1433" s="20"/>
      <c r="AD1433" s="19"/>
      <c r="AE1433" s="98"/>
    </row>
    <row r="1434" spans="11:31" x14ac:dyDescent="0.3">
      <c r="K1434" s="21"/>
      <c r="L1434" s="21"/>
      <c r="T1434" s="15"/>
      <c r="U1434" s="15"/>
      <c r="AB1434" s="19"/>
      <c r="AC1434" s="20"/>
      <c r="AD1434" s="19"/>
      <c r="AE1434" s="98"/>
    </row>
    <row r="1435" spans="11:31" x14ac:dyDescent="0.3">
      <c r="K1435" s="21"/>
      <c r="L1435" s="21"/>
      <c r="T1435" s="15"/>
      <c r="U1435" s="15"/>
      <c r="AB1435" s="19"/>
      <c r="AC1435" s="20"/>
      <c r="AD1435" s="19"/>
      <c r="AE1435" s="98"/>
    </row>
    <row r="1436" spans="11:31" x14ac:dyDescent="0.3">
      <c r="K1436" s="21"/>
      <c r="L1436" s="21"/>
      <c r="T1436" s="15"/>
      <c r="U1436" s="15"/>
      <c r="AB1436" s="19"/>
      <c r="AC1436" s="20"/>
      <c r="AD1436" s="19"/>
      <c r="AE1436" s="98"/>
    </row>
    <row r="1437" spans="11:31" x14ac:dyDescent="0.3">
      <c r="K1437" s="21"/>
      <c r="L1437" s="21"/>
      <c r="T1437" s="15"/>
      <c r="U1437" s="15"/>
      <c r="AB1437" s="19"/>
      <c r="AC1437" s="20"/>
      <c r="AD1437" s="19"/>
      <c r="AE1437" s="98"/>
    </row>
    <row r="1438" spans="11:31" x14ac:dyDescent="0.3">
      <c r="K1438" s="21"/>
      <c r="L1438" s="21"/>
      <c r="T1438" s="15"/>
      <c r="U1438" s="15"/>
      <c r="AB1438" s="19"/>
      <c r="AC1438" s="20"/>
      <c r="AD1438" s="19"/>
      <c r="AE1438" s="98"/>
    </row>
    <row r="1439" spans="11:31" x14ac:dyDescent="0.3">
      <c r="K1439" s="21"/>
      <c r="L1439" s="21"/>
      <c r="T1439" s="15"/>
      <c r="U1439" s="15"/>
      <c r="AB1439" s="19"/>
      <c r="AC1439" s="20"/>
      <c r="AD1439" s="19"/>
      <c r="AE1439" s="98"/>
    </row>
    <row r="1440" spans="11:31" x14ac:dyDescent="0.3">
      <c r="K1440" s="21"/>
      <c r="L1440" s="21"/>
      <c r="T1440" s="15"/>
      <c r="U1440" s="15"/>
      <c r="AB1440" s="19"/>
      <c r="AC1440" s="20"/>
      <c r="AD1440" s="19"/>
      <c r="AE1440" s="98"/>
    </row>
    <row r="1441" spans="11:31" x14ac:dyDescent="0.3">
      <c r="K1441" s="21"/>
      <c r="L1441" s="21"/>
      <c r="T1441" s="15"/>
      <c r="U1441" s="15"/>
      <c r="AB1441" s="19"/>
      <c r="AC1441" s="20"/>
      <c r="AD1441" s="19"/>
      <c r="AE1441" s="98"/>
    </row>
    <row r="1442" spans="11:31" x14ac:dyDescent="0.3">
      <c r="K1442" s="21"/>
      <c r="L1442" s="21"/>
      <c r="T1442" s="15"/>
      <c r="U1442" s="15"/>
      <c r="AB1442" s="19"/>
      <c r="AC1442" s="20"/>
      <c r="AD1442" s="19"/>
      <c r="AE1442" s="98"/>
    </row>
    <row r="1443" spans="11:31" x14ac:dyDescent="0.3">
      <c r="K1443" s="21"/>
      <c r="L1443" s="21"/>
      <c r="T1443" s="15"/>
      <c r="U1443" s="15"/>
      <c r="AB1443" s="19"/>
      <c r="AC1443" s="20"/>
      <c r="AD1443" s="19"/>
      <c r="AE1443" s="98"/>
    </row>
    <row r="1444" spans="11:31" x14ac:dyDescent="0.3">
      <c r="K1444" s="21"/>
      <c r="L1444" s="21"/>
      <c r="T1444" s="15"/>
      <c r="U1444" s="15"/>
      <c r="AB1444" s="19"/>
      <c r="AC1444" s="20"/>
      <c r="AD1444" s="19"/>
      <c r="AE1444" s="98"/>
    </row>
    <row r="1445" spans="11:31" x14ac:dyDescent="0.3">
      <c r="K1445" s="21"/>
      <c r="L1445" s="21"/>
      <c r="T1445" s="15"/>
      <c r="U1445" s="15"/>
      <c r="AB1445" s="19"/>
      <c r="AC1445" s="20"/>
      <c r="AD1445" s="19"/>
      <c r="AE1445" s="98"/>
    </row>
    <row r="1446" spans="11:31" x14ac:dyDescent="0.3">
      <c r="K1446" s="21"/>
      <c r="L1446" s="21"/>
      <c r="T1446" s="15"/>
      <c r="U1446" s="15"/>
      <c r="AB1446" s="19"/>
      <c r="AC1446" s="20"/>
      <c r="AD1446" s="19"/>
      <c r="AE1446" s="98"/>
    </row>
    <row r="1447" spans="11:31" x14ac:dyDescent="0.3">
      <c r="K1447" s="21"/>
      <c r="L1447" s="21"/>
      <c r="T1447" s="15"/>
      <c r="U1447" s="15"/>
      <c r="AB1447" s="19"/>
      <c r="AC1447" s="20"/>
      <c r="AD1447" s="19"/>
      <c r="AE1447" s="98"/>
    </row>
    <row r="1448" spans="11:31" x14ac:dyDescent="0.3">
      <c r="K1448" s="21"/>
      <c r="L1448" s="21"/>
      <c r="T1448" s="15"/>
      <c r="U1448" s="15"/>
      <c r="AB1448" s="19"/>
      <c r="AC1448" s="20"/>
      <c r="AD1448" s="19"/>
      <c r="AE1448" s="98"/>
    </row>
    <row r="1449" spans="11:31" x14ac:dyDescent="0.3">
      <c r="K1449" s="21"/>
      <c r="L1449" s="21"/>
      <c r="T1449" s="15"/>
      <c r="U1449" s="15"/>
      <c r="AB1449" s="19"/>
      <c r="AC1449" s="20"/>
      <c r="AD1449" s="19"/>
      <c r="AE1449" s="98"/>
    </row>
    <row r="1450" spans="11:31" x14ac:dyDescent="0.3">
      <c r="K1450" s="21"/>
      <c r="L1450" s="21"/>
      <c r="T1450" s="15"/>
      <c r="U1450" s="15"/>
      <c r="AB1450" s="19"/>
      <c r="AC1450" s="20"/>
      <c r="AD1450" s="19"/>
      <c r="AE1450" s="98"/>
    </row>
    <row r="1451" spans="11:31" x14ac:dyDescent="0.3">
      <c r="K1451" s="21"/>
      <c r="L1451" s="21"/>
      <c r="T1451" s="15"/>
      <c r="U1451" s="15"/>
      <c r="AB1451" s="19"/>
      <c r="AC1451" s="20"/>
      <c r="AD1451" s="19"/>
      <c r="AE1451" s="98"/>
    </row>
    <row r="1452" spans="11:31" x14ac:dyDescent="0.3">
      <c r="K1452" s="21"/>
      <c r="L1452" s="21"/>
      <c r="T1452" s="15"/>
      <c r="U1452" s="15"/>
      <c r="AB1452" s="19"/>
      <c r="AC1452" s="20"/>
      <c r="AD1452" s="19"/>
      <c r="AE1452" s="98"/>
    </row>
    <row r="1453" spans="11:31" x14ac:dyDescent="0.3">
      <c r="K1453" s="21"/>
      <c r="L1453" s="21"/>
      <c r="T1453" s="15"/>
      <c r="U1453" s="15"/>
      <c r="AB1453" s="19"/>
      <c r="AC1453" s="20"/>
      <c r="AD1453" s="19"/>
      <c r="AE1453" s="98"/>
    </row>
    <row r="1454" spans="11:31" x14ac:dyDescent="0.3">
      <c r="K1454" s="21"/>
      <c r="L1454" s="21"/>
      <c r="T1454" s="15"/>
      <c r="U1454" s="15"/>
      <c r="AB1454" s="19"/>
      <c r="AC1454" s="20"/>
      <c r="AD1454" s="19"/>
      <c r="AE1454" s="98"/>
    </row>
    <row r="1455" spans="11:31" x14ac:dyDescent="0.3">
      <c r="K1455" s="21"/>
      <c r="L1455" s="21"/>
      <c r="T1455" s="15"/>
      <c r="U1455" s="15"/>
      <c r="AB1455" s="19"/>
      <c r="AC1455" s="20"/>
      <c r="AD1455" s="19"/>
      <c r="AE1455" s="98"/>
    </row>
    <row r="1456" spans="11:31" x14ac:dyDescent="0.3">
      <c r="K1456" s="21"/>
      <c r="L1456" s="21"/>
      <c r="T1456" s="15"/>
      <c r="U1456" s="15"/>
      <c r="AB1456" s="19"/>
      <c r="AC1456" s="20"/>
      <c r="AD1456" s="19"/>
      <c r="AE1456" s="98"/>
    </row>
    <row r="1457" spans="11:31" x14ac:dyDescent="0.3">
      <c r="K1457" s="21"/>
      <c r="L1457" s="21"/>
      <c r="T1457" s="15"/>
      <c r="U1457" s="15"/>
      <c r="AB1457" s="19"/>
      <c r="AC1457" s="20"/>
      <c r="AD1457" s="19"/>
      <c r="AE1457" s="98"/>
    </row>
    <row r="1458" spans="11:31" x14ac:dyDescent="0.3">
      <c r="K1458" s="21"/>
      <c r="L1458" s="21"/>
      <c r="T1458" s="15"/>
      <c r="U1458" s="15"/>
      <c r="AB1458" s="19"/>
      <c r="AC1458" s="20"/>
      <c r="AD1458" s="19"/>
      <c r="AE1458" s="98"/>
    </row>
    <row r="1459" spans="11:31" x14ac:dyDescent="0.3">
      <c r="K1459" s="21"/>
      <c r="L1459" s="21"/>
      <c r="T1459" s="15"/>
      <c r="U1459" s="15"/>
      <c r="AB1459" s="19"/>
      <c r="AC1459" s="20"/>
      <c r="AD1459" s="19"/>
      <c r="AE1459" s="98"/>
    </row>
    <row r="1460" spans="11:31" x14ac:dyDescent="0.3">
      <c r="K1460" s="21"/>
      <c r="L1460" s="21"/>
      <c r="T1460" s="15"/>
      <c r="U1460" s="15"/>
      <c r="AB1460" s="19"/>
      <c r="AC1460" s="20"/>
      <c r="AD1460" s="19"/>
      <c r="AE1460" s="98"/>
    </row>
    <row r="1461" spans="11:31" x14ac:dyDescent="0.3">
      <c r="K1461" s="21"/>
      <c r="L1461" s="21"/>
      <c r="T1461" s="15"/>
      <c r="U1461" s="15"/>
      <c r="AB1461" s="19"/>
      <c r="AC1461" s="20"/>
      <c r="AD1461" s="19"/>
      <c r="AE1461" s="98"/>
    </row>
    <row r="1462" spans="11:31" x14ac:dyDescent="0.3">
      <c r="K1462" s="21"/>
      <c r="L1462" s="21"/>
      <c r="T1462" s="15"/>
      <c r="U1462" s="15"/>
      <c r="AB1462" s="19"/>
      <c r="AC1462" s="20"/>
      <c r="AD1462" s="19"/>
      <c r="AE1462" s="98"/>
    </row>
    <row r="1463" spans="11:31" x14ac:dyDescent="0.3">
      <c r="K1463" s="21"/>
      <c r="L1463" s="21"/>
      <c r="T1463" s="15"/>
      <c r="U1463" s="15"/>
      <c r="AB1463" s="19"/>
      <c r="AC1463" s="20"/>
      <c r="AD1463" s="19"/>
      <c r="AE1463" s="98"/>
    </row>
    <row r="1464" spans="11:31" x14ac:dyDescent="0.3">
      <c r="K1464" s="21"/>
      <c r="L1464" s="21"/>
      <c r="T1464" s="15"/>
      <c r="U1464" s="15"/>
      <c r="AB1464" s="19"/>
      <c r="AC1464" s="20"/>
      <c r="AD1464" s="19"/>
      <c r="AE1464" s="98"/>
    </row>
    <row r="1465" spans="11:31" x14ac:dyDescent="0.3">
      <c r="K1465" s="21"/>
      <c r="L1465" s="21"/>
      <c r="T1465" s="15"/>
      <c r="U1465" s="15"/>
      <c r="AB1465" s="19"/>
      <c r="AC1465" s="20"/>
      <c r="AD1465" s="19"/>
      <c r="AE1465" s="98"/>
    </row>
    <row r="1466" spans="11:31" x14ac:dyDescent="0.3">
      <c r="K1466" s="21"/>
      <c r="L1466" s="21"/>
      <c r="T1466" s="15"/>
      <c r="U1466" s="15"/>
      <c r="AB1466" s="19"/>
      <c r="AC1466" s="20"/>
      <c r="AD1466" s="19"/>
      <c r="AE1466" s="98"/>
    </row>
    <row r="1467" spans="11:31" x14ac:dyDescent="0.3">
      <c r="K1467" s="21"/>
      <c r="L1467" s="21"/>
      <c r="T1467" s="15"/>
      <c r="U1467" s="15"/>
      <c r="AB1467" s="19"/>
      <c r="AC1467" s="20"/>
      <c r="AD1467" s="19"/>
      <c r="AE1467" s="98"/>
    </row>
    <row r="1468" spans="11:31" x14ac:dyDescent="0.3">
      <c r="K1468" s="21"/>
      <c r="L1468" s="21"/>
      <c r="T1468" s="15"/>
      <c r="U1468" s="15"/>
      <c r="AB1468" s="19"/>
      <c r="AC1468" s="20"/>
      <c r="AD1468" s="19"/>
      <c r="AE1468" s="98"/>
    </row>
    <row r="1469" spans="11:31" x14ac:dyDescent="0.3">
      <c r="K1469" s="21"/>
      <c r="L1469" s="21"/>
      <c r="T1469" s="15"/>
      <c r="U1469" s="15"/>
      <c r="AB1469" s="19"/>
      <c r="AC1469" s="20"/>
      <c r="AD1469" s="19"/>
      <c r="AE1469" s="98"/>
    </row>
    <row r="1470" spans="11:31" x14ac:dyDescent="0.3">
      <c r="K1470" s="21"/>
      <c r="L1470" s="21"/>
      <c r="T1470" s="15"/>
      <c r="U1470" s="15"/>
      <c r="AB1470" s="19"/>
      <c r="AC1470" s="20"/>
      <c r="AD1470" s="19"/>
      <c r="AE1470" s="98"/>
    </row>
    <row r="1471" spans="11:31" x14ac:dyDescent="0.3">
      <c r="K1471" s="21"/>
      <c r="L1471" s="21"/>
      <c r="T1471" s="15"/>
      <c r="U1471" s="15"/>
      <c r="AB1471" s="19"/>
      <c r="AC1471" s="20"/>
      <c r="AD1471" s="19"/>
      <c r="AE1471" s="98"/>
    </row>
    <row r="1472" spans="11:31" x14ac:dyDescent="0.3">
      <c r="K1472" s="21"/>
      <c r="L1472" s="21"/>
      <c r="T1472" s="15"/>
      <c r="U1472" s="15"/>
      <c r="AB1472" s="19"/>
      <c r="AC1472" s="20"/>
      <c r="AD1472" s="19"/>
      <c r="AE1472" s="98"/>
    </row>
    <row r="1473" spans="11:31" x14ac:dyDescent="0.3">
      <c r="K1473" s="21"/>
      <c r="L1473" s="21"/>
      <c r="T1473" s="15"/>
      <c r="U1473" s="15"/>
      <c r="AB1473" s="19"/>
      <c r="AC1473" s="20"/>
      <c r="AD1473" s="19"/>
      <c r="AE1473" s="98"/>
    </row>
    <row r="1474" spans="11:31" x14ac:dyDescent="0.3">
      <c r="K1474" s="21"/>
      <c r="L1474" s="21"/>
      <c r="T1474" s="15"/>
      <c r="U1474" s="15"/>
      <c r="AB1474" s="19"/>
      <c r="AC1474" s="20"/>
      <c r="AD1474" s="19"/>
      <c r="AE1474" s="98"/>
    </row>
    <row r="1475" spans="11:31" x14ac:dyDescent="0.3">
      <c r="K1475" s="21"/>
      <c r="L1475" s="21"/>
      <c r="T1475" s="15"/>
      <c r="U1475" s="15"/>
      <c r="AB1475" s="19"/>
      <c r="AC1475" s="20"/>
      <c r="AD1475" s="19"/>
      <c r="AE1475" s="98"/>
    </row>
    <row r="1476" spans="11:31" x14ac:dyDescent="0.3">
      <c r="K1476" s="21"/>
      <c r="L1476" s="21"/>
      <c r="T1476" s="15"/>
      <c r="U1476" s="15"/>
      <c r="AB1476" s="19"/>
      <c r="AC1476" s="20"/>
      <c r="AD1476" s="19"/>
      <c r="AE1476" s="98"/>
    </row>
    <row r="1477" spans="11:31" x14ac:dyDescent="0.3">
      <c r="K1477" s="21"/>
      <c r="L1477" s="21"/>
      <c r="T1477" s="15"/>
      <c r="U1477" s="15"/>
      <c r="AB1477" s="19"/>
      <c r="AC1477" s="20"/>
      <c r="AD1477" s="19"/>
      <c r="AE1477" s="98"/>
    </row>
    <row r="1478" spans="11:31" x14ac:dyDescent="0.3">
      <c r="K1478" s="21"/>
      <c r="L1478" s="21"/>
      <c r="T1478" s="15"/>
      <c r="U1478" s="15"/>
      <c r="AB1478" s="19"/>
      <c r="AC1478" s="20"/>
      <c r="AD1478" s="19"/>
      <c r="AE1478" s="98"/>
    </row>
    <row r="1479" spans="11:31" x14ac:dyDescent="0.3">
      <c r="K1479" s="21"/>
      <c r="L1479" s="21"/>
      <c r="T1479" s="15"/>
      <c r="U1479" s="15"/>
      <c r="AB1479" s="19"/>
      <c r="AC1479" s="20"/>
      <c r="AD1479" s="19"/>
      <c r="AE1479" s="98"/>
    </row>
    <row r="1480" spans="11:31" x14ac:dyDescent="0.3">
      <c r="K1480" s="21"/>
      <c r="L1480" s="21"/>
      <c r="T1480" s="15"/>
      <c r="U1480" s="15"/>
      <c r="AB1480" s="19"/>
      <c r="AC1480" s="20"/>
      <c r="AD1480" s="19"/>
      <c r="AE1480" s="98"/>
    </row>
    <row r="1481" spans="11:31" x14ac:dyDescent="0.3">
      <c r="K1481" s="21"/>
      <c r="L1481" s="21"/>
      <c r="T1481" s="15"/>
      <c r="U1481" s="15"/>
      <c r="AB1481" s="19"/>
      <c r="AC1481" s="20"/>
      <c r="AD1481" s="19"/>
      <c r="AE1481" s="98"/>
    </row>
    <row r="1482" spans="11:31" x14ac:dyDescent="0.3">
      <c r="K1482" s="21"/>
      <c r="L1482" s="21"/>
      <c r="T1482" s="15"/>
      <c r="U1482" s="15"/>
      <c r="AB1482" s="19"/>
      <c r="AC1482" s="20"/>
      <c r="AD1482" s="19"/>
      <c r="AE1482" s="98"/>
    </row>
    <row r="1483" spans="11:31" x14ac:dyDescent="0.3">
      <c r="K1483" s="21"/>
      <c r="L1483" s="21"/>
      <c r="T1483" s="15"/>
      <c r="U1483" s="15"/>
      <c r="AB1483" s="19"/>
      <c r="AC1483" s="20"/>
      <c r="AD1483" s="19"/>
      <c r="AE1483" s="98"/>
    </row>
    <row r="1484" spans="11:31" x14ac:dyDescent="0.3">
      <c r="K1484" s="21"/>
      <c r="L1484" s="21"/>
      <c r="T1484" s="15"/>
      <c r="U1484" s="15"/>
      <c r="AB1484" s="19"/>
      <c r="AC1484" s="20"/>
      <c r="AD1484" s="19"/>
      <c r="AE1484" s="98"/>
    </row>
    <row r="1485" spans="11:31" x14ac:dyDescent="0.3">
      <c r="K1485" s="21"/>
      <c r="L1485" s="21"/>
      <c r="T1485" s="15"/>
      <c r="U1485" s="15"/>
      <c r="AB1485" s="19"/>
      <c r="AC1485" s="20"/>
      <c r="AD1485" s="19"/>
      <c r="AE1485" s="98"/>
    </row>
    <row r="1486" spans="11:31" x14ac:dyDescent="0.3">
      <c r="K1486" s="21"/>
      <c r="L1486" s="21"/>
      <c r="T1486" s="15"/>
      <c r="U1486" s="15"/>
      <c r="AB1486" s="19"/>
      <c r="AC1486" s="20"/>
      <c r="AD1486" s="19"/>
      <c r="AE1486" s="98"/>
    </row>
    <row r="1487" spans="11:31" x14ac:dyDescent="0.3">
      <c r="K1487" s="21"/>
      <c r="L1487" s="21"/>
      <c r="T1487" s="15"/>
      <c r="U1487" s="15"/>
      <c r="AB1487" s="19"/>
      <c r="AC1487" s="20"/>
      <c r="AD1487" s="19"/>
      <c r="AE1487" s="98"/>
    </row>
    <row r="1488" spans="11:31" x14ac:dyDescent="0.3">
      <c r="K1488" s="21"/>
      <c r="L1488" s="21"/>
      <c r="T1488" s="15"/>
      <c r="U1488" s="15"/>
      <c r="AB1488" s="19"/>
      <c r="AC1488" s="20"/>
      <c r="AD1488" s="19"/>
      <c r="AE1488" s="98"/>
    </row>
    <row r="1489" spans="11:31" x14ac:dyDescent="0.3">
      <c r="K1489" s="21"/>
      <c r="L1489" s="21"/>
      <c r="T1489" s="15"/>
      <c r="U1489" s="15"/>
      <c r="AB1489" s="19"/>
      <c r="AC1489" s="20"/>
      <c r="AD1489" s="19"/>
      <c r="AE1489" s="98"/>
    </row>
    <row r="1490" spans="11:31" x14ac:dyDescent="0.3">
      <c r="K1490" s="21"/>
      <c r="L1490" s="21"/>
      <c r="T1490" s="15"/>
      <c r="U1490" s="15"/>
      <c r="AB1490" s="19"/>
      <c r="AC1490" s="20"/>
      <c r="AD1490" s="19"/>
      <c r="AE1490" s="98"/>
    </row>
    <row r="1491" spans="11:31" x14ac:dyDescent="0.3">
      <c r="K1491" s="21"/>
      <c r="L1491" s="21"/>
      <c r="T1491" s="15"/>
      <c r="U1491" s="15"/>
      <c r="AB1491" s="19"/>
      <c r="AC1491" s="20"/>
      <c r="AD1491" s="19"/>
      <c r="AE1491" s="98"/>
    </row>
    <row r="1492" spans="11:31" x14ac:dyDescent="0.3">
      <c r="K1492" s="21"/>
      <c r="L1492" s="21"/>
      <c r="T1492" s="15"/>
      <c r="U1492" s="15"/>
      <c r="AB1492" s="19"/>
      <c r="AC1492" s="20"/>
      <c r="AD1492" s="19"/>
      <c r="AE1492" s="98"/>
    </row>
    <row r="1493" spans="11:31" x14ac:dyDescent="0.3">
      <c r="K1493" s="21"/>
      <c r="L1493" s="21"/>
      <c r="T1493" s="15"/>
      <c r="U1493" s="15"/>
      <c r="AB1493" s="19"/>
      <c r="AC1493" s="20"/>
      <c r="AD1493" s="19"/>
      <c r="AE1493" s="98"/>
    </row>
    <row r="1494" spans="11:31" x14ac:dyDescent="0.3">
      <c r="K1494" s="21"/>
      <c r="L1494" s="21"/>
      <c r="T1494" s="15"/>
      <c r="U1494" s="15"/>
      <c r="AB1494" s="19"/>
      <c r="AC1494" s="20"/>
      <c r="AD1494" s="19"/>
      <c r="AE1494" s="98"/>
    </row>
    <row r="1495" spans="11:31" x14ac:dyDescent="0.3">
      <c r="K1495" s="21"/>
      <c r="L1495" s="21"/>
      <c r="T1495" s="15"/>
      <c r="U1495" s="15"/>
      <c r="AB1495" s="19"/>
      <c r="AC1495" s="20"/>
      <c r="AD1495" s="19"/>
      <c r="AE1495" s="98"/>
    </row>
    <row r="1496" spans="11:31" x14ac:dyDescent="0.3">
      <c r="K1496" s="21"/>
      <c r="L1496" s="21"/>
      <c r="T1496" s="15"/>
      <c r="U1496" s="15"/>
      <c r="AB1496" s="19"/>
      <c r="AC1496" s="20"/>
      <c r="AD1496" s="19"/>
      <c r="AE1496" s="98"/>
    </row>
    <row r="1497" spans="11:31" x14ac:dyDescent="0.3">
      <c r="K1497" s="21"/>
      <c r="L1497" s="21"/>
      <c r="T1497" s="15"/>
      <c r="U1497" s="15"/>
      <c r="AB1497" s="19"/>
      <c r="AC1497" s="20"/>
      <c r="AD1497" s="19"/>
      <c r="AE1497" s="98"/>
    </row>
    <row r="1498" spans="11:31" x14ac:dyDescent="0.3">
      <c r="K1498" s="21"/>
      <c r="L1498" s="21"/>
      <c r="T1498" s="15"/>
      <c r="U1498" s="15"/>
      <c r="AB1498" s="19"/>
      <c r="AC1498" s="20"/>
      <c r="AD1498" s="19"/>
      <c r="AE1498" s="98"/>
    </row>
    <row r="1499" spans="11:31" x14ac:dyDescent="0.3">
      <c r="K1499" s="21"/>
      <c r="L1499" s="21"/>
      <c r="T1499" s="15"/>
      <c r="U1499" s="15"/>
      <c r="AB1499" s="19"/>
      <c r="AC1499" s="20"/>
      <c r="AD1499" s="19"/>
      <c r="AE1499" s="98"/>
    </row>
    <row r="1500" spans="11:31" x14ac:dyDescent="0.3">
      <c r="K1500" s="21"/>
      <c r="L1500" s="21"/>
      <c r="T1500" s="15"/>
      <c r="U1500" s="15"/>
      <c r="AB1500" s="19"/>
      <c r="AC1500" s="20"/>
      <c r="AD1500" s="19"/>
      <c r="AE1500" s="98"/>
    </row>
    <row r="1501" spans="11:31" x14ac:dyDescent="0.3">
      <c r="K1501" s="21"/>
      <c r="L1501" s="21"/>
      <c r="T1501" s="15"/>
      <c r="U1501" s="15"/>
      <c r="AB1501" s="19"/>
      <c r="AC1501" s="20"/>
      <c r="AD1501" s="19"/>
      <c r="AE1501" s="98"/>
    </row>
    <row r="1502" spans="11:31" x14ac:dyDescent="0.3">
      <c r="K1502" s="21"/>
      <c r="L1502" s="21"/>
      <c r="T1502" s="15"/>
      <c r="U1502" s="15"/>
      <c r="AB1502" s="19"/>
      <c r="AC1502" s="20"/>
      <c r="AD1502" s="19"/>
      <c r="AE1502" s="98"/>
    </row>
    <row r="1503" spans="11:31" x14ac:dyDescent="0.3">
      <c r="K1503" s="21"/>
      <c r="L1503" s="21"/>
      <c r="T1503" s="15"/>
      <c r="U1503" s="15"/>
      <c r="AB1503" s="19"/>
      <c r="AC1503" s="20"/>
      <c r="AD1503" s="19"/>
      <c r="AE1503" s="98"/>
    </row>
    <row r="1504" spans="11:31" x14ac:dyDescent="0.3">
      <c r="K1504" s="21"/>
      <c r="L1504" s="21"/>
      <c r="T1504" s="15"/>
      <c r="U1504" s="15"/>
      <c r="AB1504" s="19"/>
      <c r="AC1504" s="20"/>
      <c r="AD1504" s="19"/>
      <c r="AE1504" s="98"/>
    </row>
    <row r="1505" spans="11:31" x14ac:dyDescent="0.3">
      <c r="K1505" s="21"/>
      <c r="L1505" s="21"/>
      <c r="T1505" s="15"/>
      <c r="U1505" s="15"/>
      <c r="AB1505" s="19"/>
      <c r="AC1505" s="20"/>
      <c r="AD1505" s="19"/>
      <c r="AE1505" s="98"/>
    </row>
    <row r="1506" spans="11:31" x14ac:dyDescent="0.3">
      <c r="K1506" s="21"/>
      <c r="L1506" s="21"/>
      <c r="T1506" s="15"/>
      <c r="U1506" s="15"/>
      <c r="AB1506" s="19"/>
      <c r="AC1506" s="20"/>
      <c r="AD1506" s="19"/>
      <c r="AE1506" s="98"/>
    </row>
    <row r="1507" spans="11:31" x14ac:dyDescent="0.3">
      <c r="K1507" s="21"/>
      <c r="L1507" s="21"/>
      <c r="T1507" s="15"/>
      <c r="U1507" s="15"/>
      <c r="AB1507" s="19"/>
      <c r="AC1507" s="20"/>
      <c r="AD1507" s="19"/>
      <c r="AE1507" s="98"/>
    </row>
    <row r="1508" spans="11:31" x14ac:dyDescent="0.3">
      <c r="K1508" s="21"/>
      <c r="L1508" s="21"/>
      <c r="T1508" s="15"/>
      <c r="U1508" s="15"/>
      <c r="AB1508" s="19"/>
      <c r="AC1508" s="20"/>
      <c r="AD1508" s="19"/>
      <c r="AE1508" s="98"/>
    </row>
    <row r="1509" spans="11:31" x14ac:dyDescent="0.3">
      <c r="K1509" s="21"/>
      <c r="L1509" s="21"/>
      <c r="T1509" s="15"/>
      <c r="U1509" s="15"/>
      <c r="AB1509" s="19"/>
      <c r="AC1509" s="20"/>
      <c r="AD1509" s="19"/>
      <c r="AE1509" s="98"/>
    </row>
    <row r="1510" spans="11:31" x14ac:dyDescent="0.3">
      <c r="K1510" s="21"/>
      <c r="L1510" s="21"/>
      <c r="T1510" s="15"/>
      <c r="U1510" s="15"/>
      <c r="AB1510" s="19"/>
      <c r="AC1510" s="20"/>
      <c r="AD1510" s="19"/>
      <c r="AE1510" s="98"/>
    </row>
    <row r="1511" spans="11:31" x14ac:dyDescent="0.3">
      <c r="K1511" s="21"/>
      <c r="L1511" s="21"/>
      <c r="T1511" s="15"/>
      <c r="U1511" s="15"/>
      <c r="AB1511" s="19"/>
      <c r="AC1511" s="20"/>
      <c r="AD1511" s="19"/>
      <c r="AE1511" s="98"/>
    </row>
    <row r="1512" spans="11:31" x14ac:dyDescent="0.3">
      <c r="K1512" s="21"/>
      <c r="L1512" s="21"/>
      <c r="T1512" s="15"/>
      <c r="U1512" s="15"/>
      <c r="AB1512" s="19"/>
      <c r="AC1512" s="20"/>
      <c r="AD1512" s="19"/>
      <c r="AE1512" s="98"/>
    </row>
    <row r="1513" spans="11:31" x14ac:dyDescent="0.3">
      <c r="K1513" s="21"/>
      <c r="L1513" s="21"/>
      <c r="T1513" s="15"/>
      <c r="U1513" s="15"/>
      <c r="AB1513" s="19"/>
      <c r="AC1513" s="20"/>
      <c r="AD1513" s="19"/>
      <c r="AE1513" s="98"/>
    </row>
    <row r="1514" spans="11:31" x14ac:dyDescent="0.3">
      <c r="K1514" s="21"/>
      <c r="L1514" s="21"/>
      <c r="T1514" s="15"/>
      <c r="U1514" s="15"/>
      <c r="AB1514" s="19"/>
      <c r="AC1514" s="20"/>
      <c r="AD1514" s="19"/>
      <c r="AE1514" s="98"/>
    </row>
    <row r="1515" spans="11:31" x14ac:dyDescent="0.3">
      <c r="K1515" s="21"/>
      <c r="L1515" s="21"/>
      <c r="T1515" s="15"/>
      <c r="U1515" s="15"/>
      <c r="AB1515" s="19"/>
      <c r="AC1515" s="20"/>
      <c r="AD1515" s="19"/>
      <c r="AE1515" s="98"/>
    </row>
    <row r="1516" spans="11:31" x14ac:dyDescent="0.3">
      <c r="K1516" s="21"/>
      <c r="L1516" s="21"/>
      <c r="T1516" s="15"/>
      <c r="U1516" s="15"/>
      <c r="AB1516" s="19"/>
      <c r="AC1516" s="20"/>
      <c r="AD1516" s="19"/>
      <c r="AE1516" s="98"/>
    </row>
    <row r="1517" spans="11:31" x14ac:dyDescent="0.3">
      <c r="K1517" s="21"/>
      <c r="L1517" s="21"/>
      <c r="T1517" s="15"/>
      <c r="U1517" s="15"/>
      <c r="AB1517" s="19"/>
      <c r="AC1517" s="20"/>
      <c r="AD1517" s="19"/>
      <c r="AE1517" s="98"/>
    </row>
    <row r="1518" spans="11:31" x14ac:dyDescent="0.3">
      <c r="K1518" s="21"/>
      <c r="L1518" s="21"/>
      <c r="T1518" s="15"/>
      <c r="U1518" s="15"/>
      <c r="AB1518" s="19"/>
      <c r="AC1518" s="20"/>
      <c r="AD1518" s="19"/>
      <c r="AE1518" s="98"/>
    </row>
    <row r="1519" spans="11:31" x14ac:dyDescent="0.3">
      <c r="K1519" s="21"/>
      <c r="L1519" s="21"/>
      <c r="T1519" s="15"/>
      <c r="U1519" s="15"/>
      <c r="AB1519" s="19"/>
      <c r="AC1519" s="20"/>
      <c r="AD1519" s="19"/>
      <c r="AE1519" s="98"/>
    </row>
    <row r="1520" spans="11:31" x14ac:dyDescent="0.3">
      <c r="K1520" s="21"/>
      <c r="L1520" s="21"/>
      <c r="T1520" s="15"/>
      <c r="U1520" s="15"/>
      <c r="AB1520" s="19"/>
      <c r="AC1520" s="20"/>
      <c r="AD1520" s="19"/>
      <c r="AE1520" s="98"/>
    </row>
    <row r="1521" spans="11:31" x14ac:dyDescent="0.3">
      <c r="K1521" s="21"/>
      <c r="L1521" s="21"/>
      <c r="T1521" s="15"/>
      <c r="U1521" s="15"/>
      <c r="AB1521" s="19"/>
      <c r="AC1521" s="20"/>
      <c r="AD1521" s="19"/>
      <c r="AE1521" s="98"/>
    </row>
    <row r="1522" spans="11:31" x14ac:dyDescent="0.3">
      <c r="K1522" s="21"/>
      <c r="L1522" s="21"/>
      <c r="T1522" s="15"/>
      <c r="U1522" s="15"/>
      <c r="AB1522" s="19"/>
      <c r="AC1522" s="20"/>
      <c r="AD1522" s="19"/>
      <c r="AE1522" s="98"/>
    </row>
    <row r="1523" spans="11:31" x14ac:dyDescent="0.3">
      <c r="K1523" s="21"/>
      <c r="L1523" s="21"/>
      <c r="T1523" s="15"/>
      <c r="U1523" s="15"/>
      <c r="AB1523" s="19"/>
      <c r="AC1523" s="20"/>
      <c r="AD1523" s="19"/>
      <c r="AE1523" s="98"/>
    </row>
    <row r="1524" spans="11:31" x14ac:dyDescent="0.3">
      <c r="K1524" s="21"/>
      <c r="L1524" s="21"/>
      <c r="T1524" s="15"/>
      <c r="U1524" s="15"/>
      <c r="AB1524" s="19"/>
      <c r="AC1524" s="20"/>
      <c r="AD1524" s="19"/>
      <c r="AE1524" s="98"/>
    </row>
    <row r="1525" spans="11:31" x14ac:dyDescent="0.3">
      <c r="K1525" s="21"/>
      <c r="L1525" s="21"/>
      <c r="T1525" s="15"/>
      <c r="U1525" s="15"/>
      <c r="AB1525" s="19"/>
      <c r="AC1525" s="20"/>
      <c r="AD1525" s="19"/>
      <c r="AE1525" s="98"/>
    </row>
    <row r="1526" spans="11:31" x14ac:dyDescent="0.3">
      <c r="K1526" s="21"/>
      <c r="L1526" s="21"/>
      <c r="T1526" s="15"/>
      <c r="U1526" s="15"/>
      <c r="AB1526" s="19"/>
      <c r="AC1526" s="20"/>
      <c r="AD1526" s="19"/>
      <c r="AE1526" s="98"/>
    </row>
    <row r="1527" spans="11:31" x14ac:dyDescent="0.3">
      <c r="K1527" s="21"/>
      <c r="L1527" s="21"/>
      <c r="T1527" s="15"/>
      <c r="U1527" s="15"/>
      <c r="AB1527" s="19"/>
      <c r="AC1527" s="20"/>
      <c r="AD1527" s="19"/>
      <c r="AE1527" s="98"/>
    </row>
    <row r="1528" spans="11:31" x14ac:dyDescent="0.3">
      <c r="K1528" s="21"/>
      <c r="L1528" s="21"/>
      <c r="T1528" s="15"/>
      <c r="U1528" s="15"/>
      <c r="AB1528" s="19"/>
      <c r="AC1528" s="20"/>
      <c r="AD1528" s="19"/>
      <c r="AE1528" s="98"/>
    </row>
    <row r="1529" spans="11:31" x14ac:dyDescent="0.3">
      <c r="K1529" s="21"/>
      <c r="L1529" s="21"/>
      <c r="T1529" s="15"/>
      <c r="U1529" s="15"/>
      <c r="AB1529" s="19"/>
      <c r="AC1529" s="20"/>
      <c r="AD1529" s="19"/>
      <c r="AE1529" s="98"/>
    </row>
    <row r="1530" spans="11:31" x14ac:dyDescent="0.3">
      <c r="K1530" s="21"/>
      <c r="L1530" s="21"/>
      <c r="T1530" s="15"/>
      <c r="U1530" s="15"/>
      <c r="AB1530" s="19"/>
      <c r="AC1530" s="20"/>
      <c r="AD1530" s="19"/>
      <c r="AE1530" s="98"/>
    </row>
    <row r="1531" spans="11:31" x14ac:dyDescent="0.3">
      <c r="K1531" s="21"/>
      <c r="L1531" s="21"/>
      <c r="T1531" s="15"/>
      <c r="U1531" s="15"/>
      <c r="AB1531" s="19"/>
      <c r="AC1531" s="20"/>
      <c r="AD1531" s="19"/>
      <c r="AE1531" s="98"/>
    </row>
    <row r="1532" spans="11:31" x14ac:dyDescent="0.3">
      <c r="K1532" s="21"/>
      <c r="L1532" s="21"/>
      <c r="T1532" s="15"/>
      <c r="U1532" s="15"/>
      <c r="AB1532" s="19"/>
      <c r="AC1532" s="20"/>
      <c r="AD1532" s="19"/>
      <c r="AE1532" s="98"/>
    </row>
    <row r="1533" spans="11:31" x14ac:dyDescent="0.3">
      <c r="K1533" s="21"/>
      <c r="L1533" s="21"/>
      <c r="T1533" s="15"/>
      <c r="U1533" s="15"/>
      <c r="AB1533" s="19"/>
      <c r="AC1533" s="20"/>
      <c r="AD1533" s="19"/>
      <c r="AE1533" s="98"/>
    </row>
    <row r="1534" spans="11:31" x14ac:dyDescent="0.3">
      <c r="K1534" s="21"/>
      <c r="L1534" s="21"/>
      <c r="T1534" s="15"/>
      <c r="U1534" s="15"/>
      <c r="AB1534" s="19"/>
      <c r="AC1534" s="20"/>
      <c r="AD1534" s="19"/>
      <c r="AE1534" s="98"/>
    </row>
    <row r="1535" spans="11:31" x14ac:dyDescent="0.3">
      <c r="K1535" s="21"/>
      <c r="L1535" s="21"/>
      <c r="T1535" s="15"/>
      <c r="U1535" s="15"/>
      <c r="AB1535" s="19"/>
      <c r="AC1535" s="20"/>
      <c r="AD1535" s="19"/>
      <c r="AE1535" s="98"/>
    </row>
    <row r="1536" spans="11:31" x14ac:dyDescent="0.3">
      <c r="K1536" s="21"/>
      <c r="L1536" s="21"/>
      <c r="T1536" s="15"/>
      <c r="U1536" s="15"/>
      <c r="AB1536" s="19"/>
      <c r="AC1536" s="20"/>
      <c r="AD1536" s="19"/>
      <c r="AE1536" s="98"/>
    </row>
    <row r="1537" spans="11:31" x14ac:dyDescent="0.3">
      <c r="K1537" s="21"/>
      <c r="L1537" s="21"/>
      <c r="T1537" s="15"/>
      <c r="U1537" s="15"/>
      <c r="AB1537" s="19"/>
      <c r="AC1537" s="20"/>
      <c r="AD1537" s="19"/>
      <c r="AE1537" s="98"/>
    </row>
    <row r="1538" spans="11:31" x14ac:dyDescent="0.3">
      <c r="K1538" s="21"/>
      <c r="L1538" s="21"/>
      <c r="T1538" s="15"/>
      <c r="U1538" s="15"/>
      <c r="AB1538" s="19"/>
      <c r="AC1538" s="20"/>
      <c r="AD1538" s="19"/>
      <c r="AE1538" s="98"/>
    </row>
    <row r="1539" spans="11:31" x14ac:dyDescent="0.3">
      <c r="K1539" s="21"/>
      <c r="L1539" s="21"/>
      <c r="T1539" s="15"/>
      <c r="U1539" s="15"/>
      <c r="AB1539" s="19"/>
      <c r="AC1539" s="20"/>
      <c r="AD1539" s="19"/>
      <c r="AE1539" s="98"/>
    </row>
    <row r="1540" spans="11:31" x14ac:dyDescent="0.3">
      <c r="K1540" s="21"/>
      <c r="L1540" s="21"/>
      <c r="T1540" s="15"/>
      <c r="U1540" s="15"/>
      <c r="AB1540" s="19"/>
      <c r="AC1540" s="20"/>
      <c r="AD1540" s="19"/>
      <c r="AE1540" s="98"/>
    </row>
    <row r="1541" spans="11:31" x14ac:dyDescent="0.3">
      <c r="K1541" s="21"/>
      <c r="L1541" s="21"/>
      <c r="T1541" s="15"/>
      <c r="U1541" s="15"/>
      <c r="AB1541" s="19"/>
      <c r="AC1541" s="20"/>
      <c r="AD1541" s="19"/>
      <c r="AE1541" s="98"/>
    </row>
    <row r="1542" spans="11:31" x14ac:dyDescent="0.3">
      <c r="K1542" s="21"/>
      <c r="L1542" s="21"/>
      <c r="T1542" s="15"/>
      <c r="U1542" s="15"/>
      <c r="AB1542" s="19"/>
      <c r="AC1542" s="20"/>
      <c r="AD1542" s="19"/>
      <c r="AE1542" s="98"/>
    </row>
    <row r="1543" spans="11:31" x14ac:dyDescent="0.3">
      <c r="K1543" s="21"/>
      <c r="L1543" s="21"/>
      <c r="T1543" s="15"/>
      <c r="U1543" s="15"/>
      <c r="AB1543" s="19"/>
      <c r="AC1543" s="20"/>
      <c r="AD1543" s="19"/>
      <c r="AE1543" s="98"/>
    </row>
    <row r="1544" spans="11:31" x14ac:dyDescent="0.3">
      <c r="K1544" s="21"/>
      <c r="L1544" s="21"/>
      <c r="T1544" s="15"/>
      <c r="U1544" s="15"/>
      <c r="AB1544" s="19"/>
      <c r="AC1544" s="20"/>
      <c r="AD1544" s="19"/>
      <c r="AE1544" s="98"/>
    </row>
    <row r="1545" spans="11:31" x14ac:dyDescent="0.3">
      <c r="K1545" s="21"/>
      <c r="L1545" s="21"/>
      <c r="T1545" s="15"/>
      <c r="U1545" s="15"/>
      <c r="AB1545" s="19"/>
      <c r="AC1545" s="20"/>
      <c r="AD1545" s="19"/>
      <c r="AE1545" s="98"/>
    </row>
    <row r="1546" spans="11:31" x14ac:dyDescent="0.3">
      <c r="K1546" s="21"/>
      <c r="L1546" s="21"/>
      <c r="T1546" s="15"/>
      <c r="U1546" s="15"/>
      <c r="AB1546" s="19"/>
      <c r="AC1546" s="20"/>
      <c r="AD1546" s="19"/>
      <c r="AE1546" s="98"/>
    </row>
    <row r="1547" spans="11:31" x14ac:dyDescent="0.3">
      <c r="K1547" s="21"/>
      <c r="L1547" s="21"/>
      <c r="T1547" s="15"/>
      <c r="U1547" s="15"/>
      <c r="AB1547" s="19"/>
      <c r="AC1547" s="20"/>
      <c r="AD1547" s="19"/>
      <c r="AE1547" s="98"/>
    </row>
    <row r="1548" spans="11:31" x14ac:dyDescent="0.3">
      <c r="K1548" s="21"/>
      <c r="L1548" s="21"/>
      <c r="T1548" s="15"/>
      <c r="U1548" s="15"/>
      <c r="AB1548" s="19"/>
      <c r="AC1548" s="20"/>
      <c r="AD1548" s="19"/>
      <c r="AE1548" s="98"/>
    </row>
    <row r="1549" spans="11:31" x14ac:dyDescent="0.3">
      <c r="K1549" s="21"/>
      <c r="L1549" s="21"/>
      <c r="T1549" s="15"/>
      <c r="U1549" s="15"/>
      <c r="AB1549" s="19"/>
      <c r="AC1549" s="20"/>
      <c r="AD1549" s="19"/>
      <c r="AE1549" s="98"/>
    </row>
    <row r="1550" spans="11:31" x14ac:dyDescent="0.3">
      <c r="K1550" s="21"/>
      <c r="L1550" s="21"/>
      <c r="T1550" s="15"/>
      <c r="U1550" s="15"/>
      <c r="AB1550" s="19"/>
      <c r="AC1550" s="20"/>
      <c r="AD1550" s="19"/>
      <c r="AE1550" s="98"/>
    </row>
    <row r="1551" spans="11:31" x14ac:dyDescent="0.3">
      <c r="K1551" s="21"/>
      <c r="L1551" s="21"/>
      <c r="T1551" s="15"/>
      <c r="U1551" s="15"/>
      <c r="AB1551" s="19"/>
      <c r="AC1551" s="20"/>
      <c r="AD1551" s="19"/>
      <c r="AE1551" s="98"/>
    </row>
    <row r="1552" spans="11:31" x14ac:dyDescent="0.3">
      <c r="K1552" s="21"/>
      <c r="L1552" s="21"/>
      <c r="T1552" s="15"/>
      <c r="U1552" s="15"/>
      <c r="AB1552" s="19"/>
      <c r="AC1552" s="20"/>
      <c r="AD1552" s="19"/>
      <c r="AE1552" s="98"/>
    </row>
    <row r="1553" spans="11:31" x14ac:dyDescent="0.3">
      <c r="K1553" s="21"/>
      <c r="L1553" s="21"/>
      <c r="T1553" s="15"/>
      <c r="U1553" s="15"/>
      <c r="AB1553" s="19"/>
      <c r="AC1553" s="20"/>
      <c r="AD1553" s="19"/>
      <c r="AE1553" s="98"/>
    </row>
    <row r="1554" spans="11:31" x14ac:dyDescent="0.3">
      <c r="K1554" s="21"/>
      <c r="L1554" s="21"/>
      <c r="T1554" s="15"/>
      <c r="U1554" s="15"/>
      <c r="AB1554" s="19"/>
      <c r="AC1554" s="20"/>
      <c r="AD1554" s="19"/>
      <c r="AE1554" s="98"/>
    </row>
    <row r="1555" spans="11:31" x14ac:dyDescent="0.3">
      <c r="K1555" s="21"/>
      <c r="L1555" s="21"/>
      <c r="T1555" s="15"/>
      <c r="U1555" s="15"/>
      <c r="AB1555" s="19"/>
      <c r="AC1555" s="20"/>
      <c r="AD1555" s="19"/>
      <c r="AE1555" s="98"/>
    </row>
    <row r="1556" spans="11:31" x14ac:dyDescent="0.3">
      <c r="K1556" s="21"/>
      <c r="L1556" s="21"/>
      <c r="T1556" s="15"/>
      <c r="U1556" s="15"/>
      <c r="AB1556" s="19"/>
      <c r="AC1556" s="20"/>
      <c r="AD1556" s="19"/>
      <c r="AE1556" s="98"/>
    </row>
    <row r="1557" spans="11:31" x14ac:dyDescent="0.3">
      <c r="K1557" s="21"/>
      <c r="L1557" s="21"/>
      <c r="T1557" s="15"/>
      <c r="U1557" s="15"/>
      <c r="AB1557" s="19"/>
      <c r="AC1557" s="20"/>
      <c r="AD1557" s="19"/>
      <c r="AE1557" s="98"/>
    </row>
    <row r="1558" spans="11:31" x14ac:dyDescent="0.3">
      <c r="K1558" s="21"/>
      <c r="L1558" s="21"/>
      <c r="T1558" s="15"/>
      <c r="U1558" s="15"/>
      <c r="AB1558" s="19"/>
      <c r="AC1558" s="20"/>
      <c r="AD1558" s="19"/>
      <c r="AE1558" s="98"/>
    </row>
    <row r="1559" spans="11:31" x14ac:dyDescent="0.3">
      <c r="K1559" s="21"/>
      <c r="L1559" s="21"/>
      <c r="T1559" s="15"/>
      <c r="U1559" s="15"/>
      <c r="AB1559" s="19"/>
      <c r="AC1559" s="20"/>
      <c r="AD1559" s="19"/>
      <c r="AE1559" s="98"/>
    </row>
    <row r="1560" spans="11:31" x14ac:dyDescent="0.3">
      <c r="K1560" s="21"/>
      <c r="L1560" s="21"/>
      <c r="T1560" s="15"/>
      <c r="U1560" s="15"/>
      <c r="AB1560" s="19"/>
      <c r="AC1560" s="20"/>
      <c r="AD1560" s="19"/>
      <c r="AE1560" s="98"/>
    </row>
    <row r="1561" spans="11:31" x14ac:dyDescent="0.3">
      <c r="K1561" s="21"/>
      <c r="L1561" s="21"/>
      <c r="T1561" s="15"/>
      <c r="U1561" s="15"/>
      <c r="AB1561" s="19"/>
      <c r="AC1561" s="20"/>
      <c r="AD1561" s="19"/>
      <c r="AE1561" s="98"/>
    </row>
    <row r="1562" spans="11:31" x14ac:dyDescent="0.3">
      <c r="K1562" s="21"/>
      <c r="L1562" s="21"/>
      <c r="T1562" s="15"/>
      <c r="U1562" s="15"/>
      <c r="AB1562" s="19"/>
      <c r="AC1562" s="20"/>
      <c r="AD1562" s="19"/>
      <c r="AE1562" s="98"/>
    </row>
    <row r="1563" spans="11:31" x14ac:dyDescent="0.3">
      <c r="K1563" s="21"/>
      <c r="L1563" s="21"/>
      <c r="T1563" s="15"/>
      <c r="U1563" s="15"/>
      <c r="AB1563" s="19"/>
      <c r="AC1563" s="20"/>
      <c r="AD1563" s="19"/>
      <c r="AE1563" s="98"/>
    </row>
    <row r="1564" spans="11:31" x14ac:dyDescent="0.3">
      <c r="K1564" s="21"/>
      <c r="L1564" s="21"/>
      <c r="T1564" s="15"/>
      <c r="U1564" s="15"/>
      <c r="AB1564" s="19"/>
      <c r="AC1564" s="20"/>
      <c r="AD1564" s="19"/>
      <c r="AE1564" s="98"/>
    </row>
    <row r="1565" spans="11:31" x14ac:dyDescent="0.3">
      <c r="K1565" s="21"/>
      <c r="L1565" s="21"/>
      <c r="T1565" s="15"/>
      <c r="U1565" s="15"/>
      <c r="AB1565" s="19"/>
      <c r="AC1565" s="20"/>
      <c r="AD1565" s="19"/>
      <c r="AE1565" s="98"/>
    </row>
    <row r="1566" spans="11:31" x14ac:dyDescent="0.3">
      <c r="K1566" s="21"/>
      <c r="L1566" s="21"/>
      <c r="T1566" s="15"/>
      <c r="U1566" s="15"/>
      <c r="AB1566" s="19"/>
      <c r="AC1566" s="20"/>
      <c r="AD1566" s="19"/>
      <c r="AE1566" s="98"/>
    </row>
    <row r="1567" spans="11:31" x14ac:dyDescent="0.3">
      <c r="K1567" s="21"/>
      <c r="L1567" s="21"/>
      <c r="T1567" s="15"/>
      <c r="U1567" s="15"/>
      <c r="AB1567" s="19"/>
      <c r="AC1567" s="20"/>
      <c r="AD1567" s="19"/>
      <c r="AE1567" s="98"/>
    </row>
    <row r="1568" spans="11:31" x14ac:dyDescent="0.3">
      <c r="K1568" s="21"/>
      <c r="L1568" s="21"/>
      <c r="T1568" s="15"/>
      <c r="U1568" s="15"/>
      <c r="AB1568" s="19"/>
      <c r="AC1568" s="20"/>
      <c r="AD1568" s="19"/>
      <c r="AE1568" s="98"/>
    </row>
    <row r="1569" spans="11:31" x14ac:dyDescent="0.3">
      <c r="K1569" s="21"/>
      <c r="L1569" s="21"/>
      <c r="T1569" s="15"/>
      <c r="U1569" s="15"/>
      <c r="AB1569" s="19"/>
      <c r="AC1569" s="20"/>
      <c r="AD1569" s="19"/>
      <c r="AE1569" s="98"/>
    </row>
    <row r="1570" spans="11:31" x14ac:dyDescent="0.3">
      <c r="K1570" s="21"/>
      <c r="L1570" s="21"/>
      <c r="T1570" s="15"/>
      <c r="U1570" s="15"/>
      <c r="AB1570" s="19"/>
      <c r="AC1570" s="20"/>
      <c r="AD1570" s="19"/>
      <c r="AE1570" s="98"/>
    </row>
    <row r="1571" spans="11:31" x14ac:dyDescent="0.3">
      <c r="K1571" s="21"/>
      <c r="L1571" s="21"/>
      <c r="T1571" s="15"/>
      <c r="U1571" s="15"/>
      <c r="AB1571" s="19"/>
      <c r="AC1571" s="20"/>
      <c r="AD1571" s="19"/>
      <c r="AE1571" s="98"/>
    </row>
    <row r="1572" spans="11:31" x14ac:dyDescent="0.3">
      <c r="K1572" s="21"/>
      <c r="L1572" s="21"/>
      <c r="T1572" s="15"/>
      <c r="U1572" s="15"/>
      <c r="AB1572" s="19"/>
      <c r="AC1572" s="20"/>
      <c r="AD1572" s="19"/>
      <c r="AE1572" s="98"/>
    </row>
    <row r="1573" spans="11:31" x14ac:dyDescent="0.3">
      <c r="K1573" s="21"/>
      <c r="L1573" s="21"/>
      <c r="T1573" s="15"/>
      <c r="U1573" s="15"/>
      <c r="AB1573" s="19"/>
      <c r="AC1573" s="20"/>
      <c r="AD1573" s="19"/>
      <c r="AE1573" s="98"/>
    </row>
    <row r="1574" spans="11:31" x14ac:dyDescent="0.3">
      <c r="K1574" s="21"/>
      <c r="L1574" s="21"/>
      <c r="T1574" s="15"/>
      <c r="U1574" s="15"/>
      <c r="AB1574" s="19"/>
      <c r="AC1574" s="20"/>
      <c r="AD1574" s="19"/>
      <c r="AE1574" s="98"/>
    </row>
    <row r="1575" spans="11:31" x14ac:dyDescent="0.3">
      <c r="K1575" s="21"/>
      <c r="L1575" s="21"/>
      <c r="T1575" s="15"/>
      <c r="U1575" s="15"/>
      <c r="AB1575" s="19"/>
      <c r="AC1575" s="20"/>
      <c r="AD1575" s="19"/>
      <c r="AE1575" s="98"/>
    </row>
    <row r="1576" spans="11:31" x14ac:dyDescent="0.3">
      <c r="K1576" s="21"/>
      <c r="L1576" s="21"/>
      <c r="T1576" s="15"/>
      <c r="U1576" s="15"/>
      <c r="AB1576" s="19"/>
      <c r="AC1576" s="20"/>
      <c r="AD1576" s="19"/>
      <c r="AE1576" s="98"/>
    </row>
    <row r="1577" spans="11:31" x14ac:dyDescent="0.3">
      <c r="K1577" s="21"/>
      <c r="L1577" s="21"/>
      <c r="T1577" s="15"/>
      <c r="U1577" s="15"/>
      <c r="AB1577" s="19"/>
      <c r="AC1577" s="20"/>
      <c r="AD1577" s="19"/>
      <c r="AE1577" s="98"/>
    </row>
    <row r="1578" spans="11:31" x14ac:dyDescent="0.3">
      <c r="K1578" s="21"/>
      <c r="L1578" s="21"/>
      <c r="T1578" s="15"/>
      <c r="U1578" s="15"/>
      <c r="AB1578" s="19"/>
      <c r="AC1578" s="20"/>
      <c r="AD1578" s="19"/>
      <c r="AE1578" s="98"/>
    </row>
    <row r="1579" spans="11:31" x14ac:dyDescent="0.3">
      <c r="K1579" s="21"/>
      <c r="L1579" s="21"/>
      <c r="T1579" s="15"/>
      <c r="U1579" s="15"/>
      <c r="AB1579" s="19"/>
      <c r="AC1579" s="20"/>
      <c r="AD1579" s="19"/>
      <c r="AE1579" s="98"/>
    </row>
    <row r="1580" spans="11:31" x14ac:dyDescent="0.3">
      <c r="K1580" s="21"/>
      <c r="L1580" s="21"/>
      <c r="T1580" s="15"/>
      <c r="U1580" s="15"/>
      <c r="AB1580" s="19"/>
      <c r="AC1580" s="20"/>
      <c r="AD1580" s="19"/>
      <c r="AE1580" s="98"/>
    </row>
    <row r="1581" spans="11:31" x14ac:dyDescent="0.3">
      <c r="K1581" s="21"/>
      <c r="L1581" s="21"/>
      <c r="T1581" s="15"/>
      <c r="U1581" s="15"/>
      <c r="AB1581" s="19"/>
      <c r="AC1581" s="20"/>
      <c r="AD1581" s="19"/>
      <c r="AE1581" s="98"/>
    </row>
    <row r="1582" spans="11:31" x14ac:dyDescent="0.3">
      <c r="K1582" s="21"/>
      <c r="L1582" s="21"/>
      <c r="T1582" s="15"/>
      <c r="U1582" s="15"/>
      <c r="AB1582" s="19"/>
      <c r="AC1582" s="20"/>
      <c r="AD1582" s="19"/>
      <c r="AE1582" s="98"/>
    </row>
    <row r="1583" spans="11:31" x14ac:dyDescent="0.3">
      <c r="K1583" s="21"/>
      <c r="L1583" s="21"/>
      <c r="T1583" s="15"/>
      <c r="U1583" s="15"/>
      <c r="AB1583" s="19"/>
      <c r="AC1583" s="20"/>
      <c r="AD1583" s="19"/>
      <c r="AE1583" s="98"/>
    </row>
    <row r="1584" spans="11:31" x14ac:dyDescent="0.3">
      <c r="K1584" s="21"/>
      <c r="L1584" s="21"/>
      <c r="T1584" s="15"/>
      <c r="U1584" s="15"/>
      <c r="AB1584" s="19"/>
      <c r="AC1584" s="20"/>
      <c r="AD1584" s="19"/>
      <c r="AE1584" s="98"/>
    </row>
    <row r="1585" spans="11:31" x14ac:dyDescent="0.3">
      <c r="K1585" s="21"/>
      <c r="L1585" s="21"/>
      <c r="T1585" s="15"/>
      <c r="U1585" s="15"/>
      <c r="AB1585" s="19"/>
      <c r="AC1585" s="20"/>
      <c r="AD1585" s="19"/>
      <c r="AE1585" s="98"/>
    </row>
    <row r="1586" spans="11:31" x14ac:dyDescent="0.3">
      <c r="K1586" s="21"/>
      <c r="L1586" s="21"/>
      <c r="T1586" s="15"/>
      <c r="U1586" s="15"/>
      <c r="AB1586" s="19"/>
      <c r="AC1586" s="20"/>
      <c r="AD1586" s="19"/>
      <c r="AE1586" s="98"/>
    </row>
    <row r="1587" spans="11:31" x14ac:dyDescent="0.3">
      <c r="K1587" s="21"/>
      <c r="L1587" s="21"/>
      <c r="T1587" s="15"/>
      <c r="U1587" s="15"/>
      <c r="AB1587" s="19"/>
      <c r="AC1587" s="20"/>
      <c r="AD1587" s="19"/>
      <c r="AE1587" s="98"/>
    </row>
    <row r="1588" spans="11:31" x14ac:dyDescent="0.3">
      <c r="K1588" s="21"/>
      <c r="L1588" s="21"/>
      <c r="T1588" s="15"/>
      <c r="U1588" s="15"/>
      <c r="AB1588" s="19"/>
      <c r="AC1588" s="20"/>
      <c r="AD1588" s="19"/>
      <c r="AE1588" s="98"/>
    </row>
    <row r="1589" spans="11:31" x14ac:dyDescent="0.3">
      <c r="K1589" s="21"/>
      <c r="L1589" s="21"/>
      <c r="T1589" s="15"/>
      <c r="U1589" s="15"/>
      <c r="AB1589" s="19"/>
      <c r="AC1589" s="20"/>
      <c r="AD1589" s="19"/>
      <c r="AE1589" s="98"/>
    </row>
    <row r="1590" spans="11:31" x14ac:dyDescent="0.3">
      <c r="K1590" s="21"/>
      <c r="L1590" s="21"/>
      <c r="T1590" s="15"/>
      <c r="U1590" s="15"/>
      <c r="AB1590" s="19"/>
      <c r="AC1590" s="20"/>
      <c r="AD1590" s="19"/>
      <c r="AE1590" s="98"/>
    </row>
    <row r="1591" spans="11:31" x14ac:dyDescent="0.3">
      <c r="K1591" s="21"/>
      <c r="L1591" s="21"/>
      <c r="T1591" s="15"/>
      <c r="U1591" s="15"/>
      <c r="AB1591" s="19"/>
      <c r="AC1591" s="20"/>
      <c r="AD1591" s="19"/>
      <c r="AE1591" s="98"/>
    </row>
    <row r="1592" spans="11:31" x14ac:dyDescent="0.3">
      <c r="K1592" s="21"/>
      <c r="L1592" s="21"/>
      <c r="T1592" s="15"/>
      <c r="U1592" s="15"/>
      <c r="AB1592" s="19"/>
      <c r="AC1592" s="20"/>
      <c r="AD1592" s="19"/>
      <c r="AE1592" s="98"/>
    </row>
    <row r="1593" spans="11:31" x14ac:dyDescent="0.3">
      <c r="K1593" s="21"/>
      <c r="L1593" s="21"/>
      <c r="T1593" s="15"/>
      <c r="U1593" s="15"/>
      <c r="AB1593" s="19"/>
      <c r="AC1593" s="20"/>
      <c r="AD1593" s="19"/>
      <c r="AE1593" s="98"/>
    </row>
    <row r="1594" spans="11:31" x14ac:dyDescent="0.3">
      <c r="K1594" s="21"/>
      <c r="L1594" s="21"/>
      <c r="T1594" s="15"/>
      <c r="U1594" s="15"/>
      <c r="AB1594" s="19"/>
      <c r="AC1594" s="20"/>
      <c r="AD1594" s="19"/>
      <c r="AE1594" s="98"/>
    </row>
    <row r="1595" spans="11:31" x14ac:dyDescent="0.3">
      <c r="K1595" s="21"/>
      <c r="L1595" s="21"/>
      <c r="T1595" s="15"/>
      <c r="U1595" s="15"/>
      <c r="AB1595" s="19"/>
      <c r="AC1595" s="20"/>
      <c r="AD1595" s="19"/>
      <c r="AE1595" s="98"/>
    </row>
    <row r="1596" spans="11:31" x14ac:dyDescent="0.3">
      <c r="K1596" s="21"/>
      <c r="L1596" s="21"/>
      <c r="T1596" s="15"/>
      <c r="U1596" s="15"/>
      <c r="AB1596" s="19"/>
      <c r="AC1596" s="20"/>
      <c r="AD1596" s="19"/>
      <c r="AE1596" s="98"/>
    </row>
    <row r="1597" spans="11:31" x14ac:dyDescent="0.3">
      <c r="K1597" s="21"/>
      <c r="L1597" s="21"/>
      <c r="T1597" s="15"/>
      <c r="U1597" s="15"/>
      <c r="AB1597" s="19"/>
      <c r="AC1597" s="20"/>
      <c r="AD1597" s="19"/>
      <c r="AE1597" s="98"/>
    </row>
    <row r="1598" spans="11:31" x14ac:dyDescent="0.3">
      <c r="K1598" s="21"/>
      <c r="L1598" s="21"/>
      <c r="T1598" s="15"/>
      <c r="U1598" s="15"/>
      <c r="AB1598" s="19"/>
      <c r="AC1598" s="20"/>
      <c r="AD1598" s="19"/>
      <c r="AE1598" s="98"/>
    </row>
    <row r="1599" spans="11:31" x14ac:dyDescent="0.3">
      <c r="K1599" s="21"/>
      <c r="L1599" s="21"/>
      <c r="T1599" s="15"/>
      <c r="U1599" s="15"/>
      <c r="AB1599" s="19"/>
      <c r="AC1599" s="20"/>
      <c r="AD1599" s="19"/>
      <c r="AE1599" s="98"/>
    </row>
    <row r="1600" spans="11:31" x14ac:dyDescent="0.3">
      <c r="K1600" s="21"/>
      <c r="L1600" s="21"/>
      <c r="T1600" s="15"/>
      <c r="U1600" s="15"/>
      <c r="AB1600" s="19"/>
      <c r="AC1600" s="20"/>
      <c r="AD1600" s="19"/>
      <c r="AE1600" s="98"/>
    </row>
    <row r="1601" spans="11:31" x14ac:dyDescent="0.3">
      <c r="K1601" s="21"/>
      <c r="L1601" s="21"/>
      <c r="T1601" s="15"/>
      <c r="U1601" s="15"/>
      <c r="AB1601" s="19"/>
      <c r="AC1601" s="20"/>
      <c r="AD1601" s="19"/>
      <c r="AE1601" s="98"/>
    </row>
    <row r="1602" spans="11:31" x14ac:dyDescent="0.3">
      <c r="K1602" s="21"/>
      <c r="L1602" s="21"/>
      <c r="T1602" s="15"/>
      <c r="U1602" s="15"/>
      <c r="AB1602" s="19"/>
      <c r="AC1602" s="20"/>
      <c r="AD1602" s="19"/>
      <c r="AE1602" s="98"/>
    </row>
    <row r="1603" spans="11:31" x14ac:dyDescent="0.3">
      <c r="K1603" s="21"/>
      <c r="L1603" s="21"/>
      <c r="T1603" s="15"/>
      <c r="U1603" s="15"/>
      <c r="AB1603" s="19"/>
      <c r="AC1603" s="20"/>
      <c r="AD1603" s="19"/>
      <c r="AE1603" s="98"/>
    </row>
    <row r="1604" spans="11:31" x14ac:dyDescent="0.3">
      <c r="K1604" s="21"/>
      <c r="L1604" s="21"/>
      <c r="T1604" s="15"/>
      <c r="U1604" s="15"/>
      <c r="AB1604" s="19"/>
      <c r="AC1604" s="20"/>
      <c r="AD1604" s="19"/>
      <c r="AE1604" s="98"/>
    </row>
    <row r="1605" spans="11:31" x14ac:dyDescent="0.3">
      <c r="K1605" s="21"/>
      <c r="L1605" s="21"/>
      <c r="T1605" s="15"/>
      <c r="U1605" s="15"/>
      <c r="AB1605" s="19"/>
      <c r="AC1605" s="20"/>
      <c r="AD1605" s="19"/>
      <c r="AE1605" s="98"/>
    </row>
    <row r="1606" spans="11:31" x14ac:dyDescent="0.3">
      <c r="K1606" s="21"/>
      <c r="L1606" s="21"/>
      <c r="T1606" s="15"/>
      <c r="U1606" s="15"/>
      <c r="AB1606" s="19"/>
      <c r="AC1606" s="20"/>
      <c r="AD1606" s="19"/>
      <c r="AE1606" s="98"/>
    </row>
    <row r="1607" spans="11:31" x14ac:dyDescent="0.3">
      <c r="K1607" s="21"/>
      <c r="L1607" s="21"/>
      <c r="T1607" s="15"/>
      <c r="U1607" s="15"/>
      <c r="AB1607" s="19"/>
      <c r="AC1607" s="20"/>
      <c r="AD1607" s="19"/>
      <c r="AE1607" s="98"/>
    </row>
    <row r="1608" spans="11:31" x14ac:dyDescent="0.3">
      <c r="K1608" s="21"/>
      <c r="L1608" s="21"/>
      <c r="T1608" s="15"/>
      <c r="U1608" s="15"/>
      <c r="AB1608" s="19"/>
      <c r="AC1608" s="20"/>
      <c r="AD1608" s="19"/>
      <c r="AE1608" s="98"/>
    </row>
    <row r="1609" spans="11:31" x14ac:dyDescent="0.3">
      <c r="K1609" s="21"/>
      <c r="L1609" s="21"/>
      <c r="T1609" s="15"/>
      <c r="U1609" s="15"/>
      <c r="AB1609" s="19"/>
      <c r="AC1609" s="20"/>
      <c r="AD1609" s="19"/>
      <c r="AE1609" s="98"/>
    </row>
    <row r="1610" spans="11:31" x14ac:dyDescent="0.3">
      <c r="K1610" s="21"/>
      <c r="L1610" s="21"/>
      <c r="T1610" s="15"/>
      <c r="U1610" s="15"/>
      <c r="AB1610" s="19"/>
      <c r="AC1610" s="20"/>
      <c r="AD1610" s="19"/>
      <c r="AE1610" s="98"/>
    </row>
    <row r="1611" spans="11:31" x14ac:dyDescent="0.3">
      <c r="K1611" s="21"/>
      <c r="L1611" s="21"/>
      <c r="T1611" s="15"/>
      <c r="U1611" s="15"/>
      <c r="AB1611" s="19"/>
      <c r="AC1611" s="20"/>
      <c r="AD1611" s="19"/>
      <c r="AE1611" s="98"/>
    </row>
    <row r="1612" spans="11:31" x14ac:dyDescent="0.3">
      <c r="K1612" s="21"/>
      <c r="L1612" s="21"/>
      <c r="T1612" s="15"/>
      <c r="U1612" s="15"/>
      <c r="AB1612" s="19"/>
      <c r="AC1612" s="20"/>
      <c r="AD1612" s="19"/>
      <c r="AE1612" s="98"/>
    </row>
    <row r="1613" spans="11:31" x14ac:dyDescent="0.3">
      <c r="K1613" s="21"/>
      <c r="L1613" s="21"/>
      <c r="T1613" s="15"/>
      <c r="U1613" s="15"/>
      <c r="AB1613" s="19"/>
      <c r="AC1613" s="20"/>
      <c r="AD1613" s="19"/>
      <c r="AE1613" s="98"/>
    </row>
    <row r="1614" spans="11:31" x14ac:dyDescent="0.3">
      <c r="K1614" s="21"/>
      <c r="L1614" s="21"/>
      <c r="T1614" s="15"/>
      <c r="U1614" s="15"/>
      <c r="AB1614" s="19"/>
      <c r="AC1614" s="20"/>
      <c r="AD1614" s="19"/>
      <c r="AE1614" s="98"/>
    </row>
    <row r="1615" spans="11:31" x14ac:dyDescent="0.3">
      <c r="K1615" s="21"/>
      <c r="L1615" s="21"/>
      <c r="T1615" s="15"/>
      <c r="U1615" s="15"/>
      <c r="AB1615" s="19"/>
      <c r="AC1615" s="20"/>
      <c r="AD1615" s="19"/>
      <c r="AE1615" s="98"/>
    </row>
    <row r="1616" spans="11:31" x14ac:dyDescent="0.3">
      <c r="K1616" s="21"/>
      <c r="L1616" s="21"/>
      <c r="T1616" s="15"/>
      <c r="U1616" s="15"/>
      <c r="AB1616" s="19"/>
      <c r="AC1616" s="20"/>
      <c r="AD1616" s="19"/>
      <c r="AE1616" s="98"/>
    </row>
    <row r="1617" spans="11:31" x14ac:dyDescent="0.3">
      <c r="K1617" s="21"/>
      <c r="L1617" s="21"/>
      <c r="T1617" s="15"/>
      <c r="U1617" s="15"/>
      <c r="AB1617" s="19"/>
      <c r="AC1617" s="20"/>
      <c r="AD1617" s="19"/>
      <c r="AE1617" s="98"/>
    </row>
    <row r="1618" spans="11:31" x14ac:dyDescent="0.3">
      <c r="K1618" s="21"/>
      <c r="L1618" s="21"/>
      <c r="T1618" s="15"/>
      <c r="U1618" s="15"/>
      <c r="AB1618" s="19"/>
      <c r="AC1618" s="20"/>
      <c r="AD1618" s="19"/>
      <c r="AE1618" s="98"/>
    </row>
    <row r="1619" spans="11:31" x14ac:dyDescent="0.3">
      <c r="K1619" s="21"/>
      <c r="L1619" s="21"/>
      <c r="T1619" s="15"/>
      <c r="U1619" s="15"/>
      <c r="AB1619" s="19"/>
      <c r="AC1619" s="20"/>
      <c r="AD1619" s="19"/>
      <c r="AE1619" s="98"/>
    </row>
    <row r="1620" spans="11:31" x14ac:dyDescent="0.3">
      <c r="K1620" s="21"/>
      <c r="L1620" s="21"/>
      <c r="T1620" s="15"/>
      <c r="U1620" s="15"/>
      <c r="AB1620" s="19"/>
      <c r="AC1620" s="20"/>
      <c r="AD1620" s="19"/>
      <c r="AE1620" s="98"/>
    </row>
    <row r="1621" spans="11:31" x14ac:dyDescent="0.3">
      <c r="K1621" s="21"/>
      <c r="L1621" s="21"/>
      <c r="T1621" s="15"/>
      <c r="U1621" s="15"/>
      <c r="AB1621" s="19"/>
      <c r="AC1621" s="20"/>
      <c r="AD1621" s="19"/>
      <c r="AE1621" s="98"/>
    </row>
    <row r="1622" spans="11:31" x14ac:dyDescent="0.3">
      <c r="K1622" s="21"/>
      <c r="L1622" s="21"/>
      <c r="T1622" s="15"/>
      <c r="U1622" s="15"/>
      <c r="AB1622" s="19"/>
      <c r="AC1622" s="20"/>
      <c r="AD1622" s="19"/>
      <c r="AE1622" s="98"/>
    </row>
    <row r="1623" spans="11:31" x14ac:dyDescent="0.3">
      <c r="K1623" s="21"/>
      <c r="L1623" s="21"/>
      <c r="T1623" s="15"/>
      <c r="U1623" s="15"/>
      <c r="AB1623" s="19"/>
      <c r="AC1623" s="20"/>
      <c r="AD1623" s="19"/>
      <c r="AE1623" s="98"/>
    </row>
    <row r="1624" spans="11:31" x14ac:dyDescent="0.3">
      <c r="K1624" s="21"/>
      <c r="L1624" s="21"/>
      <c r="T1624" s="15"/>
      <c r="U1624" s="15"/>
      <c r="AB1624" s="19"/>
      <c r="AC1624" s="20"/>
      <c r="AD1624" s="19"/>
      <c r="AE1624" s="98"/>
    </row>
    <row r="1625" spans="11:31" x14ac:dyDescent="0.3">
      <c r="K1625" s="21"/>
      <c r="L1625" s="21"/>
      <c r="T1625" s="15"/>
      <c r="U1625" s="15"/>
      <c r="AB1625" s="19"/>
      <c r="AC1625" s="20"/>
      <c r="AD1625" s="19"/>
      <c r="AE1625" s="98"/>
    </row>
    <row r="1626" spans="11:31" x14ac:dyDescent="0.3">
      <c r="K1626" s="21"/>
      <c r="L1626" s="21"/>
      <c r="T1626" s="15"/>
      <c r="U1626" s="15"/>
      <c r="AB1626" s="19"/>
      <c r="AC1626" s="20"/>
      <c r="AD1626" s="19"/>
      <c r="AE1626" s="98"/>
    </row>
    <row r="1627" spans="11:31" x14ac:dyDescent="0.3">
      <c r="K1627" s="21"/>
      <c r="L1627" s="21"/>
      <c r="T1627" s="15"/>
      <c r="U1627" s="15"/>
      <c r="AB1627" s="19"/>
      <c r="AC1627" s="20"/>
      <c r="AD1627" s="19"/>
      <c r="AE1627" s="98"/>
    </row>
    <row r="1628" spans="11:31" x14ac:dyDescent="0.3">
      <c r="K1628" s="21"/>
      <c r="L1628" s="21"/>
      <c r="T1628" s="15"/>
      <c r="U1628" s="15"/>
      <c r="AB1628" s="19"/>
      <c r="AC1628" s="20"/>
      <c r="AD1628" s="19"/>
      <c r="AE1628" s="98"/>
    </row>
    <row r="1629" spans="11:31" x14ac:dyDescent="0.3">
      <c r="K1629" s="21"/>
      <c r="L1629" s="21"/>
      <c r="T1629" s="15"/>
      <c r="U1629" s="15"/>
      <c r="AB1629" s="19"/>
      <c r="AC1629" s="20"/>
      <c r="AD1629" s="19"/>
      <c r="AE1629" s="98"/>
    </row>
    <row r="1630" spans="11:31" x14ac:dyDescent="0.3">
      <c r="K1630" s="21"/>
      <c r="L1630" s="21"/>
      <c r="T1630" s="15"/>
      <c r="U1630" s="15"/>
      <c r="AB1630" s="19"/>
      <c r="AC1630" s="20"/>
      <c r="AD1630" s="19"/>
      <c r="AE1630" s="98"/>
    </row>
    <row r="1631" spans="11:31" x14ac:dyDescent="0.3">
      <c r="K1631" s="21"/>
      <c r="L1631" s="21"/>
      <c r="T1631" s="15"/>
      <c r="U1631" s="15"/>
      <c r="AB1631" s="19"/>
      <c r="AC1631" s="20"/>
      <c r="AD1631" s="19"/>
      <c r="AE1631" s="98"/>
    </row>
    <row r="1632" spans="11:31" x14ac:dyDescent="0.3">
      <c r="K1632" s="21"/>
      <c r="L1632" s="21"/>
      <c r="T1632" s="15"/>
      <c r="U1632" s="15"/>
      <c r="AB1632" s="19"/>
      <c r="AC1632" s="20"/>
      <c r="AD1632" s="19"/>
      <c r="AE1632" s="98"/>
    </row>
    <row r="1633" spans="11:31" x14ac:dyDescent="0.3">
      <c r="K1633" s="21"/>
      <c r="L1633" s="21"/>
      <c r="T1633" s="15"/>
      <c r="U1633" s="15"/>
      <c r="AB1633" s="19"/>
      <c r="AC1633" s="20"/>
      <c r="AD1633" s="19"/>
      <c r="AE1633" s="98"/>
    </row>
    <row r="1634" spans="11:31" x14ac:dyDescent="0.3">
      <c r="K1634" s="21"/>
      <c r="L1634" s="21"/>
      <c r="T1634" s="15"/>
      <c r="U1634" s="15"/>
      <c r="AB1634" s="19"/>
      <c r="AC1634" s="20"/>
      <c r="AD1634" s="19"/>
      <c r="AE1634" s="98"/>
    </row>
    <row r="1635" spans="11:31" x14ac:dyDescent="0.3">
      <c r="K1635" s="21"/>
      <c r="L1635" s="21"/>
      <c r="T1635" s="15"/>
      <c r="U1635" s="15"/>
      <c r="AB1635" s="19"/>
      <c r="AC1635" s="20"/>
      <c r="AD1635" s="19"/>
      <c r="AE1635" s="98"/>
    </row>
    <row r="1636" spans="11:31" x14ac:dyDescent="0.3">
      <c r="K1636" s="21"/>
      <c r="L1636" s="21"/>
      <c r="T1636" s="15"/>
      <c r="U1636" s="15"/>
      <c r="AB1636" s="19"/>
      <c r="AC1636" s="20"/>
      <c r="AD1636" s="19"/>
      <c r="AE1636" s="98"/>
    </row>
    <row r="1637" spans="11:31" x14ac:dyDescent="0.3">
      <c r="K1637" s="21"/>
      <c r="L1637" s="21"/>
      <c r="T1637" s="15"/>
      <c r="U1637" s="15"/>
      <c r="AB1637" s="19"/>
      <c r="AC1637" s="20"/>
      <c r="AD1637" s="19"/>
      <c r="AE1637" s="98"/>
    </row>
    <row r="1638" spans="11:31" x14ac:dyDescent="0.3">
      <c r="K1638" s="21"/>
      <c r="L1638" s="21"/>
      <c r="T1638" s="15"/>
      <c r="U1638" s="15"/>
      <c r="AB1638" s="19"/>
      <c r="AC1638" s="20"/>
      <c r="AD1638" s="19"/>
      <c r="AE1638" s="98"/>
    </row>
    <row r="1639" spans="11:31" x14ac:dyDescent="0.3">
      <c r="K1639" s="21"/>
      <c r="L1639" s="21"/>
      <c r="T1639" s="15"/>
      <c r="U1639" s="15"/>
      <c r="AB1639" s="19"/>
      <c r="AC1639" s="20"/>
      <c r="AD1639" s="19"/>
      <c r="AE1639" s="98"/>
    </row>
    <row r="1640" spans="11:31" x14ac:dyDescent="0.3">
      <c r="K1640" s="21"/>
      <c r="L1640" s="21"/>
      <c r="T1640" s="15"/>
      <c r="U1640" s="15"/>
      <c r="AB1640" s="19"/>
      <c r="AC1640" s="20"/>
      <c r="AD1640" s="19"/>
      <c r="AE1640" s="98"/>
    </row>
    <row r="1641" spans="11:31" x14ac:dyDescent="0.3">
      <c r="K1641" s="21"/>
      <c r="L1641" s="21"/>
      <c r="T1641" s="15"/>
      <c r="U1641" s="15"/>
      <c r="AB1641" s="19"/>
      <c r="AC1641" s="20"/>
      <c r="AD1641" s="19"/>
      <c r="AE1641" s="98"/>
    </row>
    <row r="1642" spans="11:31" x14ac:dyDescent="0.3">
      <c r="K1642" s="21"/>
      <c r="L1642" s="21"/>
      <c r="T1642" s="15"/>
      <c r="U1642" s="15"/>
      <c r="AB1642" s="19"/>
      <c r="AC1642" s="20"/>
      <c r="AD1642" s="19"/>
      <c r="AE1642" s="98"/>
    </row>
    <row r="1643" spans="11:31" x14ac:dyDescent="0.3">
      <c r="K1643" s="21"/>
      <c r="L1643" s="21"/>
      <c r="T1643" s="15"/>
      <c r="U1643" s="15"/>
      <c r="AB1643" s="19"/>
      <c r="AC1643" s="20"/>
      <c r="AD1643" s="19"/>
      <c r="AE1643" s="98"/>
    </row>
    <row r="1644" spans="11:31" x14ac:dyDescent="0.3">
      <c r="K1644" s="21"/>
      <c r="L1644" s="21"/>
      <c r="T1644" s="15"/>
      <c r="U1644" s="15"/>
      <c r="AB1644" s="19"/>
      <c r="AC1644" s="20"/>
      <c r="AD1644" s="19"/>
      <c r="AE1644" s="98"/>
    </row>
    <row r="1645" spans="11:31" x14ac:dyDescent="0.3">
      <c r="K1645" s="21"/>
      <c r="L1645" s="21"/>
      <c r="T1645" s="15"/>
      <c r="U1645" s="15"/>
      <c r="AB1645" s="19"/>
      <c r="AC1645" s="20"/>
      <c r="AD1645" s="19"/>
      <c r="AE1645" s="98"/>
    </row>
    <row r="1646" spans="11:31" x14ac:dyDescent="0.3">
      <c r="K1646" s="21"/>
      <c r="L1646" s="21"/>
      <c r="T1646" s="15"/>
      <c r="U1646" s="15"/>
      <c r="AB1646" s="19"/>
      <c r="AC1646" s="20"/>
      <c r="AD1646" s="19"/>
      <c r="AE1646" s="98"/>
    </row>
    <row r="1647" spans="11:31" x14ac:dyDescent="0.3">
      <c r="K1647" s="21"/>
      <c r="L1647" s="21"/>
      <c r="T1647" s="15"/>
      <c r="U1647" s="15"/>
      <c r="AB1647" s="19"/>
      <c r="AC1647" s="20"/>
      <c r="AD1647" s="19"/>
      <c r="AE1647" s="98"/>
    </row>
    <row r="1648" spans="11:31" x14ac:dyDescent="0.3">
      <c r="K1648" s="21"/>
      <c r="L1648" s="21"/>
      <c r="T1648" s="15"/>
      <c r="U1648" s="15"/>
      <c r="AB1648" s="19"/>
      <c r="AC1648" s="20"/>
      <c r="AD1648" s="19"/>
      <c r="AE1648" s="98"/>
    </row>
    <row r="1649" spans="11:31" x14ac:dyDescent="0.3">
      <c r="K1649" s="21"/>
      <c r="L1649" s="21"/>
      <c r="T1649" s="15"/>
      <c r="U1649" s="15"/>
      <c r="AB1649" s="19"/>
      <c r="AC1649" s="20"/>
      <c r="AD1649" s="19"/>
      <c r="AE1649" s="98"/>
    </row>
    <row r="1650" spans="11:31" x14ac:dyDescent="0.3">
      <c r="K1650" s="21"/>
      <c r="L1650" s="21"/>
      <c r="T1650" s="15"/>
      <c r="U1650" s="15"/>
      <c r="AB1650" s="19"/>
      <c r="AC1650" s="20"/>
      <c r="AD1650" s="19"/>
      <c r="AE1650" s="98"/>
    </row>
    <row r="1651" spans="11:31" x14ac:dyDescent="0.3">
      <c r="K1651" s="21"/>
      <c r="L1651" s="21"/>
      <c r="T1651" s="15"/>
      <c r="U1651" s="15"/>
      <c r="AB1651" s="19"/>
      <c r="AC1651" s="20"/>
      <c r="AD1651" s="19"/>
      <c r="AE1651" s="98"/>
    </row>
    <row r="1652" spans="11:31" x14ac:dyDescent="0.3">
      <c r="K1652" s="21"/>
      <c r="L1652" s="21"/>
      <c r="T1652" s="15"/>
      <c r="U1652" s="15"/>
      <c r="AB1652" s="19"/>
      <c r="AC1652" s="20"/>
      <c r="AD1652" s="19"/>
      <c r="AE1652" s="98"/>
    </row>
    <row r="1653" spans="11:31" x14ac:dyDescent="0.3">
      <c r="K1653" s="21"/>
      <c r="L1653" s="21"/>
      <c r="T1653" s="15"/>
      <c r="U1653" s="15"/>
      <c r="AB1653" s="19"/>
      <c r="AC1653" s="20"/>
      <c r="AD1653" s="19"/>
      <c r="AE1653" s="98"/>
    </row>
    <row r="1654" spans="11:31" x14ac:dyDescent="0.3">
      <c r="K1654" s="21"/>
      <c r="L1654" s="21"/>
      <c r="T1654" s="15"/>
      <c r="U1654" s="15"/>
      <c r="AB1654" s="19"/>
      <c r="AC1654" s="20"/>
      <c r="AD1654" s="19"/>
      <c r="AE1654" s="98"/>
    </row>
    <row r="1655" spans="11:31" x14ac:dyDescent="0.3">
      <c r="K1655" s="21"/>
      <c r="L1655" s="21"/>
      <c r="T1655" s="15"/>
      <c r="U1655" s="15"/>
      <c r="AB1655" s="19"/>
      <c r="AC1655" s="20"/>
      <c r="AD1655" s="19"/>
      <c r="AE1655" s="98"/>
    </row>
    <row r="1656" spans="11:31" x14ac:dyDescent="0.3">
      <c r="K1656" s="21"/>
      <c r="L1656" s="21"/>
      <c r="T1656" s="15"/>
      <c r="U1656" s="15"/>
      <c r="AB1656" s="19"/>
      <c r="AC1656" s="20"/>
      <c r="AD1656" s="19"/>
      <c r="AE1656" s="98"/>
    </row>
    <row r="1657" spans="11:31" x14ac:dyDescent="0.3">
      <c r="K1657" s="21"/>
      <c r="L1657" s="21"/>
      <c r="T1657" s="15"/>
      <c r="U1657" s="15"/>
      <c r="AB1657" s="19"/>
      <c r="AC1657" s="20"/>
      <c r="AD1657" s="19"/>
      <c r="AE1657" s="98"/>
    </row>
    <row r="1658" spans="11:31" x14ac:dyDescent="0.3">
      <c r="K1658" s="21"/>
      <c r="L1658" s="21"/>
      <c r="T1658" s="15"/>
      <c r="U1658" s="15"/>
      <c r="AB1658" s="19"/>
      <c r="AC1658" s="20"/>
      <c r="AD1658" s="19"/>
      <c r="AE1658" s="98"/>
    </row>
    <row r="1659" spans="11:31" x14ac:dyDescent="0.3">
      <c r="K1659" s="21"/>
      <c r="L1659" s="21"/>
      <c r="T1659" s="15"/>
      <c r="U1659" s="15"/>
      <c r="AB1659" s="19"/>
      <c r="AC1659" s="20"/>
      <c r="AD1659" s="19"/>
      <c r="AE1659" s="98"/>
    </row>
    <row r="1660" spans="11:31" x14ac:dyDescent="0.3">
      <c r="K1660" s="21"/>
      <c r="L1660" s="21"/>
      <c r="T1660" s="15"/>
      <c r="U1660" s="15"/>
      <c r="AB1660" s="19"/>
      <c r="AC1660" s="20"/>
      <c r="AD1660" s="19"/>
      <c r="AE1660" s="98"/>
    </row>
    <row r="1661" spans="11:31" x14ac:dyDescent="0.3">
      <c r="K1661" s="21"/>
      <c r="L1661" s="21"/>
      <c r="T1661" s="15"/>
      <c r="U1661" s="15"/>
      <c r="AB1661" s="19"/>
      <c r="AC1661" s="20"/>
      <c r="AD1661" s="19"/>
      <c r="AE1661" s="98"/>
    </row>
    <row r="1662" spans="11:31" x14ac:dyDescent="0.3">
      <c r="K1662" s="21"/>
      <c r="L1662" s="21"/>
      <c r="T1662" s="15"/>
      <c r="U1662" s="15"/>
      <c r="AB1662" s="19"/>
      <c r="AC1662" s="20"/>
      <c r="AD1662" s="19"/>
      <c r="AE1662" s="98"/>
    </row>
    <row r="1663" spans="11:31" x14ac:dyDescent="0.3">
      <c r="K1663" s="21"/>
      <c r="L1663" s="21"/>
      <c r="T1663" s="15"/>
      <c r="U1663" s="15"/>
      <c r="AB1663" s="19"/>
      <c r="AC1663" s="20"/>
      <c r="AD1663" s="19"/>
      <c r="AE1663" s="98"/>
    </row>
    <row r="1664" spans="11:31" x14ac:dyDescent="0.3">
      <c r="K1664" s="21"/>
      <c r="L1664" s="21"/>
      <c r="T1664" s="15"/>
      <c r="U1664" s="15"/>
      <c r="AB1664" s="19"/>
      <c r="AC1664" s="20"/>
      <c r="AD1664" s="19"/>
      <c r="AE1664" s="98"/>
    </row>
    <row r="1665" spans="11:31" x14ac:dyDescent="0.3">
      <c r="K1665" s="21"/>
      <c r="L1665" s="21"/>
      <c r="T1665" s="15"/>
      <c r="U1665" s="15"/>
      <c r="AB1665" s="19"/>
      <c r="AC1665" s="20"/>
      <c r="AD1665" s="19"/>
      <c r="AE1665" s="98"/>
    </row>
    <row r="1666" spans="11:31" x14ac:dyDescent="0.3">
      <c r="K1666" s="21"/>
      <c r="L1666" s="21"/>
      <c r="T1666" s="15"/>
      <c r="U1666" s="15"/>
      <c r="AB1666" s="19"/>
      <c r="AC1666" s="20"/>
      <c r="AD1666" s="19"/>
      <c r="AE1666" s="98"/>
    </row>
    <row r="1667" spans="11:31" x14ac:dyDescent="0.3">
      <c r="K1667" s="21"/>
      <c r="L1667" s="21"/>
      <c r="T1667" s="15"/>
      <c r="U1667" s="15"/>
      <c r="AB1667" s="19"/>
      <c r="AC1667" s="20"/>
      <c r="AD1667" s="19"/>
      <c r="AE1667" s="98"/>
    </row>
    <row r="1668" spans="11:31" x14ac:dyDescent="0.3">
      <c r="K1668" s="21"/>
      <c r="L1668" s="21"/>
      <c r="T1668" s="15"/>
      <c r="U1668" s="15"/>
      <c r="AB1668" s="19"/>
      <c r="AC1668" s="20"/>
      <c r="AD1668" s="19"/>
      <c r="AE1668" s="98"/>
    </row>
    <row r="1669" spans="11:31" x14ac:dyDescent="0.3">
      <c r="K1669" s="21"/>
      <c r="L1669" s="21"/>
      <c r="T1669" s="15"/>
      <c r="U1669" s="15"/>
      <c r="AB1669" s="19"/>
      <c r="AC1669" s="20"/>
      <c r="AD1669" s="19"/>
      <c r="AE1669" s="98"/>
    </row>
    <row r="1670" spans="11:31" x14ac:dyDescent="0.3">
      <c r="K1670" s="21"/>
      <c r="L1670" s="21"/>
      <c r="T1670" s="15"/>
      <c r="U1670" s="15"/>
      <c r="AB1670" s="19"/>
      <c r="AC1670" s="20"/>
      <c r="AD1670" s="19"/>
      <c r="AE1670" s="98"/>
    </row>
    <row r="1671" spans="11:31" x14ac:dyDescent="0.3">
      <c r="K1671" s="21"/>
      <c r="L1671" s="21"/>
      <c r="T1671" s="15"/>
      <c r="U1671" s="15"/>
      <c r="AB1671" s="19"/>
      <c r="AC1671" s="20"/>
      <c r="AD1671" s="19"/>
      <c r="AE1671" s="98"/>
    </row>
    <row r="1672" spans="11:31" x14ac:dyDescent="0.3">
      <c r="K1672" s="21"/>
      <c r="L1672" s="21"/>
      <c r="T1672" s="15"/>
      <c r="U1672" s="15"/>
      <c r="AB1672" s="19"/>
      <c r="AC1672" s="20"/>
      <c r="AD1672" s="19"/>
      <c r="AE1672" s="98"/>
    </row>
    <row r="1673" spans="11:31" x14ac:dyDescent="0.3">
      <c r="K1673" s="21"/>
      <c r="L1673" s="21"/>
      <c r="T1673" s="15"/>
      <c r="U1673" s="15"/>
      <c r="AB1673" s="19"/>
      <c r="AC1673" s="20"/>
      <c r="AD1673" s="19"/>
      <c r="AE1673" s="98"/>
    </row>
    <row r="1674" spans="11:31" x14ac:dyDescent="0.3">
      <c r="K1674" s="21"/>
      <c r="L1674" s="21"/>
      <c r="T1674" s="15"/>
      <c r="U1674" s="15"/>
      <c r="AB1674" s="19"/>
      <c r="AC1674" s="20"/>
      <c r="AD1674" s="19"/>
      <c r="AE1674" s="98"/>
    </row>
    <row r="1675" spans="11:31" x14ac:dyDescent="0.3">
      <c r="K1675" s="21"/>
      <c r="L1675" s="21"/>
      <c r="T1675" s="15"/>
      <c r="U1675" s="15"/>
      <c r="AB1675" s="19"/>
      <c r="AC1675" s="20"/>
      <c r="AD1675" s="19"/>
      <c r="AE1675" s="98"/>
    </row>
    <row r="1676" spans="11:31" x14ac:dyDescent="0.3">
      <c r="K1676" s="21"/>
      <c r="L1676" s="21"/>
      <c r="T1676" s="15"/>
      <c r="U1676" s="15"/>
      <c r="AB1676" s="19"/>
      <c r="AC1676" s="20"/>
      <c r="AD1676" s="19"/>
      <c r="AE1676" s="98"/>
    </row>
    <row r="1677" spans="11:31" x14ac:dyDescent="0.3">
      <c r="K1677" s="21"/>
      <c r="L1677" s="21"/>
      <c r="T1677" s="15"/>
      <c r="U1677" s="15"/>
      <c r="AB1677" s="19"/>
      <c r="AC1677" s="20"/>
      <c r="AD1677" s="19"/>
      <c r="AE1677" s="98"/>
    </row>
    <row r="1678" spans="11:31" x14ac:dyDescent="0.3">
      <c r="K1678" s="21"/>
      <c r="L1678" s="21"/>
      <c r="T1678" s="15"/>
      <c r="U1678" s="15"/>
      <c r="AB1678" s="19"/>
      <c r="AC1678" s="20"/>
      <c r="AD1678" s="19"/>
      <c r="AE1678" s="98"/>
    </row>
    <row r="1679" spans="11:31" x14ac:dyDescent="0.3">
      <c r="K1679" s="21"/>
      <c r="L1679" s="21"/>
      <c r="T1679" s="15"/>
      <c r="U1679" s="15"/>
      <c r="AB1679" s="19"/>
      <c r="AC1679" s="20"/>
      <c r="AD1679" s="19"/>
      <c r="AE1679" s="98"/>
    </row>
    <row r="1680" spans="11:31" x14ac:dyDescent="0.3">
      <c r="K1680" s="21"/>
      <c r="L1680" s="21"/>
      <c r="T1680" s="15"/>
      <c r="U1680" s="15"/>
      <c r="AB1680" s="19"/>
      <c r="AC1680" s="20"/>
      <c r="AD1680" s="19"/>
      <c r="AE1680" s="98"/>
    </row>
    <row r="1681" spans="11:31" x14ac:dyDescent="0.3">
      <c r="K1681" s="21"/>
      <c r="L1681" s="21"/>
      <c r="T1681" s="15"/>
      <c r="U1681" s="15"/>
      <c r="AB1681" s="19"/>
      <c r="AC1681" s="20"/>
      <c r="AD1681" s="19"/>
      <c r="AE1681" s="98"/>
    </row>
    <row r="1682" spans="11:31" x14ac:dyDescent="0.3">
      <c r="K1682" s="21"/>
      <c r="L1682" s="21"/>
      <c r="T1682" s="15"/>
      <c r="U1682" s="15"/>
      <c r="AB1682" s="19"/>
      <c r="AC1682" s="20"/>
      <c r="AD1682" s="19"/>
      <c r="AE1682" s="98"/>
    </row>
    <row r="1683" spans="11:31" x14ac:dyDescent="0.3">
      <c r="K1683" s="21"/>
      <c r="L1683" s="21"/>
      <c r="T1683" s="15"/>
      <c r="U1683" s="15"/>
      <c r="AB1683" s="19"/>
      <c r="AC1683" s="20"/>
      <c r="AD1683" s="19"/>
      <c r="AE1683" s="98"/>
    </row>
    <row r="1684" spans="11:31" x14ac:dyDescent="0.3">
      <c r="K1684" s="21"/>
      <c r="L1684" s="21"/>
      <c r="T1684" s="15"/>
      <c r="U1684" s="15"/>
      <c r="AB1684" s="19"/>
      <c r="AC1684" s="20"/>
      <c r="AD1684" s="19"/>
      <c r="AE1684" s="98"/>
    </row>
    <row r="1685" spans="11:31" x14ac:dyDescent="0.3">
      <c r="K1685" s="21"/>
      <c r="L1685" s="21"/>
      <c r="T1685" s="15"/>
      <c r="U1685" s="15"/>
      <c r="AB1685" s="19"/>
      <c r="AC1685" s="20"/>
      <c r="AD1685" s="19"/>
      <c r="AE1685" s="98"/>
    </row>
    <row r="1686" spans="11:31" x14ac:dyDescent="0.3">
      <c r="K1686" s="21"/>
      <c r="L1686" s="21"/>
      <c r="T1686" s="15"/>
      <c r="U1686" s="15"/>
      <c r="AB1686" s="19"/>
      <c r="AC1686" s="20"/>
      <c r="AD1686" s="19"/>
      <c r="AE1686" s="98"/>
    </row>
    <row r="1687" spans="11:31" x14ac:dyDescent="0.3">
      <c r="K1687" s="21"/>
      <c r="L1687" s="21"/>
      <c r="T1687" s="15"/>
      <c r="U1687" s="15"/>
      <c r="AB1687" s="19"/>
      <c r="AC1687" s="20"/>
      <c r="AD1687" s="19"/>
      <c r="AE1687" s="98"/>
    </row>
    <row r="1688" spans="11:31" x14ac:dyDescent="0.3">
      <c r="K1688" s="21"/>
      <c r="L1688" s="21"/>
      <c r="T1688" s="15"/>
      <c r="U1688" s="15"/>
      <c r="AB1688" s="19"/>
      <c r="AC1688" s="20"/>
      <c r="AD1688" s="19"/>
      <c r="AE1688" s="98"/>
    </row>
    <row r="1689" spans="11:31" x14ac:dyDescent="0.3">
      <c r="K1689" s="21"/>
      <c r="L1689" s="21"/>
      <c r="T1689" s="15"/>
      <c r="U1689" s="15"/>
      <c r="AB1689" s="19"/>
      <c r="AC1689" s="20"/>
      <c r="AD1689" s="19"/>
      <c r="AE1689" s="98"/>
    </row>
    <row r="1690" spans="11:31" x14ac:dyDescent="0.3">
      <c r="K1690" s="21"/>
      <c r="L1690" s="21"/>
      <c r="T1690" s="15"/>
      <c r="U1690" s="15"/>
      <c r="AB1690" s="19"/>
      <c r="AC1690" s="20"/>
      <c r="AD1690" s="19"/>
      <c r="AE1690" s="98"/>
    </row>
    <row r="1691" spans="11:31" x14ac:dyDescent="0.3">
      <c r="K1691" s="21"/>
      <c r="L1691" s="21"/>
      <c r="T1691" s="15"/>
      <c r="U1691" s="15"/>
      <c r="AB1691" s="19"/>
      <c r="AC1691" s="20"/>
      <c r="AD1691" s="19"/>
      <c r="AE1691" s="98"/>
    </row>
    <row r="1692" spans="11:31" x14ac:dyDescent="0.3">
      <c r="K1692" s="21"/>
      <c r="L1692" s="21"/>
      <c r="T1692" s="15"/>
      <c r="U1692" s="15"/>
      <c r="AB1692" s="19"/>
      <c r="AC1692" s="20"/>
      <c r="AD1692" s="19"/>
      <c r="AE1692" s="98"/>
    </row>
    <row r="1693" spans="11:31" x14ac:dyDescent="0.3">
      <c r="K1693" s="21"/>
      <c r="L1693" s="21"/>
      <c r="T1693" s="15"/>
      <c r="U1693" s="15"/>
      <c r="AB1693" s="19"/>
      <c r="AC1693" s="20"/>
      <c r="AD1693" s="19"/>
      <c r="AE1693" s="98"/>
    </row>
    <row r="1694" spans="11:31" x14ac:dyDescent="0.3">
      <c r="K1694" s="21"/>
      <c r="L1694" s="21"/>
      <c r="T1694" s="15"/>
      <c r="U1694" s="15"/>
      <c r="AB1694" s="19"/>
      <c r="AC1694" s="20"/>
      <c r="AD1694" s="19"/>
      <c r="AE1694" s="98"/>
    </row>
    <row r="1695" spans="11:31" x14ac:dyDescent="0.3">
      <c r="K1695" s="21"/>
      <c r="L1695" s="21"/>
      <c r="T1695" s="15"/>
      <c r="U1695" s="15"/>
      <c r="AB1695" s="19"/>
      <c r="AC1695" s="20"/>
      <c r="AD1695" s="19"/>
      <c r="AE1695" s="98"/>
    </row>
    <row r="1696" spans="11:31" x14ac:dyDescent="0.3">
      <c r="K1696" s="21"/>
      <c r="L1696" s="21"/>
      <c r="T1696" s="15"/>
      <c r="U1696" s="15"/>
      <c r="AB1696" s="19"/>
      <c r="AC1696" s="20"/>
      <c r="AD1696" s="19"/>
      <c r="AE1696" s="98"/>
    </row>
    <row r="1697" spans="11:31" x14ac:dyDescent="0.3">
      <c r="K1697" s="21"/>
      <c r="L1697" s="21"/>
      <c r="T1697" s="15"/>
      <c r="U1697" s="15"/>
      <c r="AB1697" s="19"/>
      <c r="AC1697" s="20"/>
      <c r="AD1697" s="19"/>
      <c r="AE1697" s="98"/>
    </row>
    <row r="1698" spans="11:31" x14ac:dyDescent="0.3">
      <c r="K1698" s="21"/>
      <c r="L1698" s="21"/>
      <c r="T1698" s="15"/>
      <c r="U1698" s="15"/>
      <c r="AB1698" s="19"/>
      <c r="AC1698" s="20"/>
      <c r="AD1698" s="19"/>
      <c r="AE1698" s="98"/>
    </row>
    <row r="1699" spans="11:31" x14ac:dyDescent="0.3">
      <c r="K1699" s="21"/>
      <c r="L1699" s="21"/>
      <c r="T1699" s="15"/>
      <c r="U1699" s="15"/>
      <c r="AB1699" s="19"/>
      <c r="AC1699" s="20"/>
      <c r="AD1699" s="19"/>
      <c r="AE1699" s="98"/>
    </row>
    <row r="1700" spans="11:31" x14ac:dyDescent="0.3">
      <c r="K1700" s="21"/>
      <c r="L1700" s="21"/>
      <c r="T1700" s="15"/>
      <c r="U1700" s="15"/>
      <c r="AB1700" s="19"/>
      <c r="AC1700" s="20"/>
      <c r="AD1700" s="19"/>
      <c r="AE1700" s="98"/>
    </row>
    <row r="1701" spans="11:31" x14ac:dyDescent="0.3">
      <c r="K1701" s="21"/>
      <c r="L1701" s="21"/>
      <c r="T1701" s="15"/>
      <c r="U1701" s="15"/>
      <c r="AB1701" s="19"/>
      <c r="AC1701" s="20"/>
      <c r="AD1701" s="19"/>
      <c r="AE1701" s="98"/>
    </row>
    <row r="1702" spans="11:31" x14ac:dyDescent="0.3">
      <c r="K1702" s="21"/>
      <c r="L1702" s="21"/>
      <c r="T1702" s="15"/>
      <c r="U1702" s="15"/>
      <c r="AB1702" s="19"/>
      <c r="AC1702" s="20"/>
      <c r="AD1702" s="19"/>
      <c r="AE1702" s="98"/>
    </row>
    <row r="1703" spans="11:31" x14ac:dyDescent="0.3">
      <c r="K1703" s="21"/>
      <c r="L1703" s="21"/>
      <c r="T1703" s="15"/>
      <c r="U1703" s="15"/>
      <c r="AB1703" s="19"/>
      <c r="AC1703" s="20"/>
      <c r="AD1703" s="19"/>
      <c r="AE1703" s="98"/>
    </row>
    <row r="1704" spans="11:31" x14ac:dyDescent="0.3">
      <c r="K1704" s="21"/>
      <c r="L1704" s="21"/>
      <c r="T1704" s="15"/>
      <c r="U1704" s="15"/>
      <c r="AB1704" s="19"/>
      <c r="AC1704" s="20"/>
      <c r="AD1704" s="19"/>
      <c r="AE1704" s="98"/>
    </row>
    <row r="1705" spans="11:31" x14ac:dyDescent="0.3">
      <c r="K1705" s="21"/>
      <c r="L1705" s="21"/>
      <c r="T1705" s="15"/>
      <c r="U1705" s="15"/>
      <c r="AB1705" s="19"/>
      <c r="AC1705" s="20"/>
      <c r="AD1705" s="19"/>
      <c r="AE1705" s="98"/>
    </row>
    <row r="1706" spans="11:31" x14ac:dyDescent="0.3">
      <c r="K1706" s="21"/>
      <c r="L1706" s="21"/>
      <c r="T1706" s="15"/>
      <c r="U1706" s="15"/>
      <c r="AB1706" s="19"/>
      <c r="AC1706" s="20"/>
      <c r="AD1706" s="19"/>
      <c r="AE1706" s="98"/>
    </row>
    <row r="1707" spans="11:31" x14ac:dyDescent="0.3">
      <c r="K1707" s="21"/>
      <c r="L1707" s="21"/>
      <c r="T1707" s="15"/>
      <c r="U1707" s="15"/>
      <c r="AB1707" s="19"/>
      <c r="AC1707" s="20"/>
      <c r="AD1707" s="19"/>
      <c r="AE1707" s="98"/>
    </row>
    <row r="1708" spans="11:31" x14ac:dyDescent="0.3">
      <c r="K1708" s="21"/>
      <c r="L1708" s="21"/>
      <c r="T1708" s="15"/>
      <c r="U1708" s="15"/>
      <c r="AB1708" s="19"/>
      <c r="AC1708" s="20"/>
      <c r="AD1708" s="19"/>
      <c r="AE1708" s="98"/>
    </row>
    <row r="1709" spans="11:31" x14ac:dyDescent="0.3">
      <c r="K1709" s="21"/>
      <c r="L1709" s="21"/>
      <c r="T1709" s="15"/>
      <c r="U1709" s="15"/>
      <c r="AB1709" s="19"/>
      <c r="AC1709" s="20"/>
      <c r="AD1709" s="19"/>
      <c r="AE1709" s="98"/>
    </row>
    <row r="1710" spans="11:31" x14ac:dyDescent="0.3">
      <c r="K1710" s="21"/>
      <c r="L1710" s="21"/>
      <c r="T1710" s="15"/>
      <c r="U1710" s="15"/>
      <c r="AB1710" s="19"/>
      <c r="AC1710" s="20"/>
      <c r="AD1710" s="19"/>
      <c r="AE1710" s="98"/>
    </row>
    <row r="1711" spans="11:31" x14ac:dyDescent="0.3">
      <c r="K1711" s="21"/>
      <c r="L1711" s="21"/>
      <c r="T1711" s="15"/>
      <c r="U1711" s="15"/>
      <c r="AB1711" s="19"/>
      <c r="AC1711" s="20"/>
      <c r="AD1711" s="19"/>
      <c r="AE1711" s="98"/>
    </row>
    <row r="1712" spans="11:31" x14ac:dyDescent="0.3">
      <c r="K1712" s="21"/>
      <c r="L1712" s="21"/>
      <c r="T1712" s="15"/>
      <c r="U1712" s="15"/>
      <c r="AB1712" s="19"/>
      <c r="AC1712" s="20"/>
      <c r="AD1712" s="19"/>
      <c r="AE1712" s="98"/>
    </row>
    <row r="1713" spans="11:31" x14ac:dyDescent="0.3">
      <c r="K1713" s="21"/>
      <c r="L1713" s="21"/>
      <c r="T1713" s="15"/>
      <c r="U1713" s="15"/>
      <c r="AB1713" s="19"/>
      <c r="AC1713" s="20"/>
      <c r="AD1713" s="19"/>
      <c r="AE1713" s="98"/>
    </row>
    <row r="1714" spans="11:31" x14ac:dyDescent="0.3">
      <c r="K1714" s="21"/>
      <c r="L1714" s="21"/>
      <c r="T1714" s="15"/>
      <c r="U1714" s="15"/>
      <c r="AB1714" s="19"/>
      <c r="AC1714" s="20"/>
      <c r="AD1714" s="19"/>
      <c r="AE1714" s="98"/>
    </row>
    <row r="1715" spans="11:31" x14ac:dyDescent="0.3">
      <c r="K1715" s="21"/>
      <c r="L1715" s="21"/>
      <c r="T1715" s="15"/>
      <c r="U1715" s="15"/>
      <c r="AB1715" s="19"/>
      <c r="AC1715" s="20"/>
      <c r="AD1715" s="19"/>
      <c r="AE1715" s="98"/>
    </row>
    <row r="1716" spans="11:31" x14ac:dyDescent="0.3">
      <c r="K1716" s="21"/>
      <c r="L1716" s="21"/>
      <c r="T1716" s="15"/>
      <c r="U1716" s="15"/>
      <c r="AB1716" s="19"/>
      <c r="AC1716" s="20"/>
      <c r="AD1716" s="19"/>
      <c r="AE1716" s="98"/>
    </row>
    <row r="1717" spans="11:31" x14ac:dyDescent="0.3">
      <c r="K1717" s="21"/>
      <c r="L1717" s="21"/>
      <c r="T1717" s="15"/>
      <c r="U1717" s="15"/>
      <c r="AB1717" s="19"/>
      <c r="AC1717" s="20"/>
      <c r="AD1717" s="19"/>
      <c r="AE1717" s="98"/>
    </row>
    <row r="1718" spans="11:31" x14ac:dyDescent="0.3">
      <c r="K1718" s="21"/>
      <c r="L1718" s="21"/>
      <c r="T1718" s="15"/>
      <c r="U1718" s="15"/>
      <c r="AB1718" s="19"/>
      <c r="AC1718" s="20"/>
      <c r="AD1718" s="19"/>
      <c r="AE1718" s="98"/>
    </row>
    <row r="1719" spans="11:31" x14ac:dyDescent="0.3">
      <c r="K1719" s="21"/>
      <c r="L1719" s="21"/>
      <c r="T1719" s="15"/>
      <c r="U1719" s="15"/>
      <c r="AB1719" s="19"/>
      <c r="AC1719" s="20"/>
      <c r="AD1719" s="19"/>
      <c r="AE1719" s="98"/>
    </row>
    <row r="1720" spans="11:31" x14ac:dyDescent="0.3">
      <c r="K1720" s="21"/>
      <c r="L1720" s="21"/>
      <c r="T1720" s="15"/>
      <c r="U1720" s="15"/>
      <c r="AB1720" s="19"/>
      <c r="AC1720" s="20"/>
      <c r="AD1720" s="19"/>
      <c r="AE1720" s="98"/>
    </row>
    <row r="1721" spans="11:31" x14ac:dyDescent="0.3">
      <c r="K1721" s="21"/>
      <c r="L1721" s="21"/>
      <c r="T1721" s="15"/>
      <c r="U1721" s="15"/>
      <c r="AB1721" s="19"/>
      <c r="AC1721" s="20"/>
      <c r="AD1721" s="19"/>
      <c r="AE1721" s="98"/>
    </row>
    <row r="1722" spans="11:31" x14ac:dyDescent="0.3">
      <c r="K1722" s="21"/>
      <c r="L1722" s="21"/>
      <c r="T1722" s="15"/>
      <c r="U1722" s="15"/>
      <c r="AB1722" s="19"/>
      <c r="AC1722" s="20"/>
      <c r="AD1722" s="19"/>
      <c r="AE1722" s="98"/>
    </row>
    <row r="1723" spans="11:31" x14ac:dyDescent="0.3">
      <c r="K1723" s="21"/>
      <c r="L1723" s="21"/>
      <c r="T1723" s="15"/>
      <c r="U1723" s="15"/>
      <c r="AB1723" s="19"/>
      <c r="AC1723" s="20"/>
      <c r="AD1723" s="19"/>
      <c r="AE1723" s="98"/>
    </row>
    <row r="1724" spans="11:31" x14ac:dyDescent="0.3">
      <c r="K1724" s="21"/>
      <c r="L1724" s="21"/>
      <c r="T1724" s="15"/>
      <c r="U1724" s="15"/>
      <c r="AB1724" s="19"/>
      <c r="AC1724" s="20"/>
      <c r="AD1724" s="19"/>
      <c r="AE1724" s="98"/>
    </row>
    <row r="1725" spans="11:31" x14ac:dyDescent="0.3">
      <c r="K1725" s="21"/>
      <c r="L1725" s="21"/>
      <c r="T1725" s="15"/>
      <c r="U1725" s="15"/>
      <c r="AB1725" s="19"/>
      <c r="AC1725" s="20"/>
      <c r="AD1725" s="19"/>
      <c r="AE1725" s="98"/>
    </row>
    <row r="1726" spans="11:31" x14ac:dyDescent="0.3">
      <c r="K1726" s="21"/>
      <c r="L1726" s="21"/>
      <c r="T1726" s="15"/>
      <c r="U1726" s="15"/>
      <c r="AB1726" s="19"/>
      <c r="AC1726" s="20"/>
      <c r="AD1726" s="19"/>
      <c r="AE1726" s="98"/>
    </row>
    <row r="1727" spans="11:31" x14ac:dyDescent="0.3">
      <c r="K1727" s="21"/>
      <c r="L1727" s="21"/>
      <c r="T1727" s="15"/>
      <c r="U1727" s="15"/>
      <c r="AB1727" s="19"/>
      <c r="AC1727" s="20"/>
      <c r="AD1727" s="19"/>
      <c r="AE1727" s="98"/>
    </row>
    <row r="1728" spans="11:31" x14ac:dyDescent="0.3">
      <c r="K1728" s="21"/>
      <c r="L1728" s="21"/>
      <c r="T1728" s="15"/>
      <c r="U1728" s="15"/>
      <c r="AB1728" s="19"/>
      <c r="AC1728" s="20"/>
      <c r="AD1728" s="19"/>
      <c r="AE1728" s="98"/>
    </row>
    <row r="1729" spans="11:31" x14ac:dyDescent="0.3">
      <c r="K1729" s="21"/>
      <c r="L1729" s="21"/>
      <c r="T1729" s="15"/>
      <c r="U1729" s="15"/>
      <c r="AB1729" s="19"/>
      <c r="AC1729" s="20"/>
      <c r="AD1729" s="19"/>
      <c r="AE1729" s="98"/>
    </row>
    <row r="1730" spans="11:31" x14ac:dyDescent="0.3">
      <c r="K1730" s="21"/>
      <c r="L1730" s="21"/>
      <c r="T1730" s="15"/>
      <c r="U1730" s="15"/>
      <c r="AB1730" s="19"/>
      <c r="AC1730" s="20"/>
      <c r="AD1730" s="19"/>
      <c r="AE1730" s="98"/>
    </row>
    <row r="1731" spans="11:31" x14ac:dyDescent="0.3">
      <c r="K1731" s="21"/>
      <c r="L1731" s="21"/>
      <c r="T1731" s="15"/>
      <c r="U1731" s="15"/>
      <c r="AB1731" s="19"/>
      <c r="AC1731" s="20"/>
      <c r="AD1731" s="19"/>
      <c r="AE1731" s="98"/>
    </row>
    <row r="1732" spans="11:31" x14ac:dyDescent="0.3">
      <c r="K1732" s="21"/>
      <c r="L1732" s="21"/>
      <c r="T1732" s="15"/>
      <c r="U1732" s="15"/>
      <c r="AB1732" s="19"/>
      <c r="AC1732" s="20"/>
      <c r="AD1732" s="19"/>
      <c r="AE1732" s="98"/>
    </row>
    <row r="1733" spans="11:31" x14ac:dyDescent="0.3">
      <c r="K1733" s="21"/>
      <c r="L1733" s="21"/>
      <c r="T1733" s="15"/>
      <c r="U1733" s="15"/>
      <c r="AB1733" s="19"/>
      <c r="AC1733" s="20"/>
      <c r="AD1733" s="19"/>
      <c r="AE1733" s="98"/>
    </row>
    <row r="1734" spans="11:31" x14ac:dyDescent="0.3">
      <c r="K1734" s="21"/>
      <c r="L1734" s="21"/>
      <c r="T1734" s="15"/>
      <c r="U1734" s="15"/>
      <c r="AB1734" s="19"/>
      <c r="AC1734" s="20"/>
      <c r="AD1734" s="19"/>
      <c r="AE1734" s="98"/>
    </row>
    <row r="1735" spans="11:31" x14ac:dyDescent="0.3">
      <c r="K1735" s="21"/>
      <c r="L1735" s="21"/>
      <c r="T1735" s="15"/>
      <c r="U1735" s="15"/>
      <c r="AB1735" s="19"/>
      <c r="AC1735" s="20"/>
      <c r="AD1735" s="19"/>
      <c r="AE1735" s="98"/>
    </row>
    <row r="1736" spans="11:31" x14ac:dyDescent="0.3">
      <c r="K1736" s="21"/>
      <c r="L1736" s="21"/>
      <c r="T1736" s="15"/>
      <c r="U1736" s="15"/>
      <c r="AB1736" s="19"/>
      <c r="AC1736" s="20"/>
      <c r="AD1736" s="19"/>
      <c r="AE1736" s="98"/>
    </row>
    <row r="1737" spans="11:31" x14ac:dyDescent="0.3">
      <c r="K1737" s="21"/>
      <c r="L1737" s="21"/>
      <c r="T1737" s="15"/>
      <c r="U1737" s="15"/>
      <c r="AB1737" s="19"/>
      <c r="AC1737" s="20"/>
      <c r="AD1737" s="19"/>
      <c r="AE1737" s="98"/>
    </row>
    <row r="1738" spans="11:31" x14ac:dyDescent="0.3">
      <c r="K1738" s="21"/>
      <c r="L1738" s="21"/>
      <c r="T1738" s="15"/>
      <c r="U1738" s="15"/>
      <c r="AB1738" s="19"/>
      <c r="AC1738" s="20"/>
      <c r="AD1738" s="19"/>
      <c r="AE1738" s="98"/>
    </row>
    <row r="1739" spans="11:31" x14ac:dyDescent="0.3">
      <c r="K1739" s="21"/>
      <c r="L1739" s="21"/>
      <c r="T1739" s="15"/>
      <c r="U1739" s="15"/>
      <c r="AB1739" s="19"/>
      <c r="AC1739" s="20"/>
      <c r="AD1739" s="19"/>
      <c r="AE1739" s="98"/>
    </row>
    <row r="1740" spans="11:31" x14ac:dyDescent="0.3">
      <c r="K1740" s="21"/>
      <c r="L1740" s="21"/>
      <c r="T1740" s="15"/>
      <c r="U1740" s="15"/>
      <c r="AB1740" s="19"/>
      <c r="AC1740" s="20"/>
      <c r="AD1740" s="19"/>
      <c r="AE1740" s="98"/>
    </row>
    <row r="1741" spans="11:31" x14ac:dyDescent="0.3">
      <c r="K1741" s="21"/>
      <c r="L1741" s="21"/>
      <c r="T1741" s="15"/>
      <c r="U1741" s="15"/>
      <c r="AB1741" s="19"/>
      <c r="AC1741" s="20"/>
      <c r="AD1741" s="19"/>
      <c r="AE1741" s="98"/>
    </row>
    <row r="1742" spans="11:31" x14ac:dyDescent="0.3">
      <c r="K1742" s="21"/>
      <c r="L1742" s="21"/>
      <c r="T1742" s="15"/>
      <c r="U1742" s="15"/>
      <c r="AB1742" s="19"/>
      <c r="AC1742" s="20"/>
      <c r="AD1742" s="19"/>
      <c r="AE1742" s="98"/>
    </row>
    <row r="1743" spans="11:31" x14ac:dyDescent="0.3">
      <c r="K1743" s="21"/>
      <c r="L1743" s="21"/>
      <c r="T1743" s="15"/>
      <c r="U1743" s="15"/>
      <c r="AB1743" s="19"/>
      <c r="AC1743" s="20"/>
      <c r="AD1743" s="19"/>
      <c r="AE1743" s="98"/>
    </row>
    <row r="1744" spans="11:31" x14ac:dyDescent="0.3">
      <c r="K1744" s="21"/>
      <c r="L1744" s="21"/>
      <c r="T1744" s="15"/>
      <c r="U1744" s="15"/>
      <c r="AB1744" s="19"/>
      <c r="AC1744" s="20"/>
      <c r="AD1744" s="19"/>
      <c r="AE1744" s="98"/>
    </row>
    <row r="1745" spans="11:31" x14ac:dyDescent="0.3">
      <c r="K1745" s="21"/>
      <c r="L1745" s="21"/>
      <c r="T1745" s="15"/>
      <c r="U1745" s="15"/>
      <c r="AB1745" s="19"/>
      <c r="AC1745" s="20"/>
      <c r="AD1745" s="19"/>
      <c r="AE1745" s="98"/>
    </row>
    <row r="1746" spans="11:31" x14ac:dyDescent="0.3">
      <c r="K1746" s="21"/>
      <c r="L1746" s="21"/>
      <c r="T1746" s="15"/>
      <c r="U1746" s="15"/>
      <c r="AB1746" s="19"/>
      <c r="AC1746" s="20"/>
      <c r="AD1746" s="19"/>
      <c r="AE1746" s="98"/>
    </row>
    <row r="1747" spans="11:31" x14ac:dyDescent="0.3">
      <c r="K1747" s="21"/>
      <c r="L1747" s="21"/>
      <c r="T1747" s="15"/>
      <c r="U1747" s="15"/>
      <c r="AB1747" s="19"/>
      <c r="AC1747" s="20"/>
      <c r="AD1747" s="19"/>
      <c r="AE1747" s="98"/>
    </row>
    <row r="1748" spans="11:31" x14ac:dyDescent="0.3">
      <c r="K1748" s="21"/>
      <c r="L1748" s="21"/>
      <c r="T1748" s="15"/>
      <c r="U1748" s="15"/>
      <c r="AB1748" s="19"/>
      <c r="AC1748" s="20"/>
      <c r="AD1748" s="19"/>
      <c r="AE1748" s="98"/>
    </row>
    <row r="1749" spans="11:31" x14ac:dyDescent="0.3">
      <c r="K1749" s="21"/>
      <c r="L1749" s="21"/>
      <c r="T1749" s="15"/>
      <c r="U1749" s="15"/>
      <c r="AB1749" s="19"/>
      <c r="AC1749" s="20"/>
      <c r="AD1749" s="19"/>
      <c r="AE1749" s="98"/>
    </row>
    <row r="1750" spans="11:31" x14ac:dyDescent="0.3">
      <c r="K1750" s="21"/>
      <c r="L1750" s="21"/>
      <c r="T1750" s="15"/>
      <c r="U1750" s="15"/>
      <c r="AB1750" s="19"/>
      <c r="AC1750" s="20"/>
      <c r="AD1750" s="19"/>
      <c r="AE1750" s="98"/>
    </row>
    <row r="1751" spans="11:31" x14ac:dyDescent="0.3">
      <c r="K1751" s="21"/>
      <c r="L1751" s="21"/>
      <c r="T1751" s="15"/>
      <c r="U1751" s="15"/>
      <c r="AB1751" s="19"/>
      <c r="AC1751" s="20"/>
      <c r="AD1751" s="19"/>
      <c r="AE1751" s="98"/>
    </row>
    <row r="1752" spans="11:31" x14ac:dyDescent="0.3">
      <c r="K1752" s="21"/>
      <c r="L1752" s="21"/>
      <c r="T1752" s="15"/>
      <c r="U1752" s="15"/>
      <c r="AB1752" s="19"/>
      <c r="AC1752" s="20"/>
      <c r="AD1752" s="19"/>
      <c r="AE1752" s="98"/>
    </row>
    <row r="1753" spans="11:31" x14ac:dyDescent="0.3">
      <c r="K1753" s="21"/>
      <c r="L1753" s="21"/>
      <c r="T1753" s="15"/>
      <c r="U1753" s="15"/>
      <c r="AB1753" s="19"/>
      <c r="AC1753" s="20"/>
      <c r="AD1753" s="19"/>
      <c r="AE1753" s="98"/>
    </row>
    <row r="1754" spans="11:31" x14ac:dyDescent="0.3">
      <c r="K1754" s="21"/>
      <c r="L1754" s="21"/>
      <c r="T1754" s="15"/>
      <c r="U1754" s="15"/>
      <c r="AB1754" s="19"/>
      <c r="AC1754" s="20"/>
      <c r="AD1754" s="19"/>
      <c r="AE1754" s="98"/>
    </row>
    <row r="1755" spans="11:31" x14ac:dyDescent="0.3">
      <c r="K1755" s="21"/>
      <c r="L1755" s="21"/>
      <c r="T1755" s="15"/>
      <c r="U1755" s="15"/>
      <c r="AB1755" s="19"/>
      <c r="AC1755" s="20"/>
      <c r="AD1755" s="19"/>
      <c r="AE1755" s="98"/>
    </row>
    <row r="1756" spans="11:31" x14ac:dyDescent="0.3">
      <c r="K1756" s="21"/>
      <c r="L1756" s="21"/>
      <c r="T1756" s="15"/>
      <c r="U1756" s="15"/>
      <c r="AB1756" s="19"/>
      <c r="AC1756" s="20"/>
      <c r="AD1756" s="19"/>
      <c r="AE1756" s="98"/>
    </row>
    <row r="1757" spans="11:31" x14ac:dyDescent="0.3">
      <c r="K1757" s="21"/>
      <c r="L1757" s="21"/>
      <c r="T1757" s="15"/>
      <c r="U1757" s="15"/>
      <c r="AB1757" s="19"/>
      <c r="AC1757" s="20"/>
      <c r="AD1757" s="19"/>
      <c r="AE1757" s="98"/>
    </row>
    <row r="1758" spans="11:31" x14ac:dyDescent="0.3">
      <c r="K1758" s="21"/>
      <c r="L1758" s="21"/>
      <c r="T1758" s="15"/>
      <c r="U1758" s="15"/>
      <c r="AB1758" s="19"/>
      <c r="AC1758" s="20"/>
      <c r="AD1758" s="19"/>
      <c r="AE1758" s="98"/>
    </row>
    <row r="1759" spans="11:31" x14ac:dyDescent="0.3">
      <c r="K1759" s="21"/>
      <c r="L1759" s="21"/>
      <c r="T1759" s="15"/>
      <c r="U1759" s="15"/>
      <c r="AB1759" s="19"/>
      <c r="AC1759" s="20"/>
      <c r="AD1759" s="19"/>
      <c r="AE1759" s="98"/>
    </row>
    <row r="1760" spans="11:31" x14ac:dyDescent="0.3">
      <c r="K1760" s="21"/>
      <c r="L1760" s="21"/>
      <c r="T1760" s="15"/>
      <c r="U1760" s="15"/>
      <c r="AB1760" s="19"/>
      <c r="AC1760" s="20"/>
      <c r="AD1760" s="19"/>
      <c r="AE1760" s="98"/>
    </row>
    <row r="1761" spans="11:31" x14ac:dyDescent="0.3">
      <c r="K1761" s="21"/>
      <c r="L1761" s="21"/>
      <c r="T1761" s="15"/>
      <c r="U1761" s="15"/>
      <c r="AB1761" s="19"/>
      <c r="AC1761" s="20"/>
      <c r="AD1761" s="19"/>
      <c r="AE1761" s="98"/>
    </row>
    <row r="1762" spans="11:31" x14ac:dyDescent="0.3">
      <c r="K1762" s="21"/>
      <c r="L1762" s="21"/>
      <c r="T1762" s="15"/>
      <c r="U1762" s="15"/>
      <c r="AB1762" s="19"/>
      <c r="AC1762" s="20"/>
      <c r="AD1762" s="19"/>
      <c r="AE1762" s="98"/>
    </row>
    <row r="1763" spans="11:31" x14ac:dyDescent="0.3">
      <c r="K1763" s="21"/>
      <c r="L1763" s="21"/>
      <c r="T1763" s="15"/>
      <c r="U1763" s="15"/>
      <c r="AB1763" s="19"/>
      <c r="AC1763" s="20"/>
      <c r="AD1763" s="19"/>
      <c r="AE1763" s="98"/>
    </row>
    <row r="1764" spans="11:31" x14ac:dyDescent="0.3">
      <c r="K1764" s="21"/>
      <c r="L1764" s="21"/>
      <c r="T1764" s="15"/>
      <c r="U1764" s="15"/>
      <c r="AB1764" s="19"/>
      <c r="AC1764" s="20"/>
      <c r="AD1764" s="19"/>
      <c r="AE1764" s="98"/>
    </row>
    <row r="1765" spans="11:31" x14ac:dyDescent="0.3">
      <c r="K1765" s="21"/>
      <c r="L1765" s="21"/>
      <c r="T1765" s="15"/>
      <c r="U1765" s="15"/>
      <c r="AB1765" s="19"/>
      <c r="AC1765" s="20"/>
      <c r="AD1765" s="19"/>
      <c r="AE1765" s="98"/>
    </row>
    <row r="1766" spans="11:31" x14ac:dyDescent="0.3">
      <c r="K1766" s="21"/>
      <c r="L1766" s="21"/>
      <c r="T1766" s="15"/>
      <c r="U1766" s="15"/>
      <c r="AB1766" s="19"/>
      <c r="AC1766" s="20"/>
      <c r="AD1766" s="19"/>
      <c r="AE1766" s="98"/>
    </row>
    <row r="1767" spans="11:31" x14ac:dyDescent="0.3">
      <c r="K1767" s="21"/>
      <c r="L1767" s="21"/>
      <c r="T1767" s="15"/>
      <c r="U1767" s="15"/>
      <c r="AB1767" s="19"/>
      <c r="AC1767" s="20"/>
      <c r="AD1767" s="19"/>
      <c r="AE1767" s="98"/>
    </row>
    <row r="1768" spans="11:31" x14ac:dyDescent="0.3">
      <c r="K1768" s="21"/>
      <c r="L1768" s="21"/>
      <c r="T1768" s="15"/>
      <c r="U1768" s="15"/>
      <c r="AB1768" s="19"/>
      <c r="AC1768" s="20"/>
      <c r="AD1768" s="19"/>
      <c r="AE1768" s="98"/>
    </row>
    <row r="1769" spans="11:31" x14ac:dyDescent="0.3">
      <c r="K1769" s="21"/>
      <c r="L1769" s="21"/>
      <c r="T1769" s="15"/>
      <c r="U1769" s="15"/>
      <c r="AB1769" s="19"/>
      <c r="AC1769" s="20"/>
      <c r="AD1769" s="19"/>
      <c r="AE1769" s="98"/>
    </row>
    <row r="1770" spans="11:31" x14ac:dyDescent="0.3">
      <c r="K1770" s="21"/>
      <c r="L1770" s="21"/>
      <c r="T1770" s="15"/>
      <c r="U1770" s="15"/>
      <c r="AB1770" s="19"/>
      <c r="AC1770" s="20"/>
      <c r="AD1770" s="19"/>
      <c r="AE1770" s="98"/>
    </row>
    <row r="1771" spans="11:31" x14ac:dyDescent="0.3">
      <c r="K1771" s="21"/>
      <c r="L1771" s="21"/>
      <c r="T1771" s="15"/>
      <c r="U1771" s="15"/>
      <c r="AB1771" s="19"/>
      <c r="AC1771" s="20"/>
      <c r="AD1771" s="19"/>
      <c r="AE1771" s="98"/>
    </row>
    <row r="1772" spans="11:31" x14ac:dyDescent="0.3">
      <c r="K1772" s="21"/>
      <c r="L1772" s="21"/>
      <c r="T1772" s="15"/>
      <c r="U1772" s="15"/>
      <c r="AB1772" s="19"/>
      <c r="AC1772" s="20"/>
      <c r="AD1772" s="19"/>
      <c r="AE1772" s="98"/>
    </row>
    <row r="1773" spans="11:31" x14ac:dyDescent="0.3">
      <c r="K1773" s="21"/>
      <c r="L1773" s="21"/>
      <c r="T1773" s="15"/>
      <c r="U1773" s="15"/>
      <c r="AB1773" s="19"/>
      <c r="AC1773" s="20"/>
      <c r="AD1773" s="19"/>
      <c r="AE1773" s="98"/>
    </row>
    <row r="1774" spans="11:31" x14ac:dyDescent="0.3">
      <c r="K1774" s="21"/>
      <c r="L1774" s="21"/>
      <c r="T1774" s="15"/>
      <c r="U1774" s="15"/>
      <c r="AB1774" s="19"/>
      <c r="AC1774" s="20"/>
      <c r="AD1774" s="19"/>
      <c r="AE1774" s="98"/>
    </row>
    <row r="1775" spans="11:31" x14ac:dyDescent="0.3">
      <c r="K1775" s="21"/>
      <c r="L1775" s="21"/>
      <c r="T1775" s="15"/>
      <c r="U1775" s="15"/>
      <c r="AB1775" s="19"/>
      <c r="AC1775" s="20"/>
      <c r="AD1775" s="19"/>
      <c r="AE1775" s="98"/>
    </row>
    <row r="1776" spans="11:31" x14ac:dyDescent="0.3">
      <c r="K1776" s="21"/>
      <c r="L1776" s="21"/>
      <c r="T1776" s="15"/>
      <c r="U1776" s="15"/>
      <c r="AB1776" s="19"/>
      <c r="AC1776" s="20"/>
      <c r="AD1776" s="19"/>
      <c r="AE1776" s="98"/>
    </row>
    <row r="1777" spans="11:31" x14ac:dyDescent="0.3">
      <c r="K1777" s="21"/>
      <c r="L1777" s="21"/>
      <c r="T1777" s="15"/>
      <c r="U1777" s="15"/>
      <c r="AB1777" s="19"/>
      <c r="AC1777" s="20"/>
      <c r="AD1777" s="19"/>
      <c r="AE1777" s="98"/>
    </row>
    <row r="1778" spans="11:31" x14ac:dyDescent="0.3">
      <c r="K1778" s="21"/>
      <c r="L1778" s="21"/>
      <c r="T1778" s="15"/>
      <c r="U1778" s="15"/>
      <c r="AB1778" s="19"/>
      <c r="AC1778" s="20"/>
      <c r="AD1778" s="19"/>
      <c r="AE1778" s="98"/>
    </row>
    <row r="1779" spans="11:31" x14ac:dyDescent="0.3">
      <c r="K1779" s="21"/>
      <c r="L1779" s="21"/>
      <c r="T1779" s="15"/>
      <c r="U1779" s="15"/>
      <c r="AB1779" s="19"/>
      <c r="AC1779" s="20"/>
      <c r="AD1779" s="19"/>
      <c r="AE1779" s="98"/>
    </row>
    <row r="1780" spans="11:31" x14ac:dyDescent="0.3">
      <c r="K1780" s="21"/>
      <c r="L1780" s="21"/>
      <c r="T1780" s="15"/>
      <c r="U1780" s="15"/>
      <c r="AB1780" s="19"/>
      <c r="AC1780" s="20"/>
      <c r="AD1780" s="19"/>
      <c r="AE1780" s="98"/>
    </row>
    <row r="1781" spans="11:31" x14ac:dyDescent="0.3">
      <c r="K1781" s="21"/>
      <c r="L1781" s="21"/>
      <c r="T1781" s="15"/>
      <c r="U1781" s="15"/>
      <c r="AB1781" s="19"/>
      <c r="AC1781" s="20"/>
      <c r="AD1781" s="19"/>
      <c r="AE1781" s="98"/>
    </row>
    <row r="1782" spans="11:31" x14ac:dyDescent="0.3">
      <c r="K1782" s="21"/>
      <c r="L1782" s="21"/>
      <c r="T1782" s="15"/>
      <c r="U1782" s="15"/>
      <c r="AB1782" s="19"/>
      <c r="AC1782" s="20"/>
      <c r="AD1782" s="19"/>
      <c r="AE1782" s="98"/>
    </row>
    <row r="1783" spans="11:31" x14ac:dyDescent="0.3">
      <c r="K1783" s="21"/>
      <c r="L1783" s="21"/>
      <c r="T1783" s="15"/>
      <c r="U1783" s="15"/>
      <c r="AB1783" s="19"/>
      <c r="AC1783" s="20"/>
      <c r="AD1783" s="19"/>
      <c r="AE1783" s="98"/>
    </row>
    <row r="1784" spans="11:31" x14ac:dyDescent="0.3">
      <c r="K1784" s="21"/>
      <c r="L1784" s="21"/>
      <c r="T1784" s="15"/>
      <c r="U1784" s="15"/>
      <c r="AB1784" s="19"/>
      <c r="AC1784" s="20"/>
      <c r="AD1784" s="19"/>
      <c r="AE1784" s="98"/>
    </row>
    <row r="1785" spans="11:31" x14ac:dyDescent="0.3">
      <c r="K1785" s="21"/>
      <c r="L1785" s="21"/>
      <c r="T1785" s="15"/>
      <c r="U1785" s="15"/>
      <c r="AB1785" s="19"/>
      <c r="AC1785" s="20"/>
      <c r="AD1785" s="19"/>
      <c r="AE1785" s="98"/>
    </row>
    <row r="1786" spans="11:31" x14ac:dyDescent="0.3">
      <c r="K1786" s="21"/>
      <c r="L1786" s="21"/>
      <c r="T1786" s="15"/>
      <c r="U1786" s="15"/>
      <c r="AB1786" s="19"/>
      <c r="AC1786" s="20"/>
      <c r="AD1786" s="19"/>
      <c r="AE1786" s="98"/>
    </row>
    <row r="1787" spans="11:31" x14ac:dyDescent="0.3">
      <c r="K1787" s="21"/>
      <c r="L1787" s="21"/>
      <c r="T1787" s="15"/>
      <c r="U1787" s="15"/>
      <c r="AB1787" s="19"/>
      <c r="AC1787" s="20"/>
      <c r="AD1787" s="19"/>
      <c r="AE1787" s="98"/>
    </row>
    <row r="1788" spans="11:31" x14ac:dyDescent="0.3">
      <c r="K1788" s="21"/>
      <c r="L1788" s="21"/>
      <c r="T1788" s="15"/>
      <c r="U1788" s="15"/>
      <c r="AB1788" s="19"/>
      <c r="AC1788" s="20"/>
      <c r="AD1788" s="19"/>
      <c r="AE1788" s="98"/>
    </row>
    <row r="1789" spans="11:31" x14ac:dyDescent="0.3">
      <c r="K1789" s="21"/>
      <c r="L1789" s="21"/>
      <c r="T1789" s="15"/>
      <c r="U1789" s="15"/>
      <c r="AB1789" s="19"/>
      <c r="AC1789" s="20"/>
      <c r="AD1789" s="19"/>
      <c r="AE1789" s="98"/>
    </row>
    <row r="1790" spans="11:31" x14ac:dyDescent="0.3">
      <c r="K1790" s="21"/>
      <c r="L1790" s="21"/>
      <c r="T1790" s="15"/>
      <c r="U1790" s="15"/>
      <c r="AB1790" s="19"/>
      <c r="AC1790" s="20"/>
      <c r="AD1790" s="19"/>
      <c r="AE1790" s="98"/>
    </row>
    <row r="1791" spans="11:31" x14ac:dyDescent="0.3">
      <c r="K1791" s="21"/>
      <c r="L1791" s="21"/>
      <c r="T1791" s="15"/>
      <c r="U1791" s="15"/>
      <c r="AB1791" s="19"/>
      <c r="AC1791" s="20"/>
      <c r="AD1791" s="19"/>
      <c r="AE1791" s="98"/>
    </row>
    <row r="1792" spans="11:31" x14ac:dyDescent="0.3">
      <c r="K1792" s="21"/>
      <c r="L1792" s="21"/>
      <c r="T1792" s="15"/>
      <c r="U1792" s="15"/>
      <c r="AB1792" s="19"/>
      <c r="AC1792" s="20"/>
      <c r="AD1792" s="19"/>
      <c r="AE1792" s="98"/>
    </row>
    <row r="1793" spans="11:31" x14ac:dyDescent="0.3">
      <c r="K1793" s="21"/>
      <c r="L1793" s="21"/>
      <c r="T1793" s="15"/>
      <c r="U1793" s="15"/>
      <c r="AB1793" s="19"/>
      <c r="AC1793" s="20"/>
      <c r="AD1793" s="19"/>
      <c r="AE1793" s="98"/>
    </row>
    <row r="1794" spans="11:31" x14ac:dyDescent="0.3">
      <c r="K1794" s="21"/>
      <c r="L1794" s="21"/>
      <c r="T1794" s="15"/>
      <c r="U1794" s="15"/>
      <c r="AB1794" s="19"/>
      <c r="AC1794" s="20"/>
      <c r="AD1794" s="19"/>
      <c r="AE1794" s="98"/>
    </row>
    <row r="1795" spans="11:31" x14ac:dyDescent="0.3">
      <c r="K1795" s="21"/>
      <c r="L1795" s="21"/>
      <c r="T1795" s="15"/>
      <c r="U1795" s="15"/>
      <c r="AB1795" s="19"/>
      <c r="AC1795" s="20"/>
      <c r="AD1795" s="19"/>
      <c r="AE1795" s="98"/>
    </row>
    <row r="1796" spans="11:31" x14ac:dyDescent="0.3">
      <c r="K1796" s="21"/>
      <c r="L1796" s="21"/>
      <c r="T1796" s="15"/>
      <c r="U1796" s="15"/>
      <c r="AB1796" s="19"/>
      <c r="AC1796" s="20"/>
      <c r="AD1796" s="19"/>
      <c r="AE1796" s="98"/>
    </row>
    <row r="1797" spans="11:31" x14ac:dyDescent="0.3">
      <c r="K1797" s="21"/>
      <c r="L1797" s="21"/>
      <c r="T1797" s="15"/>
      <c r="U1797" s="15"/>
      <c r="AB1797" s="19"/>
      <c r="AC1797" s="20"/>
      <c r="AD1797" s="19"/>
      <c r="AE1797" s="98"/>
    </row>
    <row r="1798" spans="11:31" x14ac:dyDescent="0.3">
      <c r="K1798" s="21"/>
      <c r="L1798" s="21"/>
      <c r="T1798" s="15"/>
      <c r="U1798" s="15"/>
      <c r="AB1798" s="19"/>
      <c r="AC1798" s="20"/>
      <c r="AD1798" s="19"/>
      <c r="AE1798" s="98"/>
    </row>
    <row r="1799" spans="11:31" x14ac:dyDescent="0.3">
      <c r="K1799" s="21"/>
      <c r="L1799" s="21"/>
      <c r="T1799" s="15"/>
      <c r="U1799" s="15"/>
      <c r="AB1799" s="19"/>
      <c r="AC1799" s="20"/>
      <c r="AD1799" s="19"/>
      <c r="AE1799" s="98"/>
    </row>
    <row r="1800" spans="11:31" x14ac:dyDescent="0.3">
      <c r="K1800" s="21"/>
      <c r="L1800" s="21"/>
      <c r="T1800" s="15"/>
      <c r="U1800" s="15"/>
      <c r="AB1800" s="19"/>
      <c r="AC1800" s="20"/>
      <c r="AD1800" s="19"/>
      <c r="AE1800" s="98"/>
    </row>
    <row r="1801" spans="11:31" x14ac:dyDescent="0.3">
      <c r="K1801" s="21"/>
      <c r="L1801" s="21"/>
      <c r="T1801" s="15"/>
      <c r="U1801" s="15"/>
      <c r="AB1801" s="19"/>
      <c r="AC1801" s="20"/>
      <c r="AD1801" s="19"/>
      <c r="AE1801" s="98"/>
    </row>
    <row r="1802" spans="11:31" x14ac:dyDescent="0.3">
      <c r="K1802" s="21"/>
      <c r="L1802" s="21"/>
      <c r="T1802" s="15"/>
      <c r="U1802" s="15"/>
      <c r="AB1802" s="19"/>
      <c r="AC1802" s="20"/>
      <c r="AD1802" s="19"/>
      <c r="AE1802" s="98"/>
    </row>
    <row r="1803" spans="11:31" x14ac:dyDescent="0.3">
      <c r="K1803" s="21"/>
      <c r="L1803" s="21"/>
      <c r="T1803" s="15"/>
      <c r="U1803" s="15"/>
      <c r="AB1803" s="19"/>
      <c r="AC1803" s="20"/>
      <c r="AD1803" s="19"/>
      <c r="AE1803" s="98"/>
    </row>
    <row r="1804" spans="11:31" x14ac:dyDescent="0.3">
      <c r="K1804" s="21"/>
      <c r="L1804" s="21"/>
      <c r="T1804" s="15"/>
      <c r="U1804" s="15"/>
      <c r="AB1804" s="19"/>
      <c r="AC1804" s="20"/>
      <c r="AD1804" s="19"/>
      <c r="AE1804" s="98"/>
    </row>
    <row r="1805" spans="11:31" x14ac:dyDescent="0.3">
      <c r="K1805" s="21"/>
      <c r="L1805" s="21"/>
      <c r="T1805" s="15"/>
      <c r="U1805" s="15"/>
      <c r="AB1805" s="19"/>
      <c r="AC1805" s="20"/>
      <c r="AD1805" s="19"/>
      <c r="AE1805" s="98"/>
    </row>
    <row r="1806" spans="11:31" x14ac:dyDescent="0.3">
      <c r="K1806" s="21"/>
      <c r="L1806" s="21"/>
      <c r="T1806" s="15"/>
      <c r="U1806" s="15"/>
      <c r="AB1806" s="19"/>
      <c r="AC1806" s="20"/>
      <c r="AD1806" s="19"/>
      <c r="AE1806" s="98"/>
    </row>
    <row r="1807" spans="11:31" x14ac:dyDescent="0.3">
      <c r="K1807" s="21"/>
      <c r="L1807" s="21"/>
      <c r="T1807" s="15"/>
      <c r="U1807" s="15"/>
      <c r="AB1807" s="19"/>
      <c r="AC1807" s="20"/>
      <c r="AD1807" s="19"/>
      <c r="AE1807" s="98"/>
    </row>
    <row r="1808" spans="11:31" x14ac:dyDescent="0.3">
      <c r="K1808" s="21"/>
      <c r="L1808" s="21"/>
      <c r="T1808" s="15"/>
      <c r="U1808" s="15"/>
      <c r="AB1808" s="19"/>
      <c r="AC1808" s="20"/>
      <c r="AD1808" s="19"/>
      <c r="AE1808" s="98"/>
    </row>
    <row r="1809" spans="11:31" x14ac:dyDescent="0.3">
      <c r="K1809" s="21"/>
      <c r="L1809" s="21"/>
      <c r="T1809" s="15"/>
      <c r="U1809" s="15"/>
      <c r="AB1809" s="19"/>
      <c r="AC1809" s="20"/>
      <c r="AD1809" s="19"/>
      <c r="AE1809" s="98"/>
    </row>
    <row r="1810" spans="11:31" x14ac:dyDescent="0.3">
      <c r="K1810" s="21"/>
      <c r="L1810" s="21"/>
      <c r="T1810" s="15"/>
      <c r="U1810" s="15"/>
      <c r="AB1810" s="19"/>
      <c r="AC1810" s="20"/>
      <c r="AD1810" s="19"/>
      <c r="AE1810" s="98"/>
    </row>
    <row r="1811" spans="11:31" x14ac:dyDescent="0.3">
      <c r="K1811" s="21"/>
      <c r="L1811" s="21"/>
      <c r="T1811" s="15"/>
      <c r="U1811" s="15"/>
      <c r="AB1811" s="19"/>
      <c r="AC1811" s="20"/>
      <c r="AD1811" s="19"/>
      <c r="AE1811" s="98"/>
    </row>
    <row r="1812" spans="11:31" x14ac:dyDescent="0.3">
      <c r="K1812" s="21"/>
      <c r="L1812" s="21"/>
      <c r="T1812" s="15"/>
      <c r="U1812" s="15"/>
      <c r="AB1812" s="19"/>
      <c r="AC1812" s="20"/>
      <c r="AD1812" s="19"/>
      <c r="AE1812" s="98"/>
    </row>
    <row r="1813" spans="11:31" x14ac:dyDescent="0.3">
      <c r="K1813" s="21"/>
      <c r="L1813" s="21"/>
      <c r="T1813" s="15"/>
      <c r="U1813" s="15"/>
      <c r="AB1813" s="19"/>
      <c r="AC1813" s="20"/>
      <c r="AD1813" s="19"/>
      <c r="AE1813" s="98"/>
    </row>
    <row r="1814" spans="11:31" x14ac:dyDescent="0.3">
      <c r="K1814" s="21"/>
      <c r="L1814" s="21"/>
      <c r="T1814" s="15"/>
      <c r="U1814" s="15"/>
      <c r="AB1814" s="19"/>
      <c r="AC1814" s="20"/>
      <c r="AD1814" s="19"/>
      <c r="AE1814" s="98"/>
    </row>
    <row r="1815" spans="11:31" x14ac:dyDescent="0.3">
      <c r="K1815" s="21"/>
      <c r="L1815" s="21"/>
      <c r="T1815" s="15"/>
      <c r="U1815" s="15"/>
      <c r="AB1815" s="19"/>
      <c r="AC1815" s="20"/>
      <c r="AD1815" s="19"/>
      <c r="AE1815" s="98"/>
    </row>
    <row r="1816" spans="11:31" x14ac:dyDescent="0.3">
      <c r="K1816" s="21"/>
      <c r="L1816" s="21"/>
      <c r="T1816" s="15"/>
      <c r="U1816" s="15"/>
      <c r="AB1816" s="19"/>
      <c r="AC1816" s="20"/>
      <c r="AD1816" s="19"/>
      <c r="AE1816" s="98"/>
    </row>
    <row r="1817" spans="11:31" x14ac:dyDescent="0.3">
      <c r="K1817" s="21"/>
      <c r="L1817" s="21"/>
      <c r="T1817" s="15"/>
      <c r="U1817" s="15"/>
      <c r="AB1817" s="19"/>
      <c r="AC1817" s="20"/>
      <c r="AD1817" s="19"/>
      <c r="AE1817" s="98"/>
    </row>
    <row r="1818" spans="11:31" x14ac:dyDescent="0.3">
      <c r="K1818" s="21"/>
      <c r="L1818" s="21"/>
      <c r="T1818" s="15"/>
      <c r="U1818" s="15"/>
      <c r="AB1818" s="19"/>
      <c r="AC1818" s="20"/>
      <c r="AD1818" s="19"/>
      <c r="AE1818" s="98"/>
    </row>
    <row r="1819" spans="11:31" x14ac:dyDescent="0.3">
      <c r="K1819" s="21"/>
      <c r="L1819" s="21"/>
      <c r="T1819" s="15"/>
      <c r="U1819" s="15"/>
      <c r="AB1819" s="19"/>
      <c r="AC1819" s="20"/>
      <c r="AD1819" s="19"/>
      <c r="AE1819" s="98"/>
    </row>
    <row r="1820" spans="11:31" x14ac:dyDescent="0.3">
      <c r="K1820" s="21"/>
      <c r="L1820" s="21"/>
      <c r="T1820" s="15"/>
      <c r="U1820" s="15"/>
      <c r="AB1820" s="19"/>
      <c r="AC1820" s="20"/>
      <c r="AD1820" s="19"/>
      <c r="AE1820" s="98"/>
    </row>
    <row r="1821" spans="11:31" x14ac:dyDescent="0.3">
      <c r="K1821" s="21"/>
      <c r="L1821" s="21"/>
      <c r="T1821" s="15"/>
      <c r="U1821" s="15"/>
      <c r="AB1821" s="19"/>
      <c r="AC1821" s="20"/>
      <c r="AD1821" s="19"/>
      <c r="AE1821" s="98"/>
    </row>
    <row r="1822" spans="11:31" x14ac:dyDescent="0.3">
      <c r="K1822" s="21"/>
      <c r="L1822" s="21"/>
      <c r="T1822" s="15"/>
      <c r="U1822" s="15"/>
      <c r="AB1822" s="19"/>
      <c r="AC1822" s="20"/>
      <c r="AD1822" s="19"/>
      <c r="AE1822" s="98"/>
    </row>
    <row r="1823" spans="11:31" x14ac:dyDescent="0.3">
      <c r="K1823" s="21"/>
      <c r="L1823" s="21"/>
      <c r="T1823" s="15"/>
      <c r="U1823" s="15"/>
      <c r="AB1823" s="19"/>
      <c r="AC1823" s="20"/>
      <c r="AD1823" s="19"/>
      <c r="AE1823" s="98"/>
    </row>
    <row r="1824" spans="11:31" x14ac:dyDescent="0.3">
      <c r="K1824" s="21"/>
      <c r="L1824" s="21"/>
      <c r="T1824" s="15"/>
      <c r="U1824" s="15"/>
      <c r="AB1824" s="19"/>
      <c r="AC1824" s="20"/>
      <c r="AD1824" s="19"/>
      <c r="AE1824" s="98"/>
    </row>
    <row r="1825" spans="11:31" x14ac:dyDescent="0.3">
      <c r="K1825" s="21"/>
      <c r="L1825" s="21"/>
      <c r="T1825" s="15"/>
      <c r="U1825" s="15"/>
      <c r="AB1825" s="19"/>
      <c r="AC1825" s="20"/>
      <c r="AD1825" s="19"/>
      <c r="AE1825" s="98"/>
    </row>
    <row r="1826" spans="11:31" x14ac:dyDescent="0.3">
      <c r="K1826" s="21"/>
      <c r="L1826" s="21"/>
      <c r="T1826" s="15"/>
      <c r="U1826" s="15"/>
      <c r="AB1826" s="19"/>
      <c r="AC1826" s="20"/>
      <c r="AD1826" s="19"/>
      <c r="AE1826" s="98"/>
    </row>
    <row r="1827" spans="11:31" x14ac:dyDescent="0.3">
      <c r="K1827" s="21"/>
      <c r="L1827" s="21"/>
      <c r="T1827" s="15"/>
      <c r="U1827" s="15"/>
      <c r="AB1827" s="19"/>
      <c r="AC1827" s="20"/>
      <c r="AD1827" s="19"/>
      <c r="AE1827" s="98"/>
    </row>
    <row r="1828" spans="11:31" x14ac:dyDescent="0.3">
      <c r="K1828" s="21"/>
      <c r="L1828" s="21"/>
      <c r="T1828" s="15"/>
      <c r="U1828" s="15"/>
      <c r="AB1828" s="19"/>
      <c r="AC1828" s="20"/>
      <c r="AD1828" s="19"/>
      <c r="AE1828" s="98"/>
    </row>
    <row r="1829" spans="11:31" x14ac:dyDescent="0.3">
      <c r="K1829" s="21"/>
      <c r="L1829" s="21"/>
      <c r="T1829" s="15"/>
      <c r="U1829" s="15"/>
      <c r="AB1829" s="19"/>
      <c r="AC1829" s="20"/>
      <c r="AD1829" s="19"/>
      <c r="AE1829" s="98"/>
    </row>
    <row r="1830" spans="11:31" x14ac:dyDescent="0.3">
      <c r="K1830" s="21"/>
      <c r="L1830" s="21"/>
      <c r="T1830" s="15"/>
      <c r="U1830" s="15"/>
      <c r="AB1830" s="19"/>
      <c r="AC1830" s="20"/>
      <c r="AD1830" s="19"/>
      <c r="AE1830" s="98"/>
    </row>
    <row r="1831" spans="11:31" x14ac:dyDescent="0.3">
      <c r="K1831" s="21"/>
      <c r="L1831" s="21"/>
      <c r="T1831" s="15"/>
      <c r="U1831" s="15"/>
      <c r="AB1831" s="19"/>
      <c r="AC1831" s="20"/>
      <c r="AD1831" s="19"/>
      <c r="AE1831" s="98"/>
    </row>
    <row r="1832" spans="11:31" x14ac:dyDescent="0.3">
      <c r="K1832" s="21"/>
      <c r="L1832" s="21"/>
      <c r="T1832" s="15"/>
      <c r="U1832" s="15"/>
      <c r="AB1832" s="19"/>
      <c r="AC1832" s="20"/>
      <c r="AD1832" s="19"/>
      <c r="AE1832" s="98"/>
    </row>
    <row r="1833" spans="11:31" x14ac:dyDescent="0.3">
      <c r="K1833" s="21"/>
      <c r="L1833" s="21"/>
      <c r="T1833" s="15"/>
      <c r="U1833" s="15"/>
      <c r="AB1833" s="19"/>
      <c r="AC1833" s="20"/>
      <c r="AD1833" s="19"/>
      <c r="AE1833" s="98"/>
    </row>
    <row r="1834" spans="11:31" x14ac:dyDescent="0.3">
      <c r="K1834" s="21"/>
      <c r="L1834" s="21"/>
      <c r="T1834" s="15"/>
      <c r="U1834" s="15"/>
      <c r="AB1834" s="19"/>
      <c r="AC1834" s="20"/>
      <c r="AD1834" s="19"/>
      <c r="AE1834" s="98"/>
    </row>
    <row r="1835" spans="11:31" x14ac:dyDescent="0.3">
      <c r="K1835" s="21"/>
      <c r="L1835" s="21"/>
      <c r="T1835" s="15"/>
      <c r="U1835" s="15"/>
      <c r="AB1835" s="19"/>
      <c r="AC1835" s="20"/>
      <c r="AD1835" s="19"/>
      <c r="AE1835" s="98"/>
    </row>
    <row r="1836" spans="11:31" x14ac:dyDescent="0.3">
      <c r="K1836" s="21"/>
      <c r="L1836" s="21"/>
      <c r="T1836" s="15"/>
      <c r="U1836" s="15"/>
      <c r="AB1836" s="19"/>
      <c r="AC1836" s="20"/>
      <c r="AD1836" s="19"/>
      <c r="AE1836" s="98"/>
    </row>
    <row r="1837" spans="11:31" x14ac:dyDescent="0.3">
      <c r="K1837" s="21"/>
      <c r="L1837" s="21"/>
      <c r="T1837" s="15"/>
      <c r="U1837" s="15"/>
      <c r="AB1837" s="19"/>
      <c r="AC1837" s="20"/>
      <c r="AD1837" s="19"/>
      <c r="AE1837" s="98"/>
    </row>
    <row r="1838" spans="11:31" x14ac:dyDescent="0.3">
      <c r="K1838" s="21"/>
      <c r="L1838" s="21"/>
      <c r="T1838" s="15"/>
      <c r="U1838" s="15"/>
      <c r="AB1838" s="19"/>
      <c r="AC1838" s="20"/>
      <c r="AD1838" s="19"/>
      <c r="AE1838" s="98"/>
    </row>
    <row r="1839" spans="11:31" x14ac:dyDescent="0.3">
      <c r="K1839" s="21"/>
      <c r="L1839" s="21"/>
      <c r="T1839" s="15"/>
      <c r="U1839" s="15"/>
      <c r="AB1839" s="19"/>
      <c r="AC1839" s="20"/>
      <c r="AD1839" s="19"/>
      <c r="AE1839" s="98"/>
    </row>
    <row r="1840" spans="11:31" x14ac:dyDescent="0.3">
      <c r="K1840" s="21"/>
      <c r="L1840" s="21"/>
      <c r="T1840" s="15"/>
      <c r="U1840" s="15"/>
      <c r="AB1840" s="19"/>
      <c r="AC1840" s="20"/>
      <c r="AD1840" s="19"/>
      <c r="AE1840" s="98"/>
    </row>
    <row r="1841" spans="11:31" x14ac:dyDescent="0.3">
      <c r="K1841" s="21"/>
      <c r="L1841" s="21"/>
      <c r="T1841" s="15"/>
      <c r="U1841" s="15"/>
      <c r="AB1841" s="19"/>
      <c r="AC1841" s="20"/>
      <c r="AD1841" s="19"/>
      <c r="AE1841" s="98"/>
    </row>
    <row r="1842" spans="11:31" x14ac:dyDescent="0.3">
      <c r="K1842" s="21"/>
      <c r="L1842" s="21"/>
      <c r="T1842" s="15"/>
      <c r="U1842" s="15"/>
      <c r="AB1842" s="19"/>
      <c r="AC1842" s="20"/>
      <c r="AD1842" s="19"/>
      <c r="AE1842" s="98"/>
    </row>
    <row r="1843" spans="11:31" x14ac:dyDescent="0.3">
      <c r="K1843" s="21"/>
      <c r="L1843" s="21"/>
      <c r="T1843" s="15"/>
      <c r="U1843" s="15"/>
      <c r="AB1843" s="19"/>
      <c r="AC1843" s="20"/>
      <c r="AD1843" s="19"/>
      <c r="AE1843" s="98"/>
    </row>
    <row r="1844" spans="11:31" x14ac:dyDescent="0.3">
      <c r="K1844" s="21"/>
      <c r="L1844" s="21"/>
      <c r="T1844" s="15"/>
      <c r="U1844" s="15"/>
      <c r="AB1844" s="19"/>
      <c r="AC1844" s="20"/>
      <c r="AD1844" s="19"/>
      <c r="AE1844" s="98"/>
    </row>
    <row r="1845" spans="11:31" x14ac:dyDescent="0.3">
      <c r="K1845" s="21"/>
      <c r="L1845" s="21"/>
      <c r="T1845" s="15"/>
      <c r="U1845" s="15"/>
      <c r="AB1845" s="19"/>
      <c r="AC1845" s="20"/>
      <c r="AD1845" s="19"/>
      <c r="AE1845" s="98"/>
    </row>
    <row r="1846" spans="11:31" x14ac:dyDescent="0.3">
      <c r="K1846" s="21"/>
      <c r="L1846" s="21"/>
      <c r="T1846" s="15"/>
      <c r="U1846" s="15"/>
      <c r="AB1846" s="19"/>
      <c r="AC1846" s="20"/>
      <c r="AD1846" s="19"/>
      <c r="AE1846" s="98"/>
    </row>
    <row r="1847" spans="11:31" x14ac:dyDescent="0.3">
      <c r="K1847" s="21"/>
      <c r="L1847" s="21"/>
      <c r="T1847" s="15"/>
      <c r="U1847" s="15"/>
      <c r="AB1847" s="19"/>
      <c r="AC1847" s="20"/>
      <c r="AD1847" s="19"/>
      <c r="AE1847" s="98"/>
    </row>
    <row r="1848" spans="11:31" x14ac:dyDescent="0.3">
      <c r="K1848" s="21"/>
      <c r="L1848" s="21"/>
      <c r="T1848" s="15"/>
      <c r="U1848" s="15"/>
      <c r="AB1848" s="19"/>
      <c r="AC1848" s="20"/>
      <c r="AD1848" s="19"/>
      <c r="AE1848" s="98"/>
    </row>
    <row r="1849" spans="11:31" x14ac:dyDescent="0.3">
      <c r="K1849" s="21"/>
      <c r="L1849" s="21"/>
      <c r="T1849" s="15"/>
      <c r="U1849" s="15"/>
      <c r="AB1849" s="19"/>
      <c r="AC1849" s="20"/>
      <c r="AD1849" s="19"/>
      <c r="AE1849" s="98"/>
    </row>
    <row r="1850" spans="11:31" x14ac:dyDescent="0.3">
      <c r="K1850" s="21"/>
      <c r="L1850" s="21"/>
      <c r="T1850" s="15"/>
      <c r="U1850" s="15"/>
      <c r="AB1850" s="19"/>
      <c r="AC1850" s="20"/>
      <c r="AD1850" s="19"/>
      <c r="AE1850" s="98"/>
    </row>
    <row r="1851" spans="11:31" x14ac:dyDescent="0.3">
      <c r="K1851" s="21"/>
      <c r="L1851" s="21"/>
      <c r="T1851" s="15"/>
      <c r="U1851" s="15"/>
      <c r="AB1851" s="19"/>
      <c r="AC1851" s="20"/>
      <c r="AD1851" s="19"/>
      <c r="AE1851" s="98"/>
    </row>
    <row r="1852" spans="11:31" x14ac:dyDescent="0.3">
      <c r="K1852" s="21"/>
      <c r="L1852" s="21"/>
      <c r="T1852" s="15"/>
      <c r="U1852" s="15"/>
      <c r="AB1852" s="19"/>
      <c r="AC1852" s="20"/>
      <c r="AD1852" s="19"/>
      <c r="AE1852" s="98"/>
    </row>
    <row r="1853" spans="11:31" x14ac:dyDescent="0.3">
      <c r="K1853" s="21"/>
      <c r="L1853" s="21"/>
      <c r="T1853" s="15"/>
      <c r="U1853" s="15"/>
      <c r="AB1853" s="19"/>
      <c r="AC1853" s="20"/>
      <c r="AD1853" s="19"/>
      <c r="AE1853" s="98"/>
    </row>
    <row r="1854" spans="11:31" x14ac:dyDescent="0.3">
      <c r="K1854" s="21"/>
      <c r="L1854" s="21"/>
      <c r="T1854" s="15"/>
      <c r="U1854" s="15"/>
      <c r="AB1854" s="19"/>
      <c r="AC1854" s="20"/>
      <c r="AD1854" s="19"/>
      <c r="AE1854" s="98"/>
    </row>
    <row r="1855" spans="11:31" x14ac:dyDescent="0.3">
      <c r="K1855" s="21"/>
      <c r="L1855" s="21"/>
      <c r="T1855" s="15"/>
      <c r="U1855" s="15"/>
      <c r="AB1855" s="19"/>
      <c r="AC1855" s="20"/>
      <c r="AD1855" s="19"/>
      <c r="AE1855" s="98"/>
    </row>
    <row r="1856" spans="11:31" x14ac:dyDescent="0.3">
      <c r="K1856" s="21"/>
      <c r="L1856" s="21"/>
      <c r="T1856" s="15"/>
      <c r="U1856" s="15"/>
      <c r="AB1856" s="19"/>
      <c r="AC1856" s="20"/>
      <c r="AD1856" s="19"/>
      <c r="AE1856" s="98"/>
    </row>
    <row r="1857" spans="11:31" x14ac:dyDescent="0.3">
      <c r="K1857" s="21"/>
      <c r="L1857" s="21"/>
      <c r="T1857" s="15"/>
      <c r="U1857" s="15"/>
      <c r="AB1857" s="19"/>
      <c r="AC1857" s="20"/>
      <c r="AD1857" s="19"/>
      <c r="AE1857" s="98"/>
    </row>
    <row r="1858" spans="11:31" x14ac:dyDescent="0.3">
      <c r="K1858" s="21"/>
      <c r="L1858" s="21"/>
      <c r="T1858" s="15"/>
      <c r="U1858" s="15"/>
      <c r="AB1858" s="19"/>
      <c r="AC1858" s="20"/>
      <c r="AD1858" s="19"/>
      <c r="AE1858" s="98"/>
    </row>
    <row r="1859" spans="11:31" x14ac:dyDescent="0.3">
      <c r="K1859" s="21"/>
      <c r="L1859" s="21"/>
      <c r="T1859" s="15"/>
      <c r="U1859" s="15"/>
      <c r="AB1859" s="19"/>
      <c r="AC1859" s="20"/>
      <c r="AD1859" s="19"/>
      <c r="AE1859" s="98"/>
    </row>
    <row r="1860" spans="11:31" x14ac:dyDescent="0.3">
      <c r="K1860" s="21"/>
      <c r="L1860" s="21"/>
      <c r="T1860" s="15"/>
      <c r="U1860" s="15"/>
      <c r="AB1860" s="19"/>
      <c r="AC1860" s="20"/>
      <c r="AD1860" s="19"/>
      <c r="AE1860" s="98"/>
    </row>
    <row r="1861" spans="11:31" x14ac:dyDescent="0.3">
      <c r="K1861" s="21"/>
      <c r="L1861" s="21"/>
      <c r="T1861" s="15"/>
      <c r="U1861" s="15"/>
      <c r="AB1861" s="19"/>
      <c r="AC1861" s="20"/>
      <c r="AD1861" s="19"/>
      <c r="AE1861" s="98"/>
    </row>
    <row r="1862" spans="11:31" x14ac:dyDescent="0.3">
      <c r="K1862" s="21"/>
      <c r="L1862" s="21"/>
      <c r="T1862" s="15"/>
      <c r="U1862" s="15"/>
      <c r="AB1862" s="19"/>
      <c r="AC1862" s="20"/>
      <c r="AD1862" s="19"/>
      <c r="AE1862" s="98"/>
    </row>
    <row r="1863" spans="11:31" x14ac:dyDescent="0.3">
      <c r="K1863" s="21"/>
      <c r="L1863" s="21"/>
      <c r="T1863" s="15"/>
      <c r="U1863" s="15"/>
      <c r="AB1863" s="19"/>
      <c r="AC1863" s="20"/>
      <c r="AD1863" s="19"/>
      <c r="AE1863" s="98"/>
    </row>
    <row r="1864" spans="11:31" x14ac:dyDescent="0.3">
      <c r="K1864" s="21"/>
      <c r="L1864" s="21"/>
      <c r="T1864" s="15"/>
      <c r="U1864" s="15"/>
      <c r="AB1864" s="19"/>
      <c r="AC1864" s="20"/>
      <c r="AD1864" s="19"/>
      <c r="AE1864" s="98"/>
    </row>
    <row r="1865" spans="11:31" x14ac:dyDescent="0.3">
      <c r="K1865" s="21"/>
      <c r="L1865" s="21"/>
      <c r="T1865" s="15"/>
      <c r="U1865" s="15"/>
      <c r="AB1865" s="19"/>
      <c r="AC1865" s="20"/>
      <c r="AD1865" s="19"/>
      <c r="AE1865" s="98"/>
    </row>
    <row r="1866" spans="11:31" x14ac:dyDescent="0.3">
      <c r="K1866" s="21"/>
      <c r="L1866" s="21"/>
      <c r="T1866" s="15"/>
      <c r="U1866" s="15"/>
      <c r="AB1866" s="19"/>
      <c r="AC1866" s="20"/>
      <c r="AD1866" s="19"/>
      <c r="AE1866" s="98"/>
    </row>
    <row r="1867" spans="11:31" x14ac:dyDescent="0.3">
      <c r="K1867" s="21"/>
      <c r="L1867" s="21"/>
      <c r="T1867" s="15"/>
      <c r="U1867" s="15"/>
      <c r="AB1867" s="19"/>
      <c r="AC1867" s="20"/>
      <c r="AD1867" s="19"/>
      <c r="AE1867" s="98"/>
    </row>
    <row r="1868" spans="11:31" x14ac:dyDescent="0.3">
      <c r="K1868" s="21"/>
      <c r="L1868" s="21"/>
      <c r="T1868" s="15"/>
      <c r="U1868" s="15"/>
      <c r="AB1868" s="19"/>
      <c r="AC1868" s="20"/>
      <c r="AD1868" s="19"/>
      <c r="AE1868" s="98"/>
    </row>
    <row r="1869" spans="11:31" x14ac:dyDescent="0.3">
      <c r="K1869" s="21"/>
      <c r="L1869" s="21"/>
      <c r="T1869" s="15"/>
      <c r="U1869" s="15"/>
      <c r="AB1869" s="19"/>
      <c r="AC1869" s="20"/>
      <c r="AD1869" s="19"/>
      <c r="AE1869" s="98"/>
    </row>
    <row r="1870" spans="11:31" x14ac:dyDescent="0.3">
      <c r="K1870" s="21"/>
      <c r="L1870" s="21"/>
      <c r="T1870" s="15"/>
      <c r="U1870" s="15"/>
      <c r="AB1870" s="19"/>
      <c r="AC1870" s="20"/>
      <c r="AD1870" s="19"/>
      <c r="AE1870" s="98"/>
    </row>
    <row r="1871" spans="11:31" x14ac:dyDescent="0.3">
      <c r="K1871" s="21"/>
      <c r="L1871" s="21"/>
      <c r="T1871" s="15"/>
      <c r="U1871" s="15"/>
      <c r="AB1871" s="19"/>
      <c r="AC1871" s="20"/>
      <c r="AD1871" s="19"/>
      <c r="AE1871" s="98"/>
    </row>
    <row r="1872" spans="11:31" x14ac:dyDescent="0.3">
      <c r="K1872" s="21"/>
      <c r="L1872" s="21"/>
      <c r="T1872" s="15"/>
      <c r="U1872" s="15"/>
      <c r="AB1872" s="19"/>
      <c r="AC1872" s="20"/>
      <c r="AD1872" s="19"/>
      <c r="AE1872" s="98"/>
    </row>
    <row r="1873" spans="11:31" x14ac:dyDescent="0.3">
      <c r="K1873" s="21"/>
      <c r="L1873" s="21"/>
      <c r="T1873" s="15"/>
      <c r="U1873" s="15"/>
      <c r="AB1873" s="19"/>
      <c r="AC1873" s="20"/>
      <c r="AD1873" s="19"/>
      <c r="AE1873" s="98"/>
    </row>
    <row r="1874" spans="11:31" x14ac:dyDescent="0.3">
      <c r="K1874" s="21"/>
      <c r="L1874" s="21"/>
      <c r="T1874" s="15"/>
      <c r="U1874" s="15"/>
      <c r="AB1874" s="19"/>
      <c r="AC1874" s="20"/>
      <c r="AD1874" s="19"/>
      <c r="AE1874" s="98"/>
    </row>
    <row r="1875" spans="11:31" x14ac:dyDescent="0.3">
      <c r="K1875" s="21"/>
      <c r="L1875" s="21"/>
      <c r="T1875" s="15"/>
      <c r="U1875" s="15"/>
      <c r="AB1875" s="19"/>
      <c r="AC1875" s="20"/>
      <c r="AD1875" s="19"/>
      <c r="AE1875" s="98"/>
    </row>
    <row r="1876" spans="11:31" x14ac:dyDescent="0.3">
      <c r="K1876" s="21"/>
      <c r="L1876" s="21"/>
      <c r="T1876" s="15"/>
      <c r="U1876" s="15"/>
      <c r="AB1876" s="19"/>
      <c r="AC1876" s="20"/>
      <c r="AD1876" s="19"/>
      <c r="AE1876" s="98"/>
    </row>
    <row r="1877" spans="11:31" x14ac:dyDescent="0.3">
      <c r="K1877" s="21"/>
      <c r="L1877" s="21"/>
      <c r="T1877" s="15"/>
      <c r="U1877" s="15"/>
      <c r="AB1877" s="19"/>
      <c r="AC1877" s="20"/>
      <c r="AD1877" s="19"/>
      <c r="AE1877" s="98"/>
    </row>
    <row r="1878" spans="11:31" x14ac:dyDescent="0.3">
      <c r="K1878" s="21"/>
      <c r="L1878" s="21"/>
      <c r="T1878" s="15"/>
      <c r="U1878" s="15"/>
      <c r="AB1878" s="19"/>
      <c r="AC1878" s="20"/>
      <c r="AD1878" s="19"/>
      <c r="AE1878" s="98"/>
    </row>
    <row r="1879" spans="11:31" x14ac:dyDescent="0.3">
      <c r="K1879" s="21"/>
      <c r="L1879" s="21"/>
      <c r="T1879" s="15"/>
      <c r="U1879" s="15"/>
      <c r="AB1879" s="19"/>
      <c r="AC1879" s="20"/>
      <c r="AD1879" s="19"/>
      <c r="AE1879" s="98"/>
    </row>
    <row r="1880" spans="11:31" x14ac:dyDescent="0.3">
      <c r="K1880" s="21"/>
      <c r="L1880" s="21"/>
      <c r="T1880" s="15"/>
      <c r="U1880" s="15"/>
      <c r="AB1880" s="19"/>
      <c r="AC1880" s="20"/>
      <c r="AD1880" s="19"/>
      <c r="AE1880" s="98"/>
    </row>
    <row r="1881" spans="11:31" x14ac:dyDescent="0.3">
      <c r="K1881" s="21"/>
      <c r="L1881" s="21"/>
      <c r="T1881" s="15"/>
      <c r="U1881" s="15"/>
      <c r="AB1881" s="19"/>
      <c r="AC1881" s="20"/>
      <c r="AD1881" s="19"/>
      <c r="AE1881" s="98"/>
    </row>
    <row r="1882" spans="11:31" x14ac:dyDescent="0.3">
      <c r="K1882" s="21"/>
      <c r="L1882" s="21"/>
      <c r="T1882" s="15"/>
      <c r="U1882" s="15"/>
      <c r="AB1882" s="19"/>
      <c r="AC1882" s="20"/>
      <c r="AD1882" s="19"/>
      <c r="AE1882" s="98"/>
    </row>
    <row r="1883" spans="11:31" x14ac:dyDescent="0.3">
      <c r="K1883" s="21"/>
      <c r="L1883" s="21"/>
      <c r="T1883" s="15"/>
      <c r="U1883" s="15"/>
      <c r="AB1883" s="19"/>
      <c r="AC1883" s="20"/>
      <c r="AD1883" s="19"/>
      <c r="AE1883" s="98"/>
    </row>
    <row r="1884" spans="11:31" x14ac:dyDescent="0.3">
      <c r="K1884" s="21"/>
      <c r="L1884" s="21"/>
      <c r="T1884" s="15"/>
      <c r="U1884" s="15"/>
      <c r="AB1884" s="19"/>
      <c r="AC1884" s="20"/>
      <c r="AD1884" s="19"/>
      <c r="AE1884" s="98"/>
    </row>
    <row r="1885" spans="11:31" x14ac:dyDescent="0.3">
      <c r="K1885" s="21"/>
      <c r="L1885" s="21"/>
      <c r="T1885" s="15"/>
      <c r="U1885" s="15"/>
      <c r="AB1885" s="19"/>
      <c r="AC1885" s="20"/>
      <c r="AD1885" s="19"/>
      <c r="AE1885" s="98"/>
    </row>
    <row r="1886" spans="11:31" x14ac:dyDescent="0.3">
      <c r="K1886" s="21"/>
      <c r="L1886" s="21"/>
      <c r="T1886" s="15"/>
      <c r="U1886" s="15"/>
      <c r="AB1886" s="19"/>
      <c r="AC1886" s="20"/>
      <c r="AD1886" s="19"/>
      <c r="AE1886" s="98"/>
    </row>
    <row r="1887" spans="11:31" x14ac:dyDescent="0.3">
      <c r="K1887" s="21"/>
      <c r="L1887" s="21"/>
      <c r="T1887" s="15"/>
      <c r="U1887" s="15"/>
      <c r="AB1887" s="19"/>
      <c r="AC1887" s="20"/>
      <c r="AD1887" s="19"/>
      <c r="AE1887" s="98"/>
    </row>
    <row r="1888" spans="11:31" x14ac:dyDescent="0.3">
      <c r="K1888" s="21"/>
      <c r="L1888" s="21"/>
      <c r="T1888" s="15"/>
      <c r="U1888" s="15"/>
      <c r="AB1888" s="19"/>
      <c r="AC1888" s="20"/>
      <c r="AD1888" s="19"/>
      <c r="AE1888" s="98"/>
    </row>
    <row r="1889" spans="11:31" x14ac:dyDescent="0.3">
      <c r="K1889" s="21"/>
      <c r="L1889" s="21"/>
      <c r="T1889" s="15"/>
      <c r="U1889" s="15"/>
      <c r="AB1889" s="19"/>
      <c r="AC1889" s="20"/>
      <c r="AD1889" s="19"/>
      <c r="AE1889" s="98"/>
    </row>
    <row r="1890" spans="11:31" x14ac:dyDescent="0.3">
      <c r="K1890" s="21"/>
      <c r="L1890" s="21"/>
      <c r="T1890" s="15"/>
      <c r="U1890" s="15"/>
      <c r="AB1890" s="19"/>
      <c r="AC1890" s="20"/>
      <c r="AD1890" s="19"/>
      <c r="AE1890" s="98"/>
    </row>
    <row r="1891" spans="11:31" x14ac:dyDescent="0.3">
      <c r="K1891" s="21"/>
      <c r="L1891" s="21"/>
      <c r="T1891" s="15"/>
      <c r="U1891" s="15"/>
      <c r="AB1891" s="19"/>
      <c r="AC1891" s="20"/>
      <c r="AD1891" s="19"/>
      <c r="AE1891" s="98"/>
    </row>
    <row r="1892" spans="11:31" x14ac:dyDescent="0.3">
      <c r="K1892" s="21"/>
      <c r="L1892" s="21"/>
      <c r="T1892" s="15"/>
      <c r="U1892" s="15"/>
      <c r="AB1892" s="19"/>
      <c r="AC1892" s="20"/>
      <c r="AD1892" s="19"/>
      <c r="AE1892" s="98"/>
    </row>
    <row r="1893" spans="11:31" x14ac:dyDescent="0.3">
      <c r="K1893" s="21"/>
      <c r="L1893" s="21"/>
      <c r="T1893" s="15"/>
      <c r="U1893" s="15"/>
      <c r="AB1893" s="19"/>
      <c r="AC1893" s="20"/>
      <c r="AD1893" s="19"/>
      <c r="AE1893" s="98"/>
    </row>
    <row r="1894" spans="11:31" x14ac:dyDescent="0.3">
      <c r="K1894" s="21"/>
      <c r="L1894" s="21"/>
      <c r="T1894" s="15"/>
      <c r="U1894" s="15"/>
      <c r="AB1894" s="19"/>
      <c r="AC1894" s="20"/>
      <c r="AD1894" s="19"/>
      <c r="AE1894" s="98"/>
    </row>
    <row r="1895" spans="11:31" x14ac:dyDescent="0.3">
      <c r="K1895" s="21"/>
      <c r="L1895" s="21"/>
      <c r="T1895" s="15"/>
      <c r="U1895" s="15"/>
      <c r="AB1895" s="19"/>
      <c r="AC1895" s="20"/>
      <c r="AD1895" s="19"/>
      <c r="AE1895" s="98"/>
    </row>
    <row r="1896" spans="11:31" x14ac:dyDescent="0.3">
      <c r="K1896" s="21"/>
      <c r="L1896" s="21"/>
      <c r="T1896" s="15"/>
      <c r="U1896" s="15"/>
      <c r="AB1896" s="19"/>
      <c r="AC1896" s="20"/>
      <c r="AD1896" s="19"/>
      <c r="AE1896" s="98"/>
    </row>
    <row r="1897" spans="11:31" x14ac:dyDescent="0.3">
      <c r="K1897" s="21"/>
      <c r="L1897" s="21"/>
      <c r="T1897" s="15"/>
      <c r="U1897" s="15"/>
      <c r="AB1897" s="19"/>
      <c r="AC1897" s="20"/>
      <c r="AD1897" s="19"/>
      <c r="AE1897" s="98"/>
    </row>
    <row r="1898" spans="11:31" x14ac:dyDescent="0.3">
      <c r="K1898" s="21"/>
      <c r="L1898" s="21"/>
      <c r="T1898" s="15"/>
      <c r="U1898" s="15"/>
      <c r="AB1898" s="19"/>
      <c r="AC1898" s="20"/>
      <c r="AD1898" s="19"/>
      <c r="AE1898" s="98"/>
    </row>
    <row r="1899" spans="11:31" x14ac:dyDescent="0.3">
      <c r="K1899" s="21"/>
      <c r="L1899" s="21"/>
      <c r="T1899" s="15"/>
      <c r="U1899" s="15"/>
      <c r="AB1899" s="19"/>
      <c r="AC1899" s="20"/>
      <c r="AD1899" s="19"/>
      <c r="AE1899" s="98"/>
    </row>
    <row r="1900" spans="11:31" x14ac:dyDescent="0.3">
      <c r="K1900" s="21"/>
      <c r="L1900" s="21"/>
      <c r="T1900" s="15"/>
      <c r="U1900" s="15"/>
      <c r="AB1900" s="19"/>
      <c r="AC1900" s="20"/>
      <c r="AD1900" s="19"/>
      <c r="AE1900" s="98"/>
    </row>
    <row r="1901" spans="11:31" x14ac:dyDescent="0.3">
      <c r="K1901" s="21"/>
      <c r="L1901" s="21"/>
      <c r="T1901" s="15"/>
      <c r="U1901" s="15"/>
      <c r="AB1901" s="19"/>
      <c r="AC1901" s="20"/>
      <c r="AD1901" s="19"/>
      <c r="AE1901" s="98"/>
    </row>
    <row r="1902" spans="11:31" x14ac:dyDescent="0.3">
      <c r="K1902" s="21"/>
      <c r="L1902" s="21"/>
      <c r="T1902" s="15"/>
      <c r="U1902" s="15"/>
      <c r="AB1902" s="19"/>
      <c r="AC1902" s="20"/>
      <c r="AD1902" s="19"/>
      <c r="AE1902" s="98"/>
    </row>
    <row r="1903" spans="11:31" x14ac:dyDescent="0.3">
      <c r="K1903" s="21"/>
      <c r="L1903" s="21"/>
      <c r="T1903" s="15"/>
      <c r="U1903" s="15"/>
      <c r="AB1903" s="19"/>
      <c r="AC1903" s="20"/>
      <c r="AD1903" s="19"/>
      <c r="AE1903" s="98"/>
    </row>
    <row r="1904" spans="11:31" x14ac:dyDescent="0.3">
      <c r="K1904" s="21"/>
      <c r="L1904" s="21"/>
      <c r="T1904" s="15"/>
      <c r="U1904" s="15"/>
      <c r="AB1904" s="19"/>
      <c r="AC1904" s="20"/>
      <c r="AD1904" s="19"/>
      <c r="AE1904" s="98"/>
    </row>
    <row r="1905" spans="11:31" x14ac:dyDescent="0.3">
      <c r="K1905" s="21"/>
      <c r="L1905" s="21"/>
      <c r="T1905" s="15"/>
      <c r="U1905" s="15"/>
      <c r="AB1905" s="19"/>
      <c r="AC1905" s="20"/>
      <c r="AD1905" s="19"/>
      <c r="AE1905" s="98"/>
    </row>
    <row r="1906" spans="11:31" x14ac:dyDescent="0.3">
      <c r="K1906" s="21"/>
      <c r="L1906" s="21"/>
      <c r="T1906" s="15"/>
      <c r="U1906" s="15"/>
      <c r="AB1906" s="19"/>
      <c r="AC1906" s="20"/>
      <c r="AD1906" s="19"/>
      <c r="AE1906" s="98"/>
    </row>
    <row r="1907" spans="11:31" x14ac:dyDescent="0.3">
      <c r="K1907" s="21"/>
      <c r="L1907" s="21"/>
      <c r="T1907" s="15"/>
      <c r="U1907" s="15"/>
      <c r="AB1907" s="19"/>
      <c r="AC1907" s="20"/>
      <c r="AD1907" s="19"/>
      <c r="AE1907" s="98"/>
    </row>
    <row r="1908" spans="11:31" x14ac:dyDescent="0.3">
      <c r="K1908" s="21"/>
      <c r="L1908" s="21"/>
      <c r="T1908" s="15"/>
      <c r="U1908" s="15"/>
      <c r="AB1908" s="19"/>
      <c r="AC1908" s="20"/>
      <c r="AD1908" s="19"/>
      <c r="AE1908" s="98"/>
    </row>
    <row r="1909" spans="11:31" x14ac:dyDescent="0.3">
      <c r="K1909" s="21"/>
      <c r="L1909" s="21"/>
      <c r="T1909" s="15"/>
      <c r="U1909" s="15"/>
      <c r="AB1909" s="19"/>
      <c r="AC1909" s="20"/>
      <c r="AD1909" s="19"/>
      <c r="AE1909" s="98"/>
    </row>
    <row r="1910" spans="11:31" x14ac:dyDescent="0.3">
      <c r="K1910" s="21"/>
      <c r="L1910" s="21"/>
      <c r="T1910" s="15"/>
      <c r="U1910" s="15"/>
      <c r="AB1910" s="19"/>
      <c r="AC1910" s="20"/>
      <c r="AD1910" s="19"/>
      <c r="AE1910" s="98"/>
    </row>
    <row r="1911" spans="11:31" x14ac:dyDescent="0.3">
      <c r="K1911" s="21"/>
      <c r="L1911" s="21"/>
      <c r="T1911" s="15"/>
      <c r="U1911" s="15"/>
      <c r="AB1911" s="19"/>
      <c r="AC1911" s="20"/>
      <c r="AD1911" s="19"/>
      <c r="AE1911" s="98"/>
    </row>
    <row r="1912" spans="11:31" x14ac:dyDescent="0.3">
      <c r="K1912" s="21"/>
      <c r="L1912" s="21"/>
      <c r="T1912" s="15"/>
      <c r="U1912" s="15"/>
      <c r="AB1912" s="19"/>
      <c r="AC1912" s="20"/>
      <c r="AD1912" s="19"/>
      <c r="AE1912" s="98"/>
    </row>
    <row r="1913" spans="11:31" x14ac:dyDescent="0.3">
      <c r="K1913" s="21"/>
      <c r="L1913" s="21"/>
      <c r="T1913" s="15"/>
      <c r="U1913" s="15"/>
      <c r="AB1913" s="19"/>
      <c r="AC1913" s="20"/>
      <c r="AD1913" s="19"/>
      <c r="AE1913" s="98"/>
    </row>
    <row r="1914" spans="11:31" x14ac:dyDescent="0.3">
      <c r="K1914" s="21"/>
      <c r="L1914" s="21"/>
      <c r="T1914" s="15"/>
      <c r="U1914" s="15"/>
      <c r="AB1914" s="19"/>
      <c r="AC1914" s="20"/>
      <c r="AD1914" s="19"/>
      <c r="AE1914" s="98"/>
    </row>
    <row r="1915" spans="11:31" x14ac:dyDescent="0.3">
      <c r="K1915" s="21"/>
      <c r="L1915" s="21"/>
      <c r="T1915" s="15"/>
      <c r="U1915" s="15"/>
      <c r="AB1915" s="19"/>
      <c r="AC1915" s="20"/>
      <c r="AD1915" s="19"/>
      <c r="AE1915" s="98"/>
    </row>
    <row r="1916" spans="11:31" x14ac:dyDescent="0.3">
      <c r="K1916" s="21"/>
      <c r="L1916" s="21"/>
      <c r="T1916" s="15"/>
      <c r="U1916" s="15"/>
      <c r="AB1916" s="19"/>
      <c r="AC1916" s="20"/>
      <c r="AD1916" s="19"/>
      <c r="AE1916" s="98"/>
    </row>
    <row r="1917" spans="11:31" x14ac:dyDescent="0.3">
      <c r="K1917" s="21"/>
      <c r="L1917" s="21"/>
      <c r="T1917" s="15"/>
      <c r="U1917" s="15"/>
      <c r="AB1917" s="19"/>
      <c r="AC1917" s="20"/>
      <c r="AD1917" s="19"/>
      <c r="AE1917" s="98"/>
    </row>
    <row r="1918" spans="11:31" x14ac:dyDescent="0.3">
      <c r="K1918" s="21"/>
      <c r="L1918" s="21"/>
      <c r="T1918" s="15"/>
      <c r="U1918" s="15"/>
      <c r="AB1918" s="19"/>
      <c r="AC1918" s="20"/>
      <c r="AD1918" s="19"/>
      <c r="AE1918" s="98"/>
    </row>
    <row r="1919" spans="11:31" x14ac:dyDescent="0.3">
      <c r="K1919" s="21"/>
      <c r="L1919" s="21"/>
      <c r="T1919" s="15"/>
      <c r="U1919" s="15"/>
      <c r="AB1919" s="19"/>
      <c r="AC1919" s="20"/>
      <c r="AD1919" s="19"/>
      <c r="AE1919" s="98"/>
    </row>
    <row r="1920" spans="11:31" x14ac:dyDescent="0.3">
      <c r="K1920" s="21"/>
      <c r="L1920" s="21"/>
      <c r="T1920" s="15"/>
      <c r="U1920" s="15"/>
      <c r="AB1920" s="19"/>
      <c r="AC1920" s="20"/>
      <c r="AD1920" s="19"/>
      <c r="AE1920" s="98"/>
    </row>
    <row r="1921" spans="11:31" x14ac:dyDescent="0.3">
      <c r="K1921" s="21"/>
      <c r="L1921" s="21"/>
      <c r="T1921" s="15"/>
      <c r="U1921" s="15"/>
      <c r="AB1921" s="19"/>
      <c r="AC1921" s="20"/>
      <c r="AD1921" s="19"/>
      <c r="AE1921" s="98"/>
    </row>
    <row r="1922" spans="11:31" x14ac:dyDescent="0.3">
      <c r="K1922" s="21"/>
      <c r="L1922" s="21"/>
      <c r="T1922" s="15"/>
      <c r="U1922" s="15"/>
      <c r="AB1922" s="19"/>
      <c r="AC1922" s="20"/>
      <c r="AD1922" s="19"/>
      <c r="AE1922" s="98"/>
    </row>
    <row r="1923" spans="11:31" x14ac:dyDescent="0.3">
      <c r="K1923" s="21"/>
      <c r="L1923" s="21"/>
      <c r="T1923" s="15"/>
      <c r="U1923" s="15"/>
      <c r="AB1923" s="19"/>
      <c r="AC1923" s="20"/>
      <c r="AD1923" s="19"/>
      <c r="AE1923" s="98"/>
    </row>
    <row r="1924" spans="11:31" x14ac:dyDescent="0.3">
      <c r="K1924" s="21"/>
      <c r="L1924" s="21"/>
      <c r="T1924" s="15"/>
      <c r="U1924" s="15"/>
      <c r="AB1924" s="19"/>
      <c r="AC1924" s="20"/>
      <c r="AD1924" s="19"/>
      <c r="AE1924" s="98"/>
    </row>
    <row r="1925" spans="11:31" x14ac:dyDescent="0.3">
      <c r="K1925" s="21"/>
      <c r="L1925" s="21"/>
      <c r="T1925" s="15"/>
      <c r="U1925" s="15"/>
      <c r="AB1925" s="19"/>
      <c r="AC1925" s="20"/>
      <c r="AD1925" s="19"/>
      <c r="AE1925" s="98"/>
    </row>
    <row r="1926" spans="11:31" x14ac:dyDescent="0.3">
      <c r="K1926" s="21"/>
      <c r="L1926" s="21"/>
      <c r="T1926" s="15"/>
      <c r="U1926" s="15"/>
      <c r="AB1926" s="19"/>
      <c r="AC1926" s="20"/>
      <c r="AD1926" s="19"/>
      <c r="AE1926" s="98"/>
    </row>
    <row r="1927" spans="11:31" x14ac:dyDescent="0.3">
      <c r="K1927" s="21"/>
      <c r="L1927" s="21"/>
      <c r="T1927" s="15"/>
      <c r="U1927" s="15"/>
      <c r="AB1927" s="19"/>
      <c r="AC1927" s="20"/>
      <c r="AD1927" s="19"/>
      <c r="AE1927" s="98"/>
    </row>
    <row r="1928" spans="11:31" x14ac:dyDescent="0.3">
      <c r="K1928" s="21"/>
      <c r="L1928" s="21"/>
      <c r="T1928" s="15"/>
      <c r="U1928" s="15"/>
      <c r="AB1928" s="19"/>
      <c r="AC1928" s="20"/>
      <c r="AD1928" s="19"/>
      <c r="AE1928" s="98"/>
    </row>
    <row r="1929" spans="11:31" x14ac:dyDescent="0.3">
      <c r="K1929" s="21"/>
      <c r="L1929" s="21"/>
      <c r="T1929" s="15"/>
      <c r="U1929" s="15"/>
      <c r="AB1929" s="19"/>
      <c r="AC1929" s="20"/>
      <c r="AD1929" s="19"/>
      <c r="AE1929" s="98"/>
    </row>
    <row r="1930" spans="11:31" x14ac:dyDescent="0.3">
      <c r="K1930" s="21"/>
      <c r="L1930" s="21"/>
      <c r="T1930" s="15"/>
      <c r="U1930" s="15"/>
      <c r="AB1930" s="19"/>
      <c r="AC1930" s="20"/>
      <c r="AD1930" s="19"/>
      <c r="AE1930" s="98"/>
    </row>
    <row r="1931" spans="11:31" x14ac:dyDescent="0.3">
      <c r="K1931" s="21"/>
      <c r="L1931" s="21"/>
      <c r="T1931" s="15"/>
      <c r="U1931" s="15"/>
      <c r="AB1931" s="19"/>
      <c r="AC1931" s="20"/>
      <c r="AD1931" s="19"/>
      <c r="AE1931" s="98"/>
    </row>
    <row r="1932" spans="11:31" x14ac:dyDescent="0.3">
      <c r="K1932" s="21"/>
      <c r="L1932" s="21"/>
      <c r="T1932" s="15"/>
      <c r="U1932" s="15"/>
      <c r="AB1932" s="19"/>
      <c r="AC1932" s="20"/>
      <c r="AD1932" s="19"/>
      <c r="AE1932" s="98"/>
    </row>
    <row r="1933" spans="11:31" x14ac:dyDescent="0.3">
      <c r="K1933" s="21"/>
      <c r="L1933" s="21"/>
      <c r="T1933" s="15"/>
      <c r="U1933" s="15"/>
      <c r="AB1933" s="19"/>
      <c r="AC1933" s="20"/>
      <c r="AD1933" s="19"/>
      <c r="AE1933" s="98"/>
    </row>
    <row r="1934" spans="11:31" x14ac:dyDescent="0.3">
      <c r="K1934" s="21"/>
      <c r="L1934" s="21"/>
      <c r="T1934" s="15"/>
      <c r="U1934" s="15"/>
      <c r="AB1934" s="19"/>
      <c r="AC1934" s="20"/>
      <c r="AD1934" s="19"/>
      <c r="AE1934" s="98"/>
    </row>
    <row r="1935" spans="11:31" x14ac:dyDescent="0.3">
      <c r="K1935" s="21"/>
      <c r="L1935" s="21"/>
      <c r="T1935" s="15"/>
      <c r="U1935" s="15"/>
      <c r="AB1935" s="19"/>
      <c r="AC1935" s="20"/>
      <c r="AD1935" s="19"/>
      <c r="AE1935" s="98"/>
    </row>
    <row r="1936" spans="11:31" x14ac:dyDescent="0.3">
      <c r="K1936" s="21"/>
      <c r="L1936" s="21"/>
      <c r="T1936" s="15"/>
      <c r="U1936" s="15"/>
      <c r="AB1936" s="19"/>
      <c r="AC1936" s="20"/>
      <c r="AD1936" s="19"/>
      <c r="AE1936" s="98"/>
    </row>
    <row r="1937" spans="11:31" x14ac:dyDescent="0.3">
      <c r="K1937" s="21"/>
      <c r="L1937" s="21"/>
      <c r="T1937" s="15"/>
      <c r="U1937" s="15"/>
      <c r="AB1937" s="19"/>
      <c r="AC1937" s="20"/>
      <c r="AD1937" s="19"/>
      <c r="AE1937" s="98"/>
    </row>
    <row r="1938" spans="11:31" x14ac:dyDescent="0.3">
      <c r="K1938" s="21"/>
      <c r="L1938" s="21"/>
      <c r="T1938" s="15"/>
      <c r="U1938" s="15"/>
      <c r="AB1938" s="19"/>
      <c r="AC1938" s="20"/>
      <c r="AD1938" s="19"/>
      <c r="AE1938" s="98"/>
    </row>
    <row r="1939" spans="11:31" x14ac:dyDescent="0.3">
      <c r="K1939" s="21"/>
      <c r="L1939" s="21"/>
      <c r="T1939" s="15"/>
      <c r="U1939" s="15"/>
      <c r="AB1939" s="19"/>
      <c r="AC1939" s="20"/>
      <c r="AD1939" s="19"/>
      <c r="AE1939" s="98"/>
    </row>
    <row r="1940" spans="11:31" x14ac:dyDescent="0.3">
      <c r="K1940" s="21"/>
      <c r="L1940" s="21"/>
      <c r="T1940" s="15"/>
      <c r="U1940" s="15"/>
      <c r="AB1940" s="19"/>
      <c r="AC1940" s="20"/>
      <c r="AD1940" s="19"/>
      <c r="AE1940" s="98"/>
    </row>
    <row r="1941" spans="11:31" x14ac:dyDescent="0.3">
      <c r="K1941" s="21"/>
      <c r="L1941" s="21"/>
      <c r="T1941" s="15"/>
      <c r="U1941" s="15"/>
      <c r="AB1941" s="19"/>
      <c r="AC1941" s="20"/>
      <c r="AD1941" s="19"/>
      <c r="AE1941" s="98"/>
    </row>
    <row r="1942" spans="11:31" x14ac:dyDescent="0.3">
      <c r="K1942" s="21"/>
      <c r="L1942" s="21"/>
      <c r="T1942" s="15"/>
      <c r="U1942" s="15"/>
      <c r="AB1942" s="19"/>
      <c r="AC1942" s="20"/>
      <c r="AD1942" s="19"/>
      <c r="AE1942" s="98"/>
    </row>
    <row r="1943" spans="11:31" x14ac:dyDescent="0.3">
      <c r="K1943" s="21"/>
      <c r="L1943" s="21"/>
      <c r="T1943" s="15"/>
      <c r="U1943" s="15"/>
      <c r="AB1943" s="19"/>
      <c r="AC1943" s="20"/>
      <c r="AD1943" s="19"/>
      <c r="AE1943" s="98"/>
    </row>
    <row r="1944" spans="11:31" x14ac:dyDescent="0.3">
      <c r="K1944" s="21"/>
      <c r="L1944" s="21"/>
      <c r="T1944" s="15"/>
      <c r="U1944" s="15"/>
      <c r="AB1944" s="19"/>
      <c r="AC1944" s="20"/>
      <c r="AD1944" s="19"/>
      <c r="AE1944" s="98"/>
    </row>
    <row r="1945" spans="11:31" x14ac:dyDescent="0.3">
      <c r="K1945" s="21"/>
      <c r="L1945" s="21"/>
      <c r="T1945" s="15"/>
      <c r="U1945" s="15"/>
      <c r="AB1945" s="19"/>
      <c r="AC1945" s="20"/>
      <c r="AD1945" s="19"/>
      <c r="AE1945" s="98"/>
    </row>
    <row r="1946" spans="11:31" x14ac:dyDescent="0.3">
      <c r="K1946" s="21"/>
      <c r="L1946" s="21"/>
      <c r="T1946" s="15"/>
      <c r="U1946" s="15"/>
      <c r="AB1946" s="19"/>
      <c r="AC1946" s="20"/>
      <c r="AD1946" s="19"/>
      <c r="AE1946" s="98"/>
    </row>
    <row r="1947" spans="11:31" x14ac:dyDescent="0.3">
      <c r="K1947" s="21"/>
      <c r="L1947" s="21"/>
      <c r="T1947" s="15"/>
      <c r="U1947" s="15"/>
      <c r="AB1947" s="19"/>
      <c r="AC1947" s="20"/>
      <c r="AD1947" s="19"/>
      <c r="AE1947" s="98"/>
    </row>
    <row r="1948" spans="11:31" x14ac:dyDescent="0.3">
      <c r="K1948" s="21"/>
      <c r="L1948" s="21"/>
      <c r="T1948" s="15"/>
      <c r="U1948" s="15"/>
      <c r="AB1948" s="19"/>
      <c r="AC1948" s="20"/>
      <c r="AD1948" s="19"/>
      <c r="AE1948" s="98"/>
    </row>
    <row r="1949" spans="11:31" x14ac:dyDescent="0.3">
      <c r="K1949" s="21"/>
      <c r="L1949" s="21"/>
      <c r="T1949" s="15"/>
      <c r="U1949" s="15"/>
      <c r="AB1949" s="19"/>
      <c r="AC1949" s="20"/>
      <c r="AD1949" s="19"/>
      <c r="AE1949" s="98"/>
    </row>
    <row r="1950" spans="11:31" x14ac:dyDescent="0.3">
      <c r="K1950" s="21"/>
      <c r="L1950" s="21"/>
      <c r="T1950" s="15"/>
      <c r="U1950" s="15"/>
      <c r="AB1950" s="19"/>
      <c r="AC1950" s="20"/>
      <c r="AD1950" s="19"/>
      <c r="AE1950" s="98"/>
    </row>
    <row r="1951" spans="11:31" x14ac:dyDescent="0.3">
      <c r="K1951" s="21"/>
      <c r="L1951" s="21"/>
      <c r="T1951" s="15"/>
      <c r="U1951" s="15"/>
      <c r="AB1951" s="19"/>
      <c r="AC1951" s="20"/>
      <c r="AD1951" s="19"/>
      <c r="AE1951" s="98"/>
    </row>
    <row r="1952" spans="11:31" x14ac:dyDescent="0.3">
      <c r="K1952" s="21"/>
      <c r="L1952" s="21"/>
      <c r="T1952" s="15"/>
      <c r="U1952" s="15"/>
      <c r="AB1952" s="19"/>
      <c r="AC1952" s="20"/>
      <c r="AD1952" s="19"/>
      <c r="AE1952" s="98"/>
    </row>
    <row r="1953" spans="11:31" x14ac:dyDescent="0.3">
      <c r="K1953" s="21"/>
      <c r="L1953" s="21"/>
      <c r="T1953" s="15"/>
      <c r="U1953" s="15"/>
      <c r="AB1953" s="19"/>
      <c r="AC1953" s="20"/>
      <c r="AD1953" s="19"/>
      <c r="AE1953" s="98"/>
    </row>
    <row r="1954" spans="11:31" x14ac:dyDescent="0.3">
      <c r="K1954" s="21"/>
      <c r="L1954" s="21"/>
      <c r="T1954" s="15"/>
      <c r="U1954" s="15"/>
      <c r="AB1954" s="19"/>
      <c r="AC1954" s="20"/>
      <c r="AD1954" s="19"/>
      <c r="AE1954" s="98"/>
    </row>
    <row r="1955" spans="11:31" x14ac:dyDescent="0.3">
      <c r="K1955" s="21"/>
      <c r="L1955" s="21"/>
      <c r="T1955" s="15"/>
      <c r="U1955" s="15"/>
      <c r="AB1955" s="19"/>
      <c r="AC1955" s="20"/>
      <c r="AD1955" s="19"/>
      <c r="AE1955" s="98"/>
    </row>
    <row r="1956" spans="11:31" x14ac:dyDescent="0.3">
      <c r="K1956" s="21"/>
      <c r="L1956" s="21"/>
      <c r="T1956" s="15"/>
      <c r="U1956" s="15"/>
      <c r="AB1956" s="19"/>
      <c r="AC1956" s="20"/>
      <c r="AD1956" s="19"/>
      <c r="AE1956" s="98"/>
    </row>
    <row r="1957" spans="11:31" x14ac:dyDescent="0.3">
      <c r="K1957" s="21"/>
      <c r="L1957" s="21"/>
      <c r="T1957" s="15"/>
      <c r="U1957" s="15"/>
      <c r="AB1957" s="19"/>
      <c r="AC1957" s="20"/>
      <c r="AD1957" s="19"/>
      <c r="AE1957" s="98"/>
    </row>
    <row r="1958" spans="11:31" x14ac:dyDescent="0.3">
      <c r="K1958" s="21"/>
      <c r="L1958" s="21"/>
      <c r="T1958" s="15"/>
      <c r="U1958" s="15"/>
      <c r="AB1958" s="19"/>
      <c r="AC1958" s="20"/>
      <c r="AD1958" s="19"/>
      <c r="AE1958" s="98"/>
    </row>
    <row r="1959" spans="11:31" x14ac:dyDescent="0.3">
      <c r="K1959" s="21"/>
      <c r="L1959" s="21"/>
      <c r="T1959" s="15"/>
      <c r="U1959" s="15"/>
      <c r="AB1959" s="19"/>
      <c r="AC1959" s="20"/>
      <c r="AD1959" s="19"/>
      <c r="AE1959" s="98"/>
    </row>
    <row r="1960" spans="11:31" x14ac:dyDescent="0.3">
      <c r="K1960" s="21"/>
      <c r="L1960" s="21"/>
      <c r="T1960" s="15"/>
      <c r="U1960" s="15"/>
      <c r="AB1960" s="19"/>
      <c r="AC1960" s="20"/>
      <c r="AD1960" s="19"/>
      <c r="AE1960" s="98"/>
    </row>
    <row r="1961" spans="11:31" x14ac:dyDescent="0.3">
      <c r="K1961" s="21"/>
      <c r="L1961" s="21"/>
      <c r="T1961" s="15"/>
      <c r="U1961" s="15"/>
      <c r="AB1961" s="19"/>
      <c r="AC1961" s="20"/>
      <c r="AD1961" s="19"/>
      <c r="AE1961" s="98"/>
    </row>
    <row r="1962" spans="11:31" x14ac:dyDescent="0.3">
      <c r="K1962" s="21"/>
      <c r="L1962" s="21"/>
      <c r="T1962" s="15"/>
      <c r="U1962" s="15"/>
      <c r="AB1962" s="19"/>
      <c r="AC1962" s="20"/>
      <c r="AD1962" s="19"/>
      <c r="AE1962" s="98"/>
    </row>
    <row r="1963" spans="11:31" x14ac:dyDescent="0.3">
      <c r="K1963" s="21"/>
      <c r="L1963" s="21"/>
      <c r="T1963" s="15"/>
      <c r="U1963" s="15"/>
      <c r="AB1963" s="19"/>
      <c r="AC1963" s="20"/>
      <c r="AD1963" s="19"/>
      <c r="AE1963" s="98"/>
    </row>
    <row r="1964" spans="11:31" x14ac:dyDescent="0.3">
      <c r="K1964" s="21"/>
      <c r="L1964" s="21"/>
      <c r="T1964" s="15"/>
      <c r="U1964" s="15"/>
      <c r="AB1964" s="19"/>
      <c r="AC1964" s="20"/>
      <c r="AD1964" s="19"/>
      <c r="AE1964" s="98"/>
    </row>
    <row r="1965" spans="11:31" x14ac:dyDescent="0.3">
      <c r="K1965" s="21"/>
      <c r="L1965" s="21"/>
      <c r="T1965" s="15"/>
      <c r="U1965" s="15"/>
      <c r="AB1965" s="19"/>
      <c r="AC1965" s="20"/>
      <c r="AD1965" s="19"/>
      <c r="AE1965" s="98"/>
    </row>
    <row r="1966" spans="11:31" x14ac:dyDescent="0.3">
      <c r="K1966" s="21"/>
      <c r="L1966" s="21"/>
      <c r="T1966" s="15"/>
      <c r="U1966" s="15"/>
      <c r="AB1966" s="19"/>
      <c r="AC1966" s="20"/>
      <c r="AD1966" s="19"/>
      <c r="AE1966" s="98"/>
    </row>
    <row r="1967" spans="11:31" x14ac:dyDescent="0.3">
      <c r="K1967" s="21"/>
      <c r="L1967" s="21"/>
      <c r="T1967" s="15"/>
      <c r="U1967" s="15"/>
      <c r="AB1967" s="19"/>
      <c r="AC1967" s="20"/>
      <c r="AD1967" s="19"/>
      <c r="AE1967" s="98"/>
    </row>
    <row r="1968" spans="11:31" x14ac:dyDescent="0.3">
      <c r="K1968" s="21"/>
      <c r="L1968" s="21"/>
      <c r="T1968" s="15"/>
      <c r="U1968" s="15"/>
      <c r="AB1968" s="19"/>
      <c r="AC1968" s="20"/>
      <c r="AD1968" s="19"/>
      <c r="AE1968" s="98"/>
    </row>
    <row r="1969" spans="11:31" x14ac:dyDescent="0.3">
      <c r="K1969" s="21"/>
      <c r="L1969" s="21"/>
      <c r="T1969" s="15"/>
      <c r="U1969" s="15"/>
      <c r="AB1969" s="19"/>
      <c r="AC1969" s="20"/>
      <c r="AD1969" s="19"/>
      <c r="AE1969" s="98"/>
    </row>
    <row r="1970" spans="11:31" x14ac:dyDescent="0.3">
      <c r="K1970" s="21"/>
      <c r="L1970" s="21"/>
      <c r="T1970" s="15"/>
      <c r="U1970" s="15"/>
      <c r="AB1970" s="19"/>
      <c r="AC1970" s="20"/>
      <c r="AD1970" s="19"/>
      <c r="AE1970" s="98"/>
    </row>
    <row r="1971" spans="11:31" x14ac:dyDescent="0.3">
      <c r="K1971" s="21"/>
      <c r="L1971" s="21"/>
      <c r="T1971" s="15"/>
      <c r="U1971" s="15"/>
      <c r="AB1971" s="19"/>
      <c r="AC1971" s="20"/>
      <c r="AD1971" s="19"/>
      <c r="AE1971" s="98"/>
    </row>
    <row r="1972" spans="11:31" x14ac:dyDescent="0.3">
      <c r="K1972" s="21"/>
      <c r="L1972" s="21"/>
      <c r="T1972" s="15"/>
      <c r="U1972" s="15"/>
      <c r="AB1972" s="19"/>
      <c r="AC1972" s="20"/>
      <c r="AD1972" s="19"/>
      <c r="AE1972" s="98"/>
    </row>
    <row r="1973" spans="11:31" x14ac:dyDescent="0.3">
      <c r="K1973" s="21"/>
      <c r="L1973" s="21"/>
      <c r="T1973" s="15"/>
      <c r="U1973" s="15"/>
      <c r="AB1973" s="19"/>
      <c r="AC1973" s="20"/>
      <c r="AD1973" s="19"/>
      <c r="AE1973" s="98"/>
    </row>
    <row r="1974" spans="11:31" x14ac:dyDescent="0.3">
      <c r="K1974" s="21"/>
      <c r="L1974" s="21"/>
      <c r="T1974" s="15"/>
      <c r="U1974" s="15"/>
      <c r="AB1974" s="19"/>
      <c r="AC1974" s="20"/>
      <c r="AD1974" s="19"/>
      <c r="AE1974" s="98"/>
    </row>
    <row r="1975" spans="11:31" x14ac:dyDescent="0.3">
      <c r="K1975" s="21"/>
      <c r="L1975" s="21"/>
      <c r="T1975" s="15"/>
      <c r="U1975" s="15"/>
      <c r="AB1975" s="19"/>
      <c r="AC1975" s="20"/>
      <c r="AD1975" s="19"/>
      <c r="AE1975" s="98"/>
    </row>
    <row r="1976" spans="11:31" x14ac:dyDescent="0.3">
      <c r="K1976" s="21"/>
      <c r="L1976" s="21"/>
      <c r="T1976" s="15"/>
      <c r="U1976" s="15"/>
      <c r="AB1976" s="19"/>
      <c r="AC1976" s="20"/>
      <c r="AD1976" s="19"/>
      <c r="AE1976" s="98"/>
    </row>
    <row r="1977" spans="11:31" x14ac:dyDescent="0.3">
      <c r="K1977" s="21"/>
      <c r="L1977" s="21"/>
      <c r="T1977" s="15"/>
      <c r="U1977" s="15"/>
      <c r="AB1977" s="19"/>
      <c r="AC1977" s="20"/>
      <c r="AD1977" s="19"/>
      <c r="AE1977" s="98"/>
    </row>
    <row r="1978" spans="11:31" x14ac:dyDescent="0.3">
      <c r="K1978" s="21"/>
      <c r="L1978" s="21"/>
      <c r="T1978" s="15"/>
      <c r="U1978" s="15"/>
      <c r="AB1978" s="19"/>
      <c r="AC1978" s="20"/>
      <c r="AD1978" s="19"/>
      <c r="AE1978" s="98"/>
    </row>
    <row r="1979" spans="11:31" x14ac:dyDescent="0.3">
      <c r="K1979" s="21"/>
      <c r="L1979" s="21"/>
      <c r="T1979" s="15"/>
      <c r="U1979" s="15"/>
      <c r="AB1979" s="19"/>
      <c r="AC1979" s="20"/>
      <c r="AD1979" s="19"/>
      <c r="AE1979" s="98"/>
    </row>
    <row r="1980" spans="11:31" x14ac:dyDescent="0.3">
      <c r="K1980" s="21"/>
      <c r="L1980" s="21"/>
      <c r="T1980" s="15"/>
      <c r="U1980" s="15"/>
      <c r="AB1980" s="19"/>
      <c r="AC1980" s="20"/>
      <c r="AD1980" s="19"/>
      <c r="AE1980" s="98"/>
    </row>
    <row r="1981" spans="11:31" x14ac:dyDescent="0.3">
      <c r="K1981" s="21"/>
      <c r="L1981" s="21"/>
      <c r="T1981" s="15"/>
      <c r="U1981" s="15"/>
      <c r="AB1981" s="19"/>
      <c r="AC1981" s="20"/>
      <c r="AD1981" s="19"/>
      <c r="AE1981" s="98"/>
    </row>
    <row r="1982" spans="11:31" x14ac:dyDescent="0.3">
      <c r="K1982" s="21"/>
      <c r="L1982" s="21"/>
      <c r="T1982" s="15"/>
      <c r="U1982" s="15"/>
      <c r="AB1982" s="19"/>
      <c r="AC1982" s="20"/>
      <c r="AD1982" s="19"/>
      <c r="AE1982" s="98"/>
    </row>
    <row r="1983" spans="11:31" x14ac:dyDescent="0.3">
      <c r="K1983" s="21"/>
      <c r="L1983" s="21"/>
      <c r="T1983" s="15"/>
      <c r="U1983" s="15"/>
      <c r="AB1983" s="19"/>
      <c r="AC1983" s="20"/>
      <c r="AD1983" s="19"/>
      <c r="AE1983" s="98"/>
    </row>
    <row r="1984" spans="11:31" x14ac:dyDescent="0.3">
      <c r="K1984" s="21"/>
      <c r="L1984" s="21"/>
      <c r="T1984" s="15"/>
      <c r="U1984" s="15"/>
      <c r="AB1984" s="19"/>
      <c r="AC1984" s="20"/>
      <c r="AD1984" s="19"/>
      <c r="AE1984" s="98"/>
    </row>
    <row r="1985" spans="11:31" x14ac:dyDescent="0.3">
      <c r="K1985" s="21"/>
      <c r="L1985" s="21"/>
      <c r="T1985" s="15"/>
      <c r="U1985" s="15"/>
      <c r="AB1985" s="19"/>
      <c r="AC1985" s="20"/>
      <c r="AD1985" s="19"/>
      <c r="AE1985" s="98"/>
    </row>
    <row r="1986" spans="11:31" x14ac:dyDescent="0.3">
      <c r="K1986" s="21"/>
      <c r="L1986" s="21"/>
      <c r="T1986" s="15"/>
      <c r="U1986" s="15"/>
      <c r="AB1986" s="19"/>
      <c r="AC1986" s="20"/>
      <c r="AD1986" s="19"/>
      <c r="AE1986" s="98"/>
    </row>
    <row r="1987" spans="11:31" x14ac:dyDescent="0.3">
      <c r="K1987" s="21"/>
      <c r="L1987" s="21"/>
      <c r="T1987" s="15"/>
      <c r="U1987" s="15"/>
      <c r="AB1987" s="19"/>
      <c r="AC1987" s="20"/>
      <c r="AD1987" s="19"/>
      <c r="AE1987" s="98"/>
    </row>
    <row r="1988" spans="11:31" x14ac:dyDescent="0.3">
      <c r="K1988" s="21"/>
      <c r="L1988" s="21"/>
      <c r="T1988" s="15"/>
      <c r="U1988" s="15"/>
      <c r="AB1988" s="19"/>
      <c r="AC1988" s="20"/>
      <c r="AD1988" s="19"/>
      <c r="AE1988" s="98"/>
    </row>
    <row r="1989" spans="11:31" x14ac:dyDescent="0.3">
      <c r="K1989" s="21"/>
      <c r="L1989" s="21"/>
      <c r="T1989" s="15"/>
      <c r="U1989" s="15"/>
      <c r="AB1989" s="19"/>
      <c r="AC1989" s="20"/>
      <c r="AD1989" s="19"/>
      <c r="AE1989" s="98"/>
    </row>
    <row r="1990" spans="11:31" x14ac:dyDescent="0.3">
      <c r="K1990" s="21"/>
      <c r="L1990" s="21"/>
      <c r="T1990" s="15"/>
      <c r="U1990" s="15"/>
      <c r="AB1990" s="19"/>
      <c r="AC1990" s="20"/>
      <c r="AD1990" s="19"/>
      <c r="AE1990" s="98"/>
    </row>
    <row r="1991" spans="11:31" x14ac:dyDescent="0.3">
      <c r="K1991" s="21"/>
      <c r="L1991" s="21"/>
      <c r="T1991" s="15"/>
      <c r="U1991" s="15"/>
      <c r="AB1991" s="19"/>
      <c r="AC1991" s="20"/>
      <c r="AD1991" s="19"/>
      <c r="AE1991" s="98"/>
    </row>
    <row r="1992" spans="11:31" x14ac:dyDescent="0.3">
      <c r="K1992" s="21"/>
      <c r="L1992" s="21"/>
      <c r="T1992" s="15"/>
      <c r="U1992" s="15"/>
      <c r="AB1992" s="19"/>
      <c r="AC1992" s="20"/>
      <c r="AD1992" s="19"/>
      <c r="AE1992" s="98"/>
    </row>
    <row r="1993" spans="11:31" x14ac:dyDescent="0.3">
      <c r="K1993" s="21"/>
      <c r="L1993" s="21"/>
      <c r="T1993" s="15"/>
      <c r="U1993" s="15"/>
      <c r="AB1993" s="19"/>
      <c r="AC1993" s="20"/>
      <c r="AD1993" s="19"/>
      <c r="AE1993" s="98"/>
    </row>
    <row r="1994" spans="11:31" x14ac:dyDescent="0.3">
      <c r="K1994" s="21"/>
      <c r="L1994" s="21"/>
      <c r="T1994" s="15"/>
      <c r="U1994" s="15"/>
      <c r="AB1994" s="19"/>
      <c r="AC1994" s="20"/>
      <c r="AD1994" s="19"/>
      <c r="AE1994" s="98"/>
    </row>
    <row r="1995" spans="11:31" x14ac:dyDescent="0.3">
      <c r="K1995" s="21"/>
      <c r="L1995" s="21"/>
      <c r="T1995" s="15"/>
      <c r="U1995" s="15"/>
      <c r="AB1995" s="19"/>
      <c r="AC1995" s="20"/>
      <c r="AD1995" s="19"/>
      <c r="AE1995" s="98"/>
    </row>
    <row r="1996" spans="11:31" x14ac:dyDescent="0.3">
      <c r="K1996" s="21"/>
      <c r="L1996" s="21"/>
      <c r="T1996" s="15"/>
      <c r="U1996" s="15"/>
      <c r="AB1996" s="19"/>
      <c r="AC1996" s="20"/>
      <c r="AD1996" s="19"/>
      <c r="AE1996" s="98"/>
    </row>
    <row r="1997" spans="11:31" x14ac:dyDescent="0.3">
      <c r="K1997" s="21"/>
      <c r="L1997" s="21"/>
      <c r="T1997" s="15"/>
      <c r="U1997" s="15"/>
      <c r="AB1997" s="19"/>
      <c r="AC1997" s="20"/>
      <c r="AD1997" s="19"/>
      <c r="AE1997" s="98"/>
    </row>
    <row r="1998" spans="11:31" x14ac:dyDescent="0.3">
      <c r="K1998" s="21"/>
      <c r="L1998" s="21"/>
      <c r="T1998" s="15"/>
      <c r="U1998" s="15"/>
      <c r="AB1998" s="19"/>
      <c r="AC1998" s="20"/>
      <c r="AD1998" s="19"/>
      <c r="AE1998" s="98"/>
    </row>
    <row r="1999" spans="11:31" x14ac:dyDescent="0.3">
      <c r="K1999" s="21"/>
      <c r="L1999" s="21"/>
      <c r="T1999" s="15"/>
      <c r="U1999" s="15"/>
      <c r="AB1999" s="19"/>
      <c r="AC1999" s="20"/>
      <c r="AD1999" s="19"/>
      <c r="AE1999" s="98"/>
    </row>
    <row r="2000" spans="11:31" x14ac:dyDescent="0.3">
      <c r="K2000" s="21"/>
      <c r="L2000" s="21"/>
      <c r="T2000" s="15"/>
      <c r="U2000" s="15"/>
      <c r="AB2000" s="19"/>
      <c r="AC2000" s="20"/>
      <c r="AD2000" s="19"/>
      <c r="AE2000" s="98"/>
    </row>
    <row r="2001" spans="11:31" x14ac:dyDescent="0.3">
      <c r="K2001" s="21"/>
      <c r="L2001" s="21"/>
      <c r="T2001" s="15"/>
      <c r="U2001" s="15"/>
      <c r="AB2001" s="19"/>
      <c r="AC2001" s="20"/>
      <c r="AD2001" s="19"/>
      <c r="AE2001" s="98"/>
    </row>
    <row r="2002" spans="11:31" x14ac:dyDescent="0.3">
      <c r="K2002" s="21"/>
      <c r="L2002" s="21"/>
      <c r="T2002" s="15"/>
      <c r="U2002" s="15"/>
      <c r="AB2002" s="19"/>
      <c r="AC2002" s="20"/>
      <c r="AD2002" s="19"/>
      <c r="AE2002" s="98"/>
    </row>
    <row r="2003" spans="11:31" x14ac:dyDescent="0.3">
      <c r="K2003" s="21"/>
      <c r="L2003" s="21"/>
      <c r="T2003" s="15"/>
      <c r="U2003" s="15"/>
      <c r="AB2003" s="19"/>
      <c r="AC2003" s="20"/>
      <c r="AD2003" s="19"/>
      <c r="AE2003" s="98"/>
    </row>
    <row r="2004" spans="11:31" x14ac:dyDescent="0.3">
      <c r="K2004" s="21"/>
      <c r="L2004" s="21"/>
      <c r="T2004" s="15"/>
      <c r="U2004" s="15"/>
      <c r="AB2004" s="19"/>
      <c r="AC2004" s="20"/>
      <c r="AD2004" s="19"/>
      <c r="AE2004" s="98"/>
    </row>
    <row r="2005" spans="11:31" x14ac:dyDescent="0.3">
      <c r="K2005" s="21"/>
      <c r="L2005" s="21"/>
      <c r="T2005" s="15"/>
      <c r="U2005" s="15"/>
      <c r="AB2005" s="19"/>
      <c r="AC2005" s="20"/>
      <c r="AD2005" s="19"/>
      <c r="AE2005" s="98"/>
    </row>
    <row r="2006" spans="11:31" x14ac:dyDescent="0.3">
      <c r="K2006" s="21"/>
      <c r="L2006" s="21"/>
      <c r="T2006" s="15"/>
      <c r="U2006" s="15"/>
      <c r="AB2006" s="19"/>
      <c r="AC2006" s="20"/>
      <c r="AD2006" s="19"/>
      <c r="AE2006" s="98"/>
    </row>
    <row r="2007" spans="11:31" x14ac:dyDescent="0.3">
      <c r="K2007" s="21"/>
      <c r="L2007" s="21"/>
      <c r="T2007" s="15"/>
      <c r="U2007" s="15"/>
      <c r="AB2007" s="19"/>
      <c r="AC2007" s="20"/>
      <c r="AD2007" s="19"/>
      <c r="AE2007" s="98"/>
    </row>
    <row r="2008" spans="11:31" x14ac:dyDescent="0.3">
      <c r="K2008" s="21"/>
      <c r="L2008" s="21"/>
      <c r="T2008" s="15"/>
      <c r="U2008" s="15"/>
      <c r="AB2008" s="19"/>
      <c r="AC2008" s="20"/>
      <c r="AD2008" s="19"/>
      <c r="AE2008" s="98"/>
    </row>
    <row r="2009" spans="11:31" x14ac:dyDescent="0.3">
      <c r="K2009" s="21"/>
      <c r="L2009" s="21"/>
      <c r="T2009" s="15"/>
      <c r="U2009" s="15"/>
      <c r="AB2009" s="19"/>
      <c r="AC2009" s="20"/>
      <c r="AD2009" s="19"/>
      <c r="AE2009" s="98"/>
    </row>
    <row r="2010" spans="11:31" x14ac:dyDescent="0.3">
      <c r="K2010" s="21"/>
      <c r="L2010" s="21"/>
      <c r="T2010" s="15"/>
      <c r="U2010" s="15"/>
      <c r="AB2010" s="19"/>
      <c r="AC2010" s="20"/>
      <c r="AD2010" s="19"/>
      <c r="AE2010" s="98"/>
    </row>
    <row r="2011" spans="11:31" x14ac:dyDescent="0.3">
      <c r="K2011" s="21"/>
      <c r="L2011" s="21"/>
      <c r="T2011" s="15"/>
      <c r="U2011" s="15"/>
      <c r="AB2011" s="19"/>
      <c r="AC2011" s="20"/>
      <c r="AD2011" s="19"/>
      <c r="AE2011" s="98"/>
    </row>
    <row r="2012" spans="11:31" x14ac:dyDescent="0.3">
      <c r="K2012" s="21"/>
      <c r="L2012" s="21"/>
      <c r="T2012" s="15"/>
      <c r="U2012" s="15"/>
      <c r="AB2012" s="19"/>
      <c r="AC2012" s="20"/>
      <c r="AD2012" s="19"/>
      <c r="AE2012" s="98"/>
    </row>
    <row r="2013" spans="11:31" x14ac:dyDescent="0.3">
      <c r="K2013" s="21"/>
      <c r="L2013" s="21"/>
      <c r="T2013" s="15"/>
      <c r="U2013" s="15"/>
      <c r="AB2013" s="19"/>
      <c r="AC2013" s="20"/>
      <c r="AD2013" s="19"/>
      <c r="AE2013" s="98"/>
    </row>
    <row r="2014" spans="11:31" x14ac:dyDescent="0.3">
      <c r="K2014" s="21"/>
      <c r="L2014" s="21"/>
      <c r="T2014" s="15"/>
      <c r="U2014" s="15"/>
      <c r="AB2014" s="19"/>
      <c r="AC2014" s="20"/>
      <c r="AD2014" s="19"/>
      <c r="AE2014" s="98"/>
    </row>
    <row r="2015" spans="11:31" x14ac:dyDescent="0.3">
      <c r="K2015" s="21"/>
      <c r="L2015" s="21"/>
      <c r="T2015" s="15"/>
      <c r="U2015" s="15"/>
      <c r="AB2015" s="19"/>
      <c r="AC2015" s="20"/>
      <c r="AD2015" s="19"/>
      <c r="AE2015" s="98"/>
    </row>
    <row r="2016" spans="11:31" x14ac:dyDescent="0.3">
      <c r="K2016" s="21"/>
      <c r="L2016" s="21"/>
      <c r="T2016" s="15"/>
      <c r="U2016" s="15"/>
      <c r="AB2016" s="19"/>
      <c r="AC2016" s="20"/>
      <c r="AD2016" s="19"/>
      <c r="AE2016" s="98"/>
    </row>
    <row r="2017" spans="11:31" x14ac:dyDescent="0.3">
      <c r="K2017" s="21"/>
      <c r="L2017" s="21"/>
      <c r="T2017" s="15"/>
      <c r="U2017" s="15"/>
      <c r="AB2017" s="19"/>
      <c r="AC2017" s="20"/>
      <c r="AD2017" s="19"/>
      <c r="AE2017" s="98"/>
    </row>
    <row r="2018" spans="11:31" x14ac:dyDescent="0.3">
      <c r="K2018" s="21"/>
      <c r="L2018" s="21"/>
      <c r="T2018" s="15"/>
      <c r="U2018" s="15"/>
      <c r="AB2018" s="19"/>
      <c r="AC2018" s="20"/>
      <c r="AD2018" s="19"/>
      <c r="AE2018" s="98"/>
    </row>
    <row r="2019" spans="11:31" x14ac:dyDescent="0.3">
      <c r="K2019" s="21"/>
      <c r="L2019" s="21"/>
      <c r="T2019" s="15"/>
      <c r="U2019" s="15"/>
      <c r="AB2019" s="19"/>
      <c r="AC2019" s="20"/>
      <c r="AD2019" s="19"/>
      <c r="AE2019" s="98"/>
    </row>
    <row r="2020" spans="11:31" x14ac:dyDescent="0.3">
      <c r="K2020" s="21"/>
      <c r="L2020" s="21"/>
      <c r="T2020" s="15"/>
      <c r="U2020" s="15"/>
      <c r="AB2020" s="19"/>
      <c r="AC2020" s="20"/>
      <c r="AD2020" s="19"/>
      <c r="AE2020" s="98"/>
    </row>
    <row r="2021" spans="11:31" x14ac:dyDescent="0.3">
      <c r="K2021" s="21"/>
      <c r="L2021" s="21"/>
      <c r="T2021" s="15"/>
      <c r="U2021" s="15"/>
      <c r="AB2021" s="19"/>
      <c r="AC2021" s="20"/>
      <c r="AD2021" s="19"/>
      <c r="AE2021" s="98"/>
    </row>
    <row r="2022" spans="11:31" x14ac:dyDescent="0.3">
      <c r="K2022" s="21"/>
      <c r="L2022" s="21"/>
      <c r="T2022" s="15"/>
      <c r="U2022" s="15"/>
      <c r="AB2022" s="19"/>
      <c r="AC2022" s="20"/>
      <c r="AD2022" s="19"/>
      <c r="AE2022" s="98"/>
    </row>
    <row r="2023" spans="11:31" x14ac:dyDescent="0.3">
      <c r="K2023" s="21"/>
      <c r="L2023" s="21"/>
      <c r="T2023" s="15"/>
      <c r="U2023" s="15"/>
      <c r="AB2023" s="19"/>
      <c r="AC2023" s="20"/>
      <c r="AD2023" s="19"/>
      <c r="AE2023" s="98"/>
    </row>
    <row r="2024" spans="11:31" x14ac:dyDescent="0.3">
      <c r="K2024" s="21"/>
      <c r="L2024" s="21"/>
      <c r="T2024" s="15"/>
      <c r="U2024" s="15"/>
      <c r="AB2024" s="19"/>
      <c r="AC2024" s="20"/>
      <c r="AD2024" s="19"/>
      <c r="AE2024" s="98"/>
    </row>
    <row r="2025" spans="11:31" x14ac:dyDescent="0.3">
      <c r="K2025" s="21"/>
      <c r="L2025" s="21"/>
      <c r="T2025" s="15"/>
      <c r="U2025" s="15"/>
      <c r="AB2025" s="19"/>
      <c r="AC2025" s="20"/>
      <c r="AD2025" s="19"/>
      <c r="AE2025" s="98"/>
    </row>
    <row r="2026" spans="11:31" x14ac:dyDescent="0.3">
      <c r="K2026" s="21"/>
      <c r="L2026" s="21"/>
      <c r="T2026" s="15"/>
      <c r="U2026" s="15"/>
      <c r="AB2026" s="19"/>
      <c r="AC2026" s="20"/>
      <c r="AD2026" s="19"/>
      <c r="AE2026" s="98"/>
    </row>
    <row r="2027" spans="11:31" x14ac:dyDescent="0.3">
      <c r="K2027" s="21"/>
      <c r="L2027" s="21"/>
      <c r="T2027" s="15"/>
      <c r="U2027" s="15"/>
      <c r="AB2027" s="19"/>
      <c r="AC2027" s="20"/>
      <c r="AD2027" s="19"/>
      <c r="AE2027" s="98"/>
    </row>
    <row r="2028" spans="11:31" x14ac:dyDescent="0.3">
      <c r="K2028" s="21"/>
      <c r="L2028" s="21"/>
      <c r="T2028" s="15"/>
      <c r="U2028" s="15"/>
      <c r="AB2028" s="19"/>
      <c r="AC2028" s="20"/>
      <c r="AD2028" s="19"/>
      <c r="AE2028" s="98"/>
    </row>
    <row r="2029" spans="11:31" x14ac:dyDescent="0.3">
      <c r="K2029" s="21"/>
      <c r="L2029" s="21"/>
      <c r="T2029" s="15"/>
      <c r="U2029" s="15"/>
      <c r="AB2029" s="19"/>
      <c r="AC2029" s="20"/>
      <c r="AD2029" s="19"/>
      <c r="AE2029" s="98"/>
    </row>
    <row r="2030" spans="11:31" x14ac:dyDescent="0.3">
      <c r="K2030" s="21"/>
      <c r="L2030" s="21"/>
      <c r="T2030" s="15"/>
      <c r="U2030" s="15"/>
      <c r="AB2030" s="19"/>
      <c r="AC2030" s="20"/>
      <c r="AD2030" s="19"/>
      <c r="AE2030" s="98"/>
    </row>
    <row r="2031" spans="11:31" x14ac:dyDescent="0.3">
      <c r="K2031" s="21"/>
      <c r="L2031" s="21"/>
      <c r="T2031" s="15"/>
      <c r="U2031" s="15"/>
      <c r="AB2031" s="19"/>
      <c r="AC2031" s="20"/>
      <c r="AD2031" s="19"/>
      <c r="AE2031" s="98"/>
    </row>
    <row r="2032" spans="11:31" x14ac:dyDescent="0.3">
      <c r="K2032" s="21"/>
      <c r="L2032" s="21"/>
      <c r="T2032" s="15"/>
      <c r="U2032" s="15"/>
      <c r="AB2032" s="19"/>
      <c r="AC2032" s="20"/>
      <c r="AD2032" s="19"/>
      <c r="AE2032" s="98"/>
    </row>
    <row r="2033" spans="11:31" x14ac:dyDescent="0.3">
      <c r="K2033" s="21"/>
      <c r="L2033" s="21"/>
      <c r="T2033" s="15"/>
      <c r="U2033" s="15"/>
      <c r="AB2033" s="19"/>
      <c r="AC2033" s="20"/>
      <c r="AD2033" s="19"/>
      <c r="AE2033" s="98"/>
    </row>
    <row r="2034" spans="11:31" x14ac:dyDescent="0.3">
      <c r="K2034" s="21"/>
      <c r="L2034" s="21"/>
      <c r="T2034" s="15"/>
      <c r="U2034" s="15"/>
      <c r="AB2034" s="19"/>
      <c r="AC2034" s="20"/>
      <c r="AD2034" s="19"/>
      <c r="AE2034" s="98"/>
    </row>
    <row r="2035" spans="11:31" x14ac:dyDescent="0.3">
      <c r="K2035" s="21"/>
      <c r="L2035" s="21"/>
      <c r="T2035" s="15"/>
      <c r="U2035" s="15"/>
      <c r="AB2035" s="19"/>
      <c r="AC2035" s="20"/>
      <c r="AD2035" s="19"/>
      <c r="AE2035" s="98"/>
    </row>
    <row r="2036" spans="11:31" x14ac:dyDescent="0.3">
      <c r="K2036" s="21"/>
      <c r="L2036" s="21"/>
      <c r="T2036" s="15"/>
      <c r="U2036" s="15"/>
      <c r="AB2036" s="19"/>
      <c r="AC2036" s="20"/>
      <c r="AD2036" s="19"/>
      <c r="AE2036" s="98"/>
    </row>
    <row r="2037" spans="11:31" x14ac:dyDescent="0.3">
      <c r="K2037" s="21"/>
      <c r="L2037" s="21"/>
      <c r="T2037" s="15"/>
      <c r="U2037" s="15"/>
      <c r="AB2037" s="19"/>
      <c r="AC2037" s="20"/>
      <c r="AD2037" s="19"/>
      <c r="AE2037" s="98"/>
    </row>
    <row r="2038" spans="11:31" x14ac:dyDescent="0.3">
      <c r="K2038" s="21"/>
      <c r="L2038" s="21"/>
      <c r="T2038" s="15"/>
      <c r="U2038" s="15"/>
      <c r="AB2038" s="19"/>
      <c r="AC2038" s="20"/>
      <c r="AD2038" s="19"/>
      <c r="AE2038" s="98"/>
    </row>
    <row r="2039" spans="11:31" x14ac:dyDescent="0.3">
      <c r="K2039" s="21"/>
      <c r="L2039" s="21"/>
      <c r="T2039" s="15"/>
      <c r="U2039" s="15"/>
      <c r="AB2039" s="19"/>
      <c r="AC2039" s="20"/>
      <c r="AD2039" s="19"/>
      <c r="AE2039" s="98"/>
    </row>
    <row r="2040" spans="11:31" x14ac:dyDescent="0.3">
      <c r="K2040" s="21"/>
      <c r="L2040" s="21"/>
      <c r="T2040" s="15"/>
      <c r="U2040" s="15"/>
      <c r="AB2040" s="19"/>
      <c r="AC2040" s="20"/>
      <c r="AD2040" s="19"/>
      <c r="AE2040" s="98"/>
    </row>
    <row r="2041" spans="11:31" x14ac:dyDescent="0.3">
      <c r="K2041" s="21"/>
      <c r="L2041" s="21"/>
      <c r="T2041" s="15"/>
      <c r="U2041" s="15"/>
      <c r="AB2041" s="19"/>
      <c r="AC2041" s="20"/>
      <c r="AD2041" s="19"/>
      <c r="AE2041" s="98"/>
    </row>
    <row r="2042" spans="11:31" x14ac:dyDescent="0.3">
      <c r="K2042" s="21"/>
      <c r="L2042" s="21"/>
      <c r="T2042" s="15"/>
      <c r="U2042" s="15"/>
      <c r="AB2042" s="19"/>
      <c r="AC2042" s="20"/>
      <c r="AD2042" s="19"/>
      <c r="AE2042" s="98"/>
    </row>
    <row r="2043" spans="11:31" x14ac:dyDescent="0.3">
      <c r="K2043" s="21"/>
      <c r="L2043" s="21"/>
      <c r="T2043" s="15"/>
      <c r="U2043" s="15"/>
      <c r="AB2043" s="19"/>
      <c r="AC2043" s="20"/>
      <c r="AD2043" s="19"/>
      <c r="AE2043" s="98"/>
    </row>
    <row r="2044" spans="11:31" x14ac:dyDescent="0.3">
      <c r="K2044" s="21"/>
      <c r="L2044" s="21"/>
      <c r="T2044" s="15"/>
      <c r="U2044" s="15"/>
      <c r="AB2044" s="19"/>
      <c r="AC2044" s="20"/>
      <c r="AD2044" s="19"/>
      <c r="AE2044" s="98"/>
    </row>
    <row r="2045" spans="11:31" x14ac:dyDescent="0.3">
      <c r="K2045" s="21"/>
      <c r="L2045" s="21"/>
      <c r="T2045" s="15"/>
      <c r="U2045" s="15"/>
      <c r="AB2045" s="19"/>
      <c r="AC2045" s="20"/>
      <c r="AD2045" s="19"/>
      <c r="AE2045" s="98"/>
    </row>
    <row r="2046" spans="11:31" x14ac:dyDescent="0.3">
      <c r="K2046" s="21"/>
      <c r="L2046" s="21"/>
      <c r="T2046" s="15"/>
      <c r="U2046" s="15"/>
      <c r="AB2046" s="19"/>
      <c r="AC2046" s="20"/>
      <c r="AD2046" s="19"/>
      <c r="AE2046" s="98"/>
    </row>
    <row r="2047" spans="11:31" x14ac:dyDescent="0.3">
      <c r="K2047" s="21"/>
      <c r="L2047" s="21"/>
      <c r="T2047" s="15"/>
      <c r="U2047" s="15"/>
      <c r="AB2047" s="19"/>
      <c r="AC2047" s="20"/>
      <c r="AD2047" s="19"/>
      <c r="AE2047" s="98"/>
    </row>
    <row r="2048" spans="11:31" x14ac:dyDescent="0.3">
      <c r="K2048" s="21"/>
      <c r="L2048" s="21"/>
      <c r="T2048" s="15"/>
      <c r="U2048" s="15"/>
      <c r="AB2048" s="19"/>
      <c r="AC2048" s="20"/>
      <c r="AD2048" s="19"/>
      <c r="AE2048" s="98"/>
    </row>
    <row r="2049" spans="11:31" x14ac:dyDescent="0.3">
      <c r="K2049" s="21"/>
      <c r="L2049" s="21"/>
      <c r="T2049" s="15"/>
      <c r="U2049" s="15"/>
      <c r="AB2049" s="19"/>
      <c r="AC2049" s="20"/>
      <c r="AD2049" s="19"/>
      <c r="AE2049" s="98"/>
    </row>
    <row r="2050" spans="11:31" x14ac:dyDescent="0.3">
      <c r="K2050" s="21"/>
      <c r="L2050" s="21"/>
      <c r="T2050" s="15"/>
      <c r="U2050" s="15"/>
      <c r="AB2050" s="19"/>
      <c r="AC2050" s="20"/>
      <c r="AD2050" s="19"/>
      <c r="AE2050" s="98"/>
    </row>
    <row r="2051" spans="11:31" x14ac:dyDescent="0.3">
      <c r="K2051" s="21"/>
      <c r="L2051" s="21"/>
      <c r="T2051" s="15"/>
      <c r="U2051" s="15"/>
      <c r="AB2051" s="19"/>
      <c r="AC2051" s="20"/>
      <c r="AD2051" s="19"/>
      <c r="AE2051" s="98"/>
    </row>
    <row r="2052" spans="11:31" x14ac:dyDescent="0.3">
      <c r="K2052" s="21"/>
      <c r="L2052" s="21"/>
      <c r="T2052" s="15"/>
      <c r="U2052" s="15"/>
      <c r="AB2052" s="19"/>
      <c r="AC2052" s="20"/>
      <c r="AD2052" s="19"/>
      <c r="AE2052" s="98"/>
    </row>
    <row r="2053" spans="11:31" x14ac:dyDescent="0.3">
      <c r="K2053" s="21"/>
      <c r="L2053" s="21"/>
      <c r="T2053" s="15"/>
      <c r="U2053" s="15"/>
      <c r="AB2053" s="19"/>
      <c r="AC2053" s="20"/>
      <c r="AD2053" s="19"/>
      <c r="AE2053" s="98"/>
    </row>
    <row r="2054" spans="11:31" x14ac:dyDescent="0.3">
      <c r="K2054" s="21"/>
      <c r="L2054" s="21"/>
      <c r="T2054" s="15"/>
      <c r="U2054" s="15"/>
      <c r="AB2054" s="19"/>
      <c r="AC2054" s="20"/>
      <c r="AD2054" s="19"/>
      <c r="AE2054" s="98"/>
    </row>
    <row r="2055" spans="11:31" x14ac:dyDescent="0.3">
      <c r="K2055" s="21"/>
      <c r="L2055" s="21"/>
      <c r="T2055" s="15"/>
      <c r="U2055" s="15"/>
      <c r="AB2055" s="19"/>
      <c r="AC2055" s="20"/>
      <c r="AD2055" s="19"/>
      <c r="AE2055" s="98"/>
    </row>
    <row r="2056" spans="11:31" x14ac:dyDescent="0.3">
      <c r="K2056" s="21"/>
      <c r="L2056" s="21"/>
      <c r="T2056" s="15"/>
      <c r="U2056" s="15"/>
      <c r="AB2056" s="19"/>
      <c r="AC2056" s="20"/>
      <c r="AD2056" s="19"/>
      <c r="AE2056" s="98"/>
    </row>
    <row r="2057" spans="11:31" x14ac:dyDescent="0.3">
      <c r="K2057" s="21"/>
      <c r="L2057" s="21"/>
      <c r="T2057" s="15"/>
      <c r="U2057" s="15"/>
      <c r="AB2057" s="19"/>
      <c r="AC2057" s="20"/>
      <c r="AD2057" s="19"/>
      <c r="AE2057" s="98"/>
    </row>
    <row r="2058" spans="11:31" x14ac:dyDescent="0.3">
      <c r="K2058" s="21"/>
      <c r="L2058" s="21"/>
      <c r="T2058" s="15"/>
      <c r="U2058" s="15"/>
      <c r="AB2058" s="19"/>
      <c r="AC2058" s="20"/>
      <c r="AD2058" s="19"/>
      <c r="AE2058" s="98"/>
    </row>
    <row r="2059" spans="11:31" x14ac:dyDescent="0.3">
      <c r="K2059" s="21"/>
      <c r="L2059" s="21"/>
      <c r="T2059" s="15"/>
      <c r="U2059" s="15"/>
      <c r="AB2059" s="19"/>
      <c r="AC2059" s="20"/>
      <c r="AD2059" s="19"/>
      <c r="AE2059" s="98"/>
    </row>
    <row r="2060" spans="11:31" x14ac:dyDescent="0.3">
      <c r="K2060" s="21"/>
      <c r="L2060" s="21"/>
      <c r="T2060" s="15"/>
      <c r="U2060" s="15"/>
      <c r="AB2060" s="19"/>
      <c r="AC2060" s="20"/>
      <c r="AD2060" s="19"/>
      <c r="AE2060" s="98"/>
    </row>
    <row r="2061" spans="11:31" x14ac:dyDescent="0.3">
      <c r="K2061" s="21"/>
      <c r="L2061" s="21"/>
      <c r="T2061" s="15"/>
      <c r="U2061" s="15"/>
      <c r="AB2061" s="19"/>
      <c r="AC2061" s="20"/>
      <c r="AD2061" s="19"/>
      <c r="AE2061" s="98"/>
    </row>
    <row r="2062" spans="11:31" x14ac:dyDescent="0.3">
      <c r="K2062" s="21"/>
      <c r="L2062" s="21"/>
      <c r="T2062" s="15"/>
      <c r="U2062" s="15"/>
      <c r="AB2062" s="19"/>
      <c r="AC2062" s="20"/>
      <c r="AD2062" s="19"/>
      <c r="AE2062" s="98"/>
    </row>
    <row r="2063" spans="11:31" x14ac:dyDescent="0.3">
      <c r="K2063" s="21"/>
      <c r="L2063" s="21"/>
      <c r="T2063" s="15"/>
      <c r="U2063" s="15"/>
      <c r="AB2063" s="19"/>
      <c r="AC2063" s="20"/>
      <c r="AD2063" s="19"/>
      <c r="AE2063" s="98"/>
    </row>
    <row r="2064" spans="11:31" x14ac:dyDescent="0.3">
      <c r="K2064" s="21"/>
      <c r="L2064" s="21"/>
      <c r="T2064" s="15"/>
      <c r="U2064" s="15"/>
      <c r="AB2064" s="19"/>
      <c r="AC2064" s="20"/>
      <c r="AD2064" s="19"/>
      <c r="AE2064" s="98"/>
    </row>
    <row r="2065" spans="11:31" x14ac:dyDescent="0.3">
      <c r="K2065" s="21"/>
      <c r="L2065" s="21"/>
      <c r="T2065" s="15"/>
      <c r="U2065" s="15"/>
      <c r="AB2065" s="19"/>
      <c r="AC2065" s="20"/>
      <c r="AD2065" s="19"/>
      <c r="AE2065" s="98"/>
    </row>
    <row r="2066" spans="11:31" x14ac:dyDescent="0.3">
      <c r="K2066" s="21"/>
      <c r="L2066" s="21"/>
      <c r="T2066" s="15"/>
      <c r="U2066" s="15"/>
      <c r="AB2066" s="19"/>
      <c r="AC2066" s="20"/>
      <c r="AD2066" s="19"/>
      <c r="AE2066" s="98"/>
    </row>
    <row r="2067" spans="11:31" x14ac:dyDescent="0.3">
      <c r="K2067" s="21"/>
      <c r="L2067" s="21"/>
      <c r="T2067" s="15"/>
      <c r="U2067" s="15"/>
      <c r="AB2067" s="19"/>
      <c r="AC2067" s="20"/>
      <c r="AD2067" s="19"/>
      <c r="AE2067" s="98"/>
    </row>
    <row r="2068" spans="11:31" x14ac:dyDescent="0.3">
      <c r="K2068" s="21"/>
      <c r="L2068" s="21"/>
      <c r="T2068" s="15"/>
      <c r="U2068" s="15"/>
      <c r="AB2068" s="19"/>
      <c r="AC2068" s="20"/>
      <c r="AD2068" s="19"/>
      <c r="AE2068" s="98"/>
    </row>
    <row r="2069" spans="11:31" x14ac:dyDescent="0.3">
      <c r="K2069" s="21"/>
      <c r="L2069" s="21"/>
      <c r="T2069" s="15"/>
      <c r="U2069" s="15"/>
      <c r="AB2069" s="19"/>
      <c r="AC2069" s="20"/>
      <c r="AD2069" s="19"/>
      <c r="AE2069" s="98"/>
    </row>
    <row r="2070" spans="11:31" x14ac:dyDescent="0.3">
      <c r="K2070" s="21"/>
      <c r="L2070" s="21"/>
      <c r="T2070" s="15"/>
      <c r="U2070" s="15"/>
      <c r="AB2070" s="19"/>
      <c r="AC2070" s="20"/>
      <c r="AD2070" s="19"/>
      <c r="AE2070" s="98"/>
    </row>
    <row r="2071" spans="11:31" x14ac:dyDescent="0.3">
      <c r="K2071" s="21"/>
      <c r="L2071" s="21"/>
      <c r="T2071" s="15"/>
      <c r="U2071" s="15"/>
      <c r="AB2071" s="19"/>
      <c r="AC2071" s="20"/>
      <c r="AD2071" s="19"/>
      <c r="AE2071" s="98"/>
    </row>
    <row r="2072" spans="11:31" x14ac:dyDescent="0.3">
      <c r="K2072" s="21"/>
      <c r="L2072" s="21"/>
      <c r="T2072" s="15"/>
      <c r="U2072" s="15"/>
      <c r="AB2072" s="19"/>
      <c r="AC2072" s="20"/>
      <c r="AD2072" s="19"/>
      <c r="AE2072" s="98"/>
    </row>
    <row r="2073" spans="11:31" x14ac:dyDescent="0.3">
      <c r="K2073" s="21"/>
      <c r="L2073" s="21"/>
      <c r="T2073" s="15"/>
      <c r="U2073" s="15"/>
      <c r="AB2073" s="19"/>
      <c r="AC2073" s="20"/>
      <c r="AD2073" s="19"/>
      <c r="AE2073" s="98"/>
    </row>
    <row r="2074" spans="11:31" x14ac:dyDescent="0.3">
      <c r="K2074" s="21"/>
      <c r="L2074" s="21"/>
      <c r="T2074" s="15"/>
      <c r="U2074" s="15"/>
      <c r="AB2074" s="19"/>
      <c r="AC2074" s="20"/>
      <c r="AD2074" s="19"/>
      <c r="AE2074" s="98"/>
    </row>
    <row r="2075" spans="11:31" x14ac:dyDescent="0.3">
      <c r="K2075" s="21"/>
      <c r="L2075" s="21"/>
      <c r="T2075" s="15"/>
      <c r="U2075" s="15"/>
      <c r="AB2075" s="19"/>
      <c r="AC2075" s="20"/>
      <c r="AD2075" s="19"/>
      <c r="AE2075" s="98"/>
    </row>
    <row r="2076" spans="11:31" x14ac:dyDescent="0.3">
      <c r="K2076" s="21"/>
      <c r="L2076" s="21"/>
      <c r="T2076" s="15"/>
      <c r="U2076" s="15"/>
      <c r="AB2076" s="19"/>
      <c r="AC2076" s="20"/>
      <c r="AD2076" s="19"/>
      <c r="AE2076" s="98"/>
    </row>
    <row r="2077" spans="11:31" x14ac:dyDescent="0.3">
      <c r="K2077" s="21"/>
      <c r="L2077" s="21"/>
      <c r="T2077" s="15"/>
      <c r="U2077" s="15"/>
      <c r="AB2077" s="19"/>
      <c r="AC2077" s="20"/>
      <c r="AD2077" s="19"/>
      <c r="AE2077" s="98"/>
    </row>
    <row r="2078" spans="11:31" x14ac:dyDescent="0.3">
      <c r="K2078" s="21"/>
      <c r="L2078" s="21"/>
      <c r="T2078" s="15"/>
      <c r="U2078" s="15"/>
      <c r="AB2078" s="19"/>
      <c r="AC2078" s="20"/>
      <c r="AD2078" s="19"/>
      <c r="AE2078" s="98"/>
    </row>
    <row r="2079" spans="11:31" x14ac:dyDescent="0.3">
      <c r="K2079" s="21"/>
      <c r="L2079" s="21"/>
      <c r="T2079" s="15"/>
      <c r="U2079" s="15"/>
      <c r="AB2079" s="19"/>
      <c r="AC2079" s="20"/>
      <c r="AD2079" s="19"/>
      <c r="AE2079" s="98"/>
    </row>
    <row r="2080" spans="11:31" x14ac:dyDescent="0.3">
      <c r="K2080" s="21"/>
      <c r="L2080" s="21"/>
      <c r="T2080" s="15"/>
      <c r="U2080" s="15"/>
      <c r="AB2080" s="19"/>
      <c r="AC2080" s="20"/>
      <c r="AD2080" s="19"/>
      <c r="AE2080" s="98"/>
    </row>
    <row r="2081" spans="11:31" x14ac:dyDescent="0.3">
      <c r="K2081" s="21"/>
      <c r="L2081" s="21"/>
      <c r="T2081" s="15"/>
      <c r="U2081" s="15"/>
      <c r="AB2081" s="19"/>
      <c r="AC2081" s="20"/>
      <c r="AD2081" s="19"/>
      <c r="AE2081" s="98"/>
    </row>
    <row r="2082" spans="11:31" x14ac:dyDescent="0.3">
      <c r="K2082" s="21"/>
      <c r="L2082" s="21"/>
      <c r="T2082" s="15"/>
      <c r="U2082" s="15"/>
      <c r="AB2082" s="19"/>
      <c r="AC2082" s="20"/>
      <c r="AD2082" s="19"/>
      <c r="AE2082" s="98"/>
    </row>
    <row r="2083" spans="11:31" x14ac:dyDescent="0.3">
      <c r="K2083" s="21"/>
      <c r="L2083" s="21"/>
      <c r="T2083" s="15"/>
      <c r="U2083" s="15"/>
      <c r="AB2083" s="19"/>
      <c r="AC2083" s="20"/>
      <c r="AD2083" s="19"/>
      <c r="AE2083" s="98"/>
    </row>
    <row r="2084" spans="11:31" x14ac:dyDescent="0.3">
      <c r="K2084" s="21"/>
      <c r="L2084" s="21"/>
      <c r="T2084" s="15"/>
      <c r="U2084" s="15"/>
      <c r="AB2084" s="19"/>
      <c r="AC2084" s="20"/>
      <c r="AD2084" s="19"/>
      <c r="AE2084" s="98"/>
    </row>
    <row r="2085" spans="11:31" x14ac:dyDescent="0.3">
      <c r="K2085" s="21"/>
      <c r="L2085" s="21"/>
      <c r="T2085" s="15"/>
      <c r="U2085" s="15"/>
      <c r="AB2085" s="19"/>
      <c r="AC2085" s="20"/>
      <c r="AD2085" s="19"/>
      <c r="AE2085" s="98"/>
    </row>
    <row r="2086" spans="11:31" x14ac:dyDescent="0.3">
      <c r="K2086" s="21"/>
      <c r="L2086" s="21"/>
      <c r="T2086" s="15"/>
      <c r="U2086" s="15"/>
      <c r="AB2086" s="19"/>
      <c r="AC2086" s="20"/>
      <c r="AD2086" s="19"/>
      <c r="AE2086" s="98"/>
    </row>
    <row r="2087" spans="11:31" x14ac:dyDescent="0.3">
      <c r="K2087" s="21"/>
      <c r="L2087" s="21"/>
      <c r="T2087" s="15"/>
      <c r="U2087" s="15"/>
      <c r="AB2087" s="19"/>
      <c r="AC2087" s="20"/>
      <c r="AD2087" s="19"/>
      <c r="AE2087" s="98"/>
    </row>
    <row r="2088" spans="11:31" x14ac:dyDescent="0.3">
      <c r="K2088" s="21"/>
      <c r="L2088" s="21"/>
      <c r="T2088" s="15"/>
      <c r="U2088" s="15"/>
      <c r="AB2088" s="19"/>
      <c r="AC2088" s="20"/>
      <c r="AD2088" s="19"/>
      <c r="AE2088" s="98"/>
    </row>
    <row r="2089" spans="11:31" x14ac:dyDescent="0.3">
      <c r="K2089" s="21"/>
      <c r="L2089" s="21"/>
      <c r="T2089" s="15"/>
      <c r="U2089" s="15"/>
      <c r="AB2089" s="19"/>
      <c r="AC2089" s="20"/>
      <c r="AD2089" s="19"/>
      <c r="AE2089" s="98"/>
    </row>
    <row r="2090" spans="11:31" x14ac:dyDescent="0.3">
      <c r="K2090" s="21"/>
      <c r="L2090" s="21"/>
      <c r="T2090" s="15"/>
      <c r="U2090" s="15"/>
      <c r="AB2090" s="19"/>
      <c r="AC2090" s="20"/>
      <c r="AD2090" s="19"/>
      <c r="AE2090" s="98"/>
    </row>
    <row r="2091" spans="11:31" x14ac:dyDescent="0.3">
      <c r="K2091" s="21"/>
      <c r="L2091" s="21"/>
      <c r="T2091" s="15"/>
      <c r="U2091" s="15"/>
      <c r="AB2091" s="19"/>
      <c r="AC2091" s="20"/>
      <c r="AD2091" s="19"/>
      <c r="AE2091" s="98"/>
    </row>
    <row r="2092" spans="11:31" x14ac:dyDescent="0.3">
      <c r="K2092" s="21"/>
      <c r="L2092" s="21"/>
      <c r="T2092" s="15"/>
      <c r="U2092" s="15"/>
      <c r="AB2092" s="19"/>
      <c r="AC2092" s="20"/>
      <c r="AD2092" s="19"/>
      <c r="AE2092" s="98"/>
    </row>
    <row r="2093" spans="11:31" x14ac:dyDescent="0.3">
      <c r="K2093" s="21"/>
      <c r="L2093" s="21"/>
      <c r="T2093" s="15"/>
      <c r="U2093" s="15"/>
      <c r="AB2093" s="19"/>
      <c r="AC2093" s="20"/>
      <c r="AD2093" s="19"/>
      <c r="AE2093" s="98"/>
    </row>
    <row r="2094" spans="11:31" x14ac:dyDescent="0.3">
      <c r="K2094" s="21"/>
      <c r="L2094" s="21"/>
      <c r="T2094" s="15"/>
      <c r="U2094" s="15"/>
      <c r="AB2094" s="19"/>
      <c r="AC2094" s="20"/>
      <c r="AD2094" s="19"/>
      <c r="AE2094" s="98"/>
    </row>
    <row r="2095" spans="11:31" x14ac:dyDescent="0.3">
      <c r="K2095" s="21"/>
      <c r="L2095" s="21"/>
      <c r="T2095" s="15"/>
      <c r="U2095" s="15"/>
      <c r="AB2095" s="19"/>
      <c r="AC2095" s="20"/>
      <c r="AD2095" s="19"/>
      <c r="AE2095" s="98"/>
    </row>
    <row r="2096" spans="11:31" x14ac:dyDescent="0.3">
      <c r="K2096" s="21"/>
      <c r="L2096" s="21"/>
      <c r="T2096" s="15"/>
      <c r="U2096" s="15"/>
      <c r="AB2096" s="19"/>
      <c r="AC2096" s="20"/>
      <c r="AD2096" s="19"/>
      <c r="AE2096" s="98"/>
    </row>
    <row r="2097" spans="11:31" x14ac:dyDescent="0.3">
      <c r="K2097" s="21"/>
      <c r="L2097" s="21"/>
      <c r="T2097" s="15"/>
      <c r="U2097" s="15"/>
      <c r="AB2097" s="19"/>
      <c r="AC2097" s="20"/>
      <c r="AD2097" s="19"/>
      <c r="AE2097" s="98"/>
    </row>
    <row r="2098" spans="11:31" x14ac:dyDescent="0.3">
      <c r="K2098" s="21"/>
      <c r="L2098" s="21"/>
      <c r="T2098" s="15"/>
      <c r="U2098" s="15"/>
      <c r="AB2098" s="19"/>
      <c r="AC2098" s="20"/>
      <c r="AD2098" s="19"/>
      <c r="AE2098" s="98"/>
    </row>
    <row r="2099" spans="11:31" x14ac:dyDescent="0.3">
      <c r="K2099" s="21"/>
      <c r="L2099" s="21"/>
      <c r="T2099" s="15"/>
      <c r="U2099" s="15"/>
      <c r="AB2099" s="19"/>
      <c r="AC2099" s="20"/>
      <c r="AD2099" s="19"/>
      <c r="AE2099" s="98"/>
    </row>
    <row r="2100" spans="11:31" x14ac:dyDescent="0.3">
      <c r="K2100" s="21"/>
      <c r="L2100" s="21"/>
      <c r="T2100" s="15"/>
      <c r="U2100" s="15"/>
      <c r="AB2100" s="19"/>
      <c r="AC2100" s="20"/>
      <c r="AD2100" s="19"/>
      <c r="AE2100" s="98"/>
    </row>
    <row r="2101" spans="11:31" x14ac:dyDescent="0.3">
      <c r="K2101" s="21"/>
      <c r="L2101" s="21"/>
      <c r="T2101" s="15"/>
      <c r="U2101" s="15"/>
      <c r="AB2101" s="19"/>
      <c r="AC2101" s="20"/>
      <c r="AD2101" s="19"/>
      <c r="AE2101" s="98"/>
    </row>
    <row r="2102" spans="11:31" x14ac:dyDescent="0.3">
      <c r="K2102" s="21"/>
      <c r="L2102" s="21"/>
      <c r="T2102" s="15"/>
      <c r="U2102" s="15"/>
      <c r="AB2102" s="19"/>
      <c r="AC2102" s="20"/>
      <c r="AD2102" s="19"/>
      <c r="AE2102" s="98"/>
    </row>
    <row r="2103" spans="11:31" x14ac:dyDescent="0.3">
      <c r="K2103" s="21"/>
      <c r="L2103" s="21"/>
      <c r="T2103" s="15"/>
      <c r="U2103" s="15"/>
      <c r="AB2103" s="19"/>
      <c r="AC2103" s="20"/>
      <c r="AD2103" s="19"/>
      <c r="AE2103" s="98"/>
    </row>
    <row r="2104" spans="11:31" x14ac:dyDescent="0.3">
      <c r="K2104" s="21"/>
      <c r="L2104" s="21"/>
      <c r="T2104" s="15"/>
      <c r="U2104" s="15"/>
      <c r="AB2104" s="19"/>
      <c r="AC2104" s="20"/>
      <c r="AD2104" s="19"/>
      <c r="AE2104" s="98"/>
    </row>
    <row r="2105" spans="11:31" x14ac:dyDescent="0.3">
      <c r="K2105" s="21"/>
      <c r="L2105" s="21"/>
      <c r="T2105" s="15"/>
      <c r="U2105" s="15"/>
      <c r="AB2105" s="19"/>
      <c r="AC2105" s="20"/>
      <c r="AD2105" s="19"/>
      <c r="AE2105" s="98"/>
    </row>
    <row r="2106" spans="11:31" x14ac:dyDescent="0.3">
      <c r="K2106" s="21"/>
      <c r="L2106" s="21"/>
      <c r="T2106" s="15"/>
      <c r="U2106" s="15"/>
      <c r="AB2106" s="19"/>
      <c r="AC2106" s="20"/>
      <c r="AD2106" s="19"/>
      <c r="AE2106" s="98"/>
    </row>
    <row r="2107" spans="11:31" x14ac:dyDescent="0.3">
      <c r="K2107" s="21"/>
      <c r="L2107" s="21"/>
      <c r="T2107" s="15"/>
      <c r="U2107" s="15"/>
      <c r="AB2107" s="19"/>
      <c r="AC2107" s="20"/>
      <c r="AD2107" s="19"/>
      <c r="AE2107" s="98"/>
    </row>
    <row r="2108" spans="11:31" x14ac:dyDescent="0.3">
      <c r="K2108" s="21"/>
      <c r="L2108" s="21"/>
      <c r="T2108" s="15"/>
      <c r="U2108" s="15"/>
      <c r="AB2108" s="19"/>
      <c r="AC2108" s="20"/>
      <c r="AD2108" s="19"/>
      <c r="AE2108" s="98"/>
    </row>
    <row r="2109" spans="11:31" x14ac:dyDescent="0.3">
      <c r="K2109" s="21"/>
      <c r="L2109" s="21"/>
      <c r="T2109" s="15"/>
      <c r="U2109" s="15"/>
      <c r="AB2109" s="19"/>
      <c r="AC2109" s="20"/>
      <c r="AD2109" s="19"/>
      <c r="AE2109" s="98"/>
    </row>
    <row r="2110" spans="11:31" x14ac:dyDescent="0.3">
      <c r="K2110" s="21"/>
      <c r="L2110" s="21"/>
      <c r="T2110" s="15"/>
      <c r="U2110" s="15"/>
      <c r="AB2110" s="19"/>
      <c r="AC2110" s="20"/>
      <c r="AD2110" s="19"/>
      <c r="AE2110" s="98"/>
    </row>
    <row r="2111" spans="11:31" x14ac:dyDescent="0.3">
      <c r="K2111" s="21"/>
      <c r="L2111" s="21"/>
      <c r="T2111" s="15"/>
      <c r="U2111" s="15"/>
      <c r="AB2111" s="19"/>
      <c r="AC2111" s="20"/>
      <c r="AD2111" s="19"/>
      <c r="AE2111" s="98"/>
    </row>
    <row r="2112" spans="11:31" x14ac:dyDescent="0.3">
      <c r="K2112" s="21"/>
      <c r="L2112" s="21"/>
      <c r="T2112" s="15"/>
      <c r="U2112" s="15"/>
      <c r="AB2112" s="19"/>
      <c r="AC2112" s="20"/>
      <c r="AD2112" s="19"/>
      <c r="AE2112" s="98"/>
    </row>
    <row r="2113" spans="11:31" x14ac:dyDescent="0.3">
      <c r="K2113" s="21"/>
      <c r="L2113" s="21"/>
      <c r="T2113" s="15"/>
      <c r="U2113" s="15"/>
      <c r="AB2113" s="19"/>
      <c r="AC2113" s="20"/>
      <c r="AD2113" s="19"/>
      <c r="AE2113" s="98"/>
    </row>
    <row r="2114" spans="11:31" x14ac:dyDescent="0.3">
      <c r="K2114" s="21"/>
      <c r="L2114" s="21"/>
      <c r="T2114" s="15"/>
      <c r="U2114" s="15"/>
      <c r="AB2114" s="19"/>
      <c r="AC2114" s="20"/>
      <c r="AD2114" s="19"/>
      <c r="AE2114" s="98"/>
    </row>
    <row r="2115" spans="11:31" x14ac:dyDescent="0.3">
      <c r="K2115" s="21"/>
      <c r="L2115" s="21"/>
      <c r="T2115" s="15"/>
      <c r="U2115" s="15"/>
      <c r="AB2115" s="19"/>
      <c r="AC2115" s="20"/>
      <c r="AD2115" s="19"/>
      <c r="AE2115" s="98"/>
    </row>
    <row r="2116" spans="11:31" x14ac:dyDescent="0.3">
      <c r="K2116" s="21"/>
      <c r="L2116" s="21"/>
      <c r="T2116" s="15"/>
      <c r="U2116" s="15"/>
      <c r="AB2116" s="19"/>
      <c r="AC2116" s="20"/>
      <c r="AD2116" s="19"/>
      <c r="AE2116" s="98"/>
    </row>
    <row r="2117" spans="11:31" x14ac:dyDescent="0.3">
      <c r="K2117" s="21"/>
      <c r="L2117" s="21"/>
      <c r="T2117" s="15"/>
      <c r="U2117" s="15"/>
      <c r="AB2117" s="19"/>
      <c r="AC2117" s="20"/>
      <c r="AD2117" s="19"/>
      <c r="AE2117" s="98"/>
    </row>
    <row r="2118" spans="11:31" x14ac:dyDescent="0.3">
      <c r="K2118" s="21"/>
      <c r="L2118" s="21"/>
      <c r="T2118" s="15"/>
      <c r="U2118" s="15"/>
      <c r="AB2118" s="19"/>
      <c r="AC2118" s="20"/>
      <c r="AD2118" s="19"/>
      <c r="AE2118" s="98"/>
    </row>
    <row r="2119" spans="11:31" x14ac:dyDescent="0.3">
      <c r="K2119" s="21"/>
      <c r="L2119" s="21"/>
      <c r="T2119" s="15"/>
      <c r="U2119" s="15"/>
      <c r="AB2119" s="19"/>
      <c r="AC2119" s="20"/>
      <c r="AD2119" s="19"/>
      <c r="AE2119" s="98"/>
    </row>
    <row r="2120" spans="11:31" x14ac:dyDescent="0.3">
      <c r="K2120" s="21"/>
      <c r="L2120" s="21"/>
      <c r="T2120" s="15"/>
      <c r="U2120" s="15"/>
      <c r="AB2120" s="19"/>
      <c r="AC2120" s="20"/>
      <c r="AD2120" s="19"/>
      <c r="AE2120" s="98"/>
    </row>
    <row r="2121" spans="11:31" x14ac:dyDescent="0.3">
      <c r="K2121" s="21"/>
      <c r="L2121" s="21"/>
      <c r="T2121" s="15"/>
      <c r="U2121" s="15"/>
      <c r="AB2121" s="19"/>
      <c r="AC2121" s="20"/>
      <c r="AD2121" s="19"/>
      <c r="AE2121" s="98"/>
    </row>
    <row r="1047086" spans="1:365" s="23" customFormat="1" x14ac:dyDescent="0.3">
      <c r="A1047086" s="107"/>
      <c r="B1047086" s="46"/>
      <c r="C1047086" s="46"/>
      <c r="D1047086" s="13"/>
      <c r="E1047086" s="13"/>
      <c r="F1047086" s="13"/>
      <c r="G1047086" s="14"/>
      <c r="H1047086" s="14"/>
      <c r="K1047086" s="14"/>
      <c r="M1047086" s="14"/>
      <c r="N1047086" s="14"/>
      <c r="O1047086" s="14"/>
      <c r="P1047086" s="14"/>
      <c r="Q1047086" s="14"/>
      <c r="R1047086" s="14"/>
      <c r="S1047086" s="14"/>
      <c r="T1047086" s="22"/>
      <c r="U1047086" s="22"/>
      <c r="V1047086" s="16"/>
      <c r="W1047086" s="17"/>
      <c r="X1047086" s="14"/>
      <c r="Y1047086" s="14"/>
      <c r="Z1047086" s="14"/>
      <c r="AA1047086" s="18"/>
      <c r="AB1047086" s="1"/>
      <c r="AC1047086" s="2"/>
      <c r="AD1047086" s="1"/>
      <c r="AE1047086" s="1"/>
      <c r="AF1047086" s="3"/>
      <c r="AG1047086" s="3"/>
      <c r="AH1047086" s="3"/>
      <c r="AI1047086" s="3"/>
      <c r="AJ1047086" s="3"/>
      <c r="AK1047086" s="3"/>
      <c r="AL1047086" s="3"/>
      <c r="AM1047086" s="3"/>
      <c r="AN1047086" s="3"/>
      <c r="AO1047086" s="3"/>
      <c r="AP1047086" s="3"/>
      <c r="AQ1047086" s="3"/>
      <c r="AR1047086" s="3"/>
      <c r="AS1047086" s="3"/>
      <c r="AT1047086" s="3"/>
      <c r="AU1047086" s="3"/>
      <c r="AV1047086" s="3"/>
      <c r="AW1047086" s="3"/>
      <c r="AX1047086" s="3"/>
      <c r="AY1047086" s="3"/>
      <c r="AZ1047086" s="3"/>
      <c r="BA1047086" s="3"/>
      <c r="BB1047086" s="3"/>
      <c r="BC1047086" s="3"/>
      <c r="BD1047086" s="3"/>
      <c r="BE1047086" s="3"/>
      <c r="BF1047086" s="3"/>
      <c r="BG1047086" s="3"/>
      <c r="BH1047086" s="3"/>
      <c r="BI1047086" s="3"/>
      <c r="BJ1047086" s="3"/>
      <c r="BK1047086" s="3"/>
      <c r="BL1047086" s="3"/>
      <c r="BM1047086" s="3"/>
      <c r="BN1047086" s="3"/>
      <c r="BO1047086" s="3"/>
      <c r="BP1047086" s="3"/>
      <c r="BQ1047086" s="3"/>
      <c r="BR1047086" s="3"/>
      <c r="BS1047086" s="3"/>
      <c r="BT1047086" s="3"/>
      <c r="BU1047086" s="3"/>
      <c r="BV1047086" s="3"/>
      <c r="BW1047086" s="3"/>
      <c r="BX1047086" s="3"/>
      <c r="BY1047086" s="3"/>
      <c r="BZ1047086" s="3"/>
      <c r="CA1047086" s="3"/>
      <c r="CB1047086" s="3"/>
      <c r="CC1047086" s="3"/>
      <c r="CD1047086" s="3"/>
      <c r="CE1047086" s="3"/>
      <c r="CF1047086" s="3"/>
      <c r="CG1047086" s="3"/>
      <c r="CH1047086" s="3"/>
      <c r="CI1047086" s="3"/>
      <c r="CJ1047086" s="3"/>
      <c r="CK1047086" s="3"/>
      <c r="CL1047086" s="3"/>
      <c r="CM1047086" s="3"/>
      <c r="CN1047086" s="3"/>
      <c r="CO1047086" s="3"/>
      <c r="CP1047086" s="3"/>
      <c r="CQ1047086" s="3"/>
      <c r="CR1047086" s="3"/>
      <c r="CS1047086" s="3"/>
      <c r="CT1047086" s="3"/>
      <c r="CU1047086" s="3"/>
      <c r="CV1047086" s="3"/>
      <c r="CW1047086" s="3"/>
      <c r="CX1047086" s="3"/>
      <c r="CY1047086" s="3"/>
      <c r="CZ1047086" s="3"/>
      <c r="DA1047086" s="3"/>
      <c r="DB1047086" s="3"/>
      <c r="DC1047086" s="3"/>
      <c r="DD1047086" s="3"/>
      <c r="DE1047086" s="3"/>
      <c r="DF1047086" s="3"/>
      <c r="DG1047086" s="3"/>
      <c r="DH1047086" s="3"/>
      <c r="DI1047086" s="3"/>
      <c r="DJ1047086" s="3"/>
      <c r="DK1047086" s="3"/>
      <c r="DL1047086" s="3"/>
      <c r="DM1047086" s="3"/>
      <c r="DN1047086" s="3"/>
      <c r="DO1047086" s="3"/>
      <c r="DP1047086" s="3"/>
      <c r="DQ1047086" s="3"/>
      <c r="DR1047086" s="3"/>
      <c r="DS1047086" s="3"/>
      <c r="DT1047086" s="3"/>
      <c r="DU1047086" s="3"/>
      <c r="DV1047086" s="3"/>
      <c r="DW1047086" s="3"/>
      <c r="DX1047086" s="3"/>
      <c r="DY1047086" s="3"/>
      <c r="DZ1047086" s="3"/>
      <c r="EA1047086" s="3"/>
      <c r="EB1047086" s="3"/>
      <c r="EC1047086" s="3"/>
      <c r="ED1047086" s="3"/>
      <c r="EE1047086" s="3"/>
      <c r="EF1047086" s="3"/>
      <c r="EG1047086" s="3"/>
      <c r="EH1047086" s="3"/>
      <c r="EI1047086" s="3"/>
      <c r="EJ1047086" s="3"/>
      <c r="EK1047086" s="3"/>
      <c r="EL1047086" s="3"/>
      <c r="EM1047086" s="3"/>
      <c r="EN1047086" s="3"/>
      <c r="EO1047086" s="3"/>
      <c r="EP1047086" s="3"/>
      <c r="EQ1047086" s="3"/>
      <c r="ER1047086" s="3"/>
      <c r="ES1047086" s="3"/>
      <c r="ET1047086" s="3"/>
      <c r="EU1047086" s="3"/>
      <c r="EV1047086" s="3"/>
      <c r="EW1047086" s="3"/>
      <c r="EX1047086" s="3"/>
      <c r="EY1047086" s="3"/>
      <c r="EZ1047086" s="3"/>
      <c r="FA1047086" s="3"/>
      <c r="FB1047086" s="3"/>
      <c r="FC1047086" s="3"/>
      <c r="FD1047086" s="3"/>
      <c r="FE1047086" s="3"/>
      <c r="FF1047086" s="3"/>
      <c r="FG1047086" s="3"/>
      <c r="FH1047086" s="3"/>
      <c r="FI1047086" s="3"/>
      <c r="FJ1047086" s="3"/>
      <c r="FK1047086" s="3"/>
      <c r="FL1047086" s="3"/>
      <c r="FM1047086" s="3"/>
      <c r="FN1047086" s="3"/>
      <c r="FO1047086" s="3"/>
      <c r="FP1047086" s="3"/>
      <c r="FQ1047086" s="3"/>
      <c r="FR1047086" s="3"/>
      <c r="FS1047086" s="3"/>
      <c r="FT1047086" s="3"/>
      <c r="FU1047086" s="3"/>
      <c r="FV1047086" s="3"/>
      <c r="FW1047086" s="3"/>
      <c r="FX1047086" s="3"/>
      <c r="FY1047086" s="3"/>
      <c r="FZ1047086" s="3"/>
      <c r="GA1047086" s="3"/>
      <c r="GB1047086" s="3"/>
      <c r="GC1047086" s="3"/>
      <c r="GD1047086" s="3"/>
      <c r="GE1047086" s="3"/>
      <c r="GF1047086" s="3"/>
      <c r="GG1047086" s="3"/>
      <c r="GH1047086" s="3"/>
      <c r="GI1047086" s="3"/>
      <c r="GJ1047086" s="3"/>
      <c r="GK1047086" s="3"/>
      <c r="GL1047086" s="3"/>
      <c r="GM1047086" s="3"/>
      <c r="GN1047086" s="3"/>
      <c r="GO1047086" s="3"/>
      <c r="GP1047086" s="3"/>
      <c r="GQ1047086" s="3"/>
      <c r="GR1047086" s="3"/>
      <c r="GS1047086" s="3"/>
      <c r="GT1047086" s="3"/>
      <c r="GU1047086" s="3"/>
      <c r="GV1047086" s="3"/>
      <c r="GW1047086" s="3"/>
      <c r="GX1047086" s="3"/>
      <c r="GY1047086" s="3"/>
      <c r="GZ1047086" s="3"/>
      <c r="HA1047086" s="3"/>
      <c r="HB1047086" s="3"/>
      <c r="HC1047086" s="3"/>
      <c r="HD1047086" s="3"/>
      <c r="HE1047086" s="3"/>
      <c r="HF1047086" s="3"/>
      <c r="HG1047086" s="3"/>
      <c r="HH1047086" s="3"/>
      <c r="HI1047086" s="3"/>
      <c r="HJ1047086" s="3"/>
      <c r="HK1047086" s="3"/>
      <c r="HL1047086" s="3"/>
      <c r="HM1047086" s="3"/>
      <c r="HN1047086" s="3"/>
      <c r="HO1047086" s="3"/>
      <c r="HP1047086" s="3"/>
      <c r="HQ1047086" s="3"/>
      <c r="HR1047086" s="3"/>
      <c r="HS1047086" s="3"/>
      <c r="HT1047086" s="3"/>
      <c r="HU1047086" s="3"/>
      <c r="HV1047086" s="3"/>
      <c r="HW1047086" s="3"/>
      <c r="HX1047086" s="3"/>
      <c r="HY1047086" s="3"/>
      <c r="HZ1047086" s="3"/>
      <c r="IA1047086" s="3"/>
      <c r="IB1047086" s="3"/>
      <c r="IC1047086" s="3"/>
      <c r="ID1047086" s="3"/>
      <c r="IE1047086" s="3"/>
      <c r="IF1047086" s="3"/>
      <c r="IG1047086" s="3"/>
      <c r="IH1047086" s="3"/>
      <c r="II1047086" s="3"/>
      <c r="IJ1047086" s="3"/>
      <c r="IK1047086" s="3"/>
      <c r="IL1047086" s="3"/>
      <c r="IM1047086" s="3"/>
      <c r="IN1047086" s="3"/>
      <c r="IO1047086" s="3"/>
      <c r="IP1047086" s="3"/>
      <c r="IQ1047086" s="3"/>
      <c r="IR1047086" s="3"/>
      <c r="IS1047086" s="3"/>
      <c r="IT1047086" s="3"/>
      <c r="IU1047086" s="3"/>
      <c r="IV1047086" s="3"/>
      <c r="IW1047086" s="3"/>
      <c r="IX1047086" s="3"/>
      <c r="IY1047086" s="3"/>
      <c r="IZ1047086" s="3"/>
      <c r="JA1047086" s="3"/>
      <c r="JB1047086" s="3"/>
      <c r="JC1047086" s="3"/>
      <c r="JD1047086" s="3"/>
      <c r="JE1047086" s="3"/>
      <c r="JF1047086" s="3"/>
      <c r="JG1047086" s="3"/>
      <c r="JH1047086" s="3"/>
      <c r="JI1047086" s="3"/>
      <c r="JJ1047086" s="3"/>
      <c r="JK1047086" s="3"/>
      <c r="JL1047086" s="3"/>
      <c r="JM1047086" s="3"/>
      <c r="JN1047086" s="3"/>
      <c r="JO1047086" s="3"/>
      <c r="JP1047086" s="3"/>
      <c r="JQ1047086" s="3"/>
      <c r="JR1047086" s="3"/>
      <c r="JS1047086" s="3"/>
      <c r="JT1047086" s="3"/>
      <c r="JU1047086" s="3"/>
      <c r="JV1047086" s="3"/>
      <c r="JW1047086" s="3"/>
      <c r="JX1047086" s="3"/>
      <c r="JY1047086" s="3"/>
      <c r="JZ1047086" s="3"/>
      <c r="KA1047086" s="3"/>
      <c r="KB1047086" s="3"/>
      <c r="KC1047086" s="3"/>
      <c r="KD1047086" s="3"/>
      <c r="KE1047086" s="3"/>
      <c r="KF1047086" s="3"/>
      <c r="KG1047086" s="3"/>
      <c r="KH1047086" s="3"/>
      <c r="KI1047086" s="3"/>
      <c r="KJ1047086" s="3"/>
      <c r="KK1047086" s="3"/>
      <c r="KL1047086" s="3"/>
      <c r="KM1047086" s="3"/>
      <c r="KN1047086" s="3"/>
      <c r="KO1047086" s="3"/>
      <c r="KP1047086" s="3"/>
      <c r="KQ1047086" s="3"/>
      <c r="KR1047086" s="3"/>
      <c r="KS1047086" s="3"/>
      <c r="KT1047086" s="3"/>
      <c r="KU1047086" s="3"/>
      <c r="KV1047086" s="3"/>
      <c r="KW1047086" s="3"/>
      <c r="KX1047086" s="3"/>
      <c r="KY1047086" s="3"/>
      <c r="KZ1047086" s="3"/>
      <c r="LA1047086" s="3"/>
      <c r="LB1047086" s="3"/>
      <c r="LC1047086" s="3"/>
      <c r="LD1047086" s="3"/>
      <c r="LE1047086" s="3"/>
      <c r="LF1047086" s="3"/>
      <c r="LG1047086" s="3"/>
      <c r="LH1047086" s="3"/>
      <c r="LI1047086" s="3"/>
      <c r="LJ1047086" s="3"/>
      <c r="LK1047086" s="3"/>
      <c r="LL1047086" s="3"/>
      <c r="LM1047086" s="3"/>
      <c r="LN1047086" s="3"/>
      <c r="LO1047086" s="3"/>
      <c r="LP1047086" s="3"/>
      <c r="LQ1047086" s="3"/>
      <c r="LR1047086" s="3"/>
      <c r="LS1047086" s="3"/>
      <c r="LT1047086" s="3"/>
      <c r="LU1047086" s="3"/>
      <c r="LV1047086" s="3"/>
      <c r="LW1047086" s="3"/>
      <c r="LX1047086" s="3"/>
      <c r="LY1047086" s="3"/>
      <c r="LZ1047086" s="3"/>
      <c r="MA1047086" s="3"/>
      <c r="MB1047086" s="3"/>
      <c r="MC1047086" s="3"/>
      <c r="MD1047086" s="3"/>
      <c r="ME1047086" s="3"/>
      <c r="MF1047086" s="3"/>
      <c r="MG1047086" s="3"/>
      <c r="MH1047086" s="3"/>
      <c r="MI1047086" s="3"/>
      <c r="MJ1047086" s="3"/>
      <c r="MK1047086" s="3"/>
      <c r="ML1047086" s="3"/>
      <c r="MM1047086" s="3"/>
      <c r="MN1047086" s="3"/>
      <c r="MO1047086" s="3"/>
      <c r="MP1047086" s="3"/>
      <c r="MQ1047086" s="3"/>
      <c r="MR1047086" s="3"/>
      <c r="MS1047086" s="3"/>
      <c r="MT1047086" s="3"/>
      <c r="MU1047086" s="3"/>
      <c r="MV1047086" s="3"/>
      <c r="MW1047086" s="3"/>
      <c r="MX1047086" s="3"/>
      <c r="MY1047086" s="3"/>
      <c r="MZ1047086" s="3"/>
      <c r="NA1047086" s="3"/>
    </row>
    <row r="1047087" spans="1:365" s="23" customFormat="1" x14ac:dyDescent="0.3">
      <c r="A1047087" s="107"/>
      <c r="B1047087" s="46"/>
      <c r="C1047087" s="46"/>
      <c r="D1047087" s="13"/>
      <c r="E1047087" s="13"/>
      <c r="F1047087" s="13"/>
      <c r="G1047087" s="14"/>
      <c r="H1047087" s="14"/>
      <c r="K1047087" s="14"/>
      <c r="M1047087" s="14"/>
      <c r="N1047087" s="14"/>
      <c r="O1047087" s="14"/>
      <c r="P1047087" s="14"/>
      <c r="Q1047087" s="14"/>
      <c r="R1047087" s="14"/>
      <c r="S1047087" s="14"/>
      <c r="T1047087" s="22"/>
      <c r="U1047087" s="22"/>
      <c r="V1047087" s="16"/>
      <c r="W1047087" s="17"/>
      <c r="X1047087" s="14"/>
      <c r="Y1047087" s="14"/>
      <c r="Z1047087" s="14"/>
      <c r="AA1047087" s="18"/>
      <c r="AB1047087" s="1"/>
      <c r="AC1047087" s="2"/>
      <c r="AD1047087" s="1"/>
      <c r="AE1047087" s="1"/>
      <c r="AF1047087" s="3"/>
      <c r="AG1047087" s="3"/>
      <c r="AH1047087" s="3"/>
      <c r="AI1047087" s="3"/>
      <c r="AJ1047087" s="3"/>
      <c r="AK1047087" s="3"/>
      <c r="AL1047087" s="3"/>
      <c r="AM1047087" s="3"/>
      <c r="AN1047087" s="3"/>
      <c r="AO1047087" s="3"/>
      <c r="AP1047087" s="3"/>
      <c r="AQ1047087" s="3"/>
      <c r="AR1047087" s="3"/>
      <c r="AS1047087" s="3"/>
      <c r="AT1047087" s="3"/>
      <c r="AU1047087" s="3"/>
      <c r="AV1047087" s="3"/>
      <c r="AW1047087" s="3"/>
      <c r="AX1047087" s="3"/>
      <c r="AY1047087" s="3"/>
      <c r="AZ1047087" s="3"/>
      <c r="BA1047087" s="3"/>
      <c r="BB1047087" s="3"/>
      <c r="BC1047087" s="3"/>
      <c r="BD1047087" s="3"/>
      <c r="BE1047087" s="3"/>
      <c r="BF1047087" s="3"/>
      <c r="BG1047087" s="3"/>
      <c r="BH1047087" s="3"/>
      <c r="BI1047087" s="3"/>
      <c r="BJ1047087" s="3"/>
      <c r="BK1047087" s="3"/>
      <c r="BL1047087" s="3"/>
      <c r="BM1047087" s="3"/>
      <c r="BN1047087" s="3"/>
      <c r="BO1047087" s="3"/>
      <c r="BP1047087" s="3"/>
      <c r="BQ1047087" s="3"/>
      <c r="BR1047087" s="3"/>
      <c r="BS1047087" s="3"/>
      <c r="BT1047087" s="3"/>
      <c r="BU1047087" s="3"/>
      <c r="BV1047087" s="3"/>
      <c r="BW1047087" s="3"/>
      <c r="BX1047087" s="3"/>
      <c r="BY1047087" s="3"/>
      <c r="BZ1047087" s="3"/>
      <c r="CA1047087" s="3"/>
      <c r="CB1047087" s="3"/>
      <c r="CC1047087" s="3"/>
      <c r="CD1047087" s="3"/>
      <c r="CE1047087" s="3"/>
      <c r="CF1047087" s="3"/>
      <c r="CG1047087" s="3"/>
      <c r="CH1047087" s="3"/>
      <c r="CI1047087" s="3"/>
      <c r="CJ1047087" s="3"/>
      <c r="CK1047087" s="3"/>
      <c r="CL1047087" s="3"/>
      <c r="CM1047087" s="3"/>
      <c r="CN1047087" s="3"/>
      <c r="CO1047087" s="3"/>
      <c r="CP1047087" s="3"/>
      <c r="CQ1047087" s="3"/>
      <c r="CR1047087" s="3"/>
      <c r="CS1047087" s="3"/>
      <c r="CT1047087" s="3"/>
      <c r="CU1047087" s="3"/>
      <c r="CV1047087" s="3"/>
      <c r="CW1047087" s="3"/>
      <c r="CX1047087" s="3"/>
      <c r="CY1047087" s="3"/>
      <c r="CZ1047087" s="3"/>
      <c r="DA1047087" s="3"/>
      <c r="DB1047087" s="3"/>
      <c r="DC1047087" s="3"/>
      <c r="DD1047087" s="3"/>
      <c r="DE1047087" s="3"/>
      <c r="DF1047087" s="3"/>
      <c r="DG1047087" s="3"/>
      <c r="DH1047087" s="3"/>
      <c r="DI1047087" s="3"/>
      <c r="DJ1047087" s="3"/>
      <c r="DK1047087" s="3"/>
      <c r="DL1047087" s="3"/>
      <c r="DM1047087" s="3"/>
      <c r="DN1047087" s="3"/>
      <c r="DO1047087" s="3"/>
      <c r="DP1047087" s="3"/>
      <c r="DQ1047087" s="3"/>
      <c r="DR1047087" s="3"/>
      <c r="DS1047087" s="3"/>
      <c r="DT1047087" s="3"/>
      <c r="DU1047087" s="3"/>
      <c r="DV1047087" s="3"/>
      <c r="DW1047087" s="3"/>
      <c r="DX1047087" s="3"/>
      <c r="DY1047087" s="3"/>
      <c r="DZ1047087" s="3"/>
      <c r="EA1047087" s="3"/>
      <c r="EB1047087" s="3"/>
      <c r="EC1047087" s="3"/>
      <c r="ED1047087" s="3"/>
      <c r="EE1047087" s="3"/>
      <c r="EF1047087" s="3"/>
      <c r="EG1047087" s="3"/>
      <c r="EH1047087" s="3"/>
      <c r="EI1047087" s="3"/>
      <c r="EJ1047087" s="3"/>
      <c r="EK1047087" s="3"/>
      <c r="EL1047087" s="3"/>
      <c r="EM1047087" s="3"/>
      <c r="EN1047087" s="3"/>
      <c r="EO1047087" s="3"/>
      <c r="EP1047087" s="3"/>
      <c r="EQ1047087" s="3"/>
      <c r="ER1047087" s="3"/>
      <c r="ES1047087" s="3"/>
      <c r="ET1047087" s="3"/>
      <c r="EU1047087" s="3"/>
      <c r="EV1047087" s="3"/>
      <c r="EW1047087" s="3"/>
      <c r="EX1047087" s="3"/>
      <c r="EY1047087" s="3"/>
      <c r="EZ1047087" s="3"/>
      <c r="FA1047087" s="3"/>
      <c r="FB1047087" s="3"/>
      <c r="FC1047087" s="3"/>
      <c r="FD1047087" s="3"/>
      <c r="FE1047087" s="3"/>
      <c r="FF1047087" s="3"/>
      <c r="FG1047087" s="3"/>
      <c r="FH1047087" s="3"/>
      <c r="FI1047087" s="3"/>
      <c r="FJ1047087" s="3"/>
      <c r="FK1047087" s="3"/>
      <c r="FL1047087" s="3"/>
      <c r="FM1047087" s="3"/>
      <c r="FN1047087" s="3"/>
      <c r="FO1047087" s="3"/>
      <c r="FP1047087" s="3"/>
      <c r="FQ1047087" s="3"/>
      <c r="FR1047087" s="3"/>
      <c r="FS1047087" s="3"/>
      <c r="FT1047087" s="3"/>
      <c r="FU1047087" s="3"/>
      <c r="FV1047087" s="3"/>
      <c r="FW1047087" s="3"/>
      <c r="FX1047087" s="3"/>
      <c r="FY1047087" s="3"/>
      <c r="FZ1047087" s="3"/>
      <c r="GA1047087" s="3"/>
      <c r="GB1047087" s="3"/>
      <c r="GC1047087" s="3"/>
      <c r="GD1047087" s="3"/>
      <c r="GE1047087" s="3"/>
      <c r="GF1047087" s="3"/>
      <c r="GG1047087" s="3"/>
      <c r="GH1047087" s="3"/>
      <c r="GI1047087" s="3"/>
      <c r="GJ1047087" s="3"/>
      <c r="GK1047087" s="3"/>
      <c r="GL1047087" s="3"/>
      <c r="GM1047087" s="3"/>
      <c r="GN1047087" s="3"/>
      <c r="GO1047087" s="3"/>
      <c r="GP1047087" s="3"/>
      <c r="GQ1047087" s="3"/>
      <c r="GR1047087" s="3"/>
      <c r="GS1047087" s="3"/>
      <c r="GT1047087" s="3"/>
      <c r="GU1047087" s="3"/>
      <c r="GV1047087" s="3"/>
      <c r="GW1047087" s="3"/>
      <c r="GX1047087" s="3"/>
      <c r="GY1047087" s="3"/>
      <c r="GZ1047087" s="3"/>
      <c r="HA1047087" s="3"/>
      <c r="HB1047087" s="3"/>
      <c r="HC1047087" s="3"/>
      <c r="HD1047087" s="3"/>
      <c r="HE1047087" s="3"/>
      <c r="HF1047087" s="3"/>
      <c r="HG1047087" s="3"/>
      <c r="HH1047087" s="3"/>
      <c r="HI1047087" s="3"/>
      <c r="HJ1047087" s="3"/>
      <c r="HK1047087" s="3"/>
      <c r="HL1047087" s="3"/>
      <c r="HM1047087" s="3"/>
      <c r="HN1047087" s="3"/>
      <c r="HO1047087" s="3"/>
      <c r="HP1047087" s="3"/>
      <c r="HQ1047087" s="3"/>
      <c r="HR1047087" s="3"/>
      <c r="HS1047087" s="3"/>
      <c r="HT1047087" s="3"/>
      <c r="HU1047087" s="3"/>
      <c r="HV1047087" s="3"/>
      <c r="HW1047087" s="3"/>
      <c r="HX1047087" s="3"/>
      <c r="HY1047087" s="3"/>
      <c r="HZ1047087" s="3"/>
      <c r="IA1047087" s="3"/>
      <c r="IB1047087" s="3"/>
      <c r="IC1047087" s="3"/>
      <c r="ID1047087" s="3"/>
      <c r="IE1047087" s="3"/>
      <c r="IF1047087" s="3"/>
      <c r="IG1047087" s="3"/>
      <c r="IH1047087" s="3"/>
      <c r="II1047087" s="3"/>
      <c r="IJ1047087" s="3"/>
      <c r="IK1047087" s="3"/>
      <c r="IL1047087" s="3"/>
      <c r="IM1047087" s="3"/>
      <c r="IN1047087" s="3"/>
      <c r="IO1047087" s="3"/>
      <c r="IP1047087" s="3"/>
      <c r="IQ1047087" s="3"/>
      <c r="IR1047087" s="3"/>
      <c r="IS1047087" s="3"/>
      <c r="IT1047087" s="3"/>
      <c r="IU1047087" s="3"/>
      <c r="IV1047087" s="3"/>
      <c r="IW1047087" s="3"/>
      <c r="IX1047087" s="3"/>
      <c r="IY1047087" s="3"/>
      <c r="IZ1047087" s="3"/>
      <c r="JA1047087" s="3"/>
      <c r="JB1047087" s="3"/>
      <c r="JC1047087" s="3"/>
      <c r="JD1047087" s="3"/>
      <c r="JE1047087" s="3"/>
      <c r="JF1047087" s="3"/>
      <c r="JG1047087" s="3"/>
      <c r="JH1047087" s="3"/>
      <c r="JI1047087" s="3"/>
      <c r="JJ1047087" s="3"/>
      <c r="JK1047087" s="3"/>
      <c r="JL1047087" s="3"/>
      <c r="JM1047087" s="3"/>
      <c r="JN1047087" s="3"/>
      <c r="JO1047087" s="3"/>
      <c r="JP1047087" s="3"/>
      <c r="JQ1047087" s="3"/>
      <c r="JR1047087" s="3"/>
      <c r="JS1047087" s="3"/>
      <c r="JT1047087" s="3"/>
      <c r="JU1047087" s="3"/>
      <c r="JV1047087" s="3"/>
      <c r="JW1047087" s="3"/>
      <c r="JX1047087" s="3"/>
      <c r="JY1047087" s="3"/>
      <c r="JZ1047087" s="3"/>
      <c r="KA1047087" s="3"/>
      <c r="KB1047087" s="3"/>
      <c r="KC1047087" s="3"/>
      <c r="KD1047087" s="3"/>
      <c r="KE1047087" s="3"/>
      <c r="KF1047087" s="3"/>
      <c r="KG1047087" s="3"/>
      <c r="KH1047087" s="3"/>
      <c r="KI1047087" s="3"/>
      <c r="KJ1047087" s="3"/>
      <c r="KK1047087" s="3"/>
      <c r="KL1047087" s="3"/>
      <c r="KM1047087" s="3"/>
      <c r="KN1047087" s="3"/>
      <c r="KO1047087" s="3"/>
      <c r="KP1047087" s="3"/>
      <c r="KQ1047087" s="3"/>
      <c r="KR1047087" s="3"/>
      <c r="KS1047087" s="3"/>
      <c r="KT1047087" s="3"/>
      <c r="KU1047087" s="3"/>
      <c r="KV1047087" s="3"/>
      <c r="KW1047087" s="3"/>
      <c r="KX1047087" s="3"/>
      <c r="KY1047087" s="3"/>
      <c r="KZ1047087" s="3"/>
      <c r="LA1047087" s="3"/>
      <c r="LB1047087" s="3"/>
      <c r="LC1047087" s="3"/>
      <c r="LD1047087" s="3"/>
      <c r="LE1047087" s="3"/>
      <c r="LF1047087" s="3"/>
      <c r="LG1047087" s="3"/>
      <c r="LH1047087" s="3"/>
      <c r="LI1047087" s="3"/>
      <c r="LJ1047087" s="3"/>
      <c r="LK1047087" s="3"/>
      <c r="LL1047087" s="3"/>
      <c r="LM1047087" s="3"/>
      <c r="LN1047087" s="3"/>
      <c r="LO1047087" s="3"/>
      <c r="LP1047087" s="3"/>
      <c r="LQ1047087" s="3"/>
      <c r="LR1047087" s="3"/>
      <c r="LS1047087" s="3"/>
      <c r="LT1047087" s="3"/>
      <c r="LU1047087" s="3"/>
      <c r="LV1047087" s="3"/>
      <c r="LW1047087" s="3"/>
      <c r="LX1047087" s="3"/>
      <c r="LY1047087" s="3"/>
      <c r="LZ1047087" s="3"/>
      <c r="MA1047087" s="3"/>
      <c r="MB1047087" s="3"/>
      <c r="MC1047087" s="3"/>
      <c r="MD1047087" s="3"/>
      <c r="ME1047087" s="3"/>
      <c r="MF1047087" s="3"/>
      <c r="MG1047087" s="3"/>
      <c r="MH1047087" s="3"/>
      <c r="MI1047087" s="3"/>
      <c r="MJ1047087" s="3"/>
      <c r="MK1047087" s="3"/>
      <c r="ML1047087" s="3"/>
      <c r="MM1047087" s="3"/>
      <c r="MN1047087" s="3"/>
      <c r="MO1047087" s="3"/>
      <c r="MP1047087" s="3"/>
      <c r="MQ1047087" s="3"/>
      <c r="MR1047087" s="3"/>
      <c r="MS1047087" s="3"/>
      <c r="MT1047087" s="3"/>
      <c r="MU1047087" s="3"/>
      <c r="MV1047087" s="3"/>
      <c r="MW1047087" s="3"/>
      <c r="MX1047087" s="3"/>
      <c r="MY1047087" s="3"/>
      <c r="MZ1047087" s="3"/>
      <c r="NA1047087" s="3"/>
    </row>
    <row r="1047088" spans="1:365" s="23" customFormat="1" x14ac:dyDescent="0.3">
      <c r="A1047088" s="107"/>
      <c r="B1047088" s="46"/>
      <c r="C1047088" s="46"/>
      <c r="D1047088" s="13"/>
      <c r="E1047088" s="13"/>
      <c r="F1047088" s="13"/>
      <c r="G1047088" s="14"/>
      <c r="H1047088" s="14"/>
      <c r="K1047088" s="14"/>
      <c r="M1047088" s="14"/>
      <c r="N1047088" s="14"/>
      <c r="O1047088" s="14"/>
      <c r="P1047088" s="14"/>
      <c r="Q1047088" s="14"/>
      <c r="R1047088" s="14"/>
      <c r="S1047088" s="14"/>
      <c r="T1047088" s="22"/>
      <c r="U1047088" s="22"/>
      <c r="V1047088" s="16"/>
      <c r="W1047088" s="17"/>
      <c r="X1047088" s="14"/>
      <c r="Y1047088" s="14"/>
      <c r="Z1047088" s="14"/>
      <c r="AA1047088" s="18"/>
      <c r="AB1047088" s="1"/>
      <c r="AC1047088" s="2"/>
      <c r="AD1047088" s="1"/>
      <c r="AE1047088" s="1"/>
      <c r="AF1047088" s="3"/>
      <c r="AG1047088" s="3"/>
      <c r="AH1047088" s="3"/>
      <c r="AI1047088" s="3"/>
      <c r="AJ1047088" s="3"/>
      <c r="AK1047088" s="3"/>
      <c r="AL1047088" s="3"/>
      <c r="AM1047088" s="3"/>
      <c r="AN1047088" s="3"/>
      <c r="AO1047088" s="3"/>
      <c r="AP1047088" s="3"/>
      <c r="AQ1047088" s="3"/>
      <c r="AR1047088" s="3"/>
      <c r="AS1047088" s="3"/>
      <c r="AT1047088" s="3"/>
      <c r="AU1047088" s="3"/>
      <c r="AV1047088" s="3"/>
      <c r="AW1047088" s="3"/>
      <c r="AX1047088" s="3"/>
      <c r="AY1047088" s="3"/>
      <c r="AZ1047088" s="3"/>
      <c r="BA1047088" s="3"/>
      <c r="BB1047088" s="3"/>
      <c r="BC1047088" s="3"/>
      <c r="BD1047088" s="3"/>
      <c r="BE1047088" s="3"/>
      <c r="BF1047088" s="3"/>
      <c r="BG1047088" s="3"/>
      <c r="BH1047088" s="3"/>
      <c r="BI1047088" s="3"/>
      <c r="BJ1047088" s="3"/>
      <c r="BK1047088" s="3"/>
      <c r="BL1047088" s="3"/>
      <c r="BM1047088" s="3"/>
      <c r="BN1047088" s="3"/>
      <c r="BO1047088" s="3"/>
      <c r="BP1047088" s="3"/>
      <c r="BQ1047088" s="3"/>
      <c r="BR1047088" s="3"/>
      <c r="BS1047088" s="3"/>
      <c r="BT1047088" s="3"/>
      <c r="BU1047088" s="3"/>
      <c r="BV1047088" s="3"/>
      <c r="BW1047088" s="3"/>
      <c r="BX1047088" s="3"/>
      <c r="BY1047088" s="3"/>
      <c r="BZ1047088" s="3"/>
      <c r="CA1047088" s="3"/>
      <c r="CB1047088" s="3"/>
      <c r="CC1047088" s="3"/>
      <c r="CD1047088" s="3"/>
      <c r="CE1047088" s="3"/>
      <c r="CF1047088" s="3"/>
      <c r="CG1047088" s="3"/>
      <c r="CH1047088" s="3"/>
      <c r="CI1047088" s="3"/>
      <c r="CJ1047088" s="3"/>
      <c r="CK1047088" s="3"/>
      <c r="CL1047088" s="3"/>
      <c r="CM1047088" s="3"/>
      <c r="CN1047088" s="3"/>
      <c r="CO1047088" s="3"/>
      <c r="CP1047088" s="3"/>
      <c r="CQ1047088" s="3"/>
      <c r="CR1047088" s="3"/>
      <c r="CS1047088" s="3"/>
      <c r="CT1047088" s="3"/>
      <c r="CU1047088" s="3"/>
      <c r="CV1047088" s="3"/>
      <c r="CW1047088" s="3"/>
      <c r="CX1047088" s="3"/>
      <c r="CY1047088" s="3"/>
      <c r="CZ1047088" s="3"/>
      <c r="DA1047088" s="3"/>
      <c r="DB1047088" s="3"/>
      <c r="DC1047088" s="3"/>
      <c r="DD1047088" s="3"/>
      <c r="DE1047088" s="3"/>
      <c r="DF1047088" s="3"/>
      <c r="DG1047088" s="3"/>
      <c r="DH1047088" s="3"/>
      <c r="DI1047088" s="3"/>
      <c r="DJ1047088" s="3"/>
      <c r="DK1047088" s="3"/>
      <c r="DL1047088" s="3"/>
      <c r="DM1047088" s="3"/>
      <c r="DN1047088" s="3"/>
      <c r="DO1047088" s="3"/>
      <c r="DP1047088" s="3"/>
      <c r="DQ1047088" s="3"/>
      <c r="DR1047088" s="3"/>
      <c r="DS1047088" s="3"/>
      <c r="DT1047088" s="3"/>
      <c r="DU1047088" s="3"/>
      <c r="DV1047088" s="3"/>
      <c r="DW1047088" s="3"/>
      <c r="DX1047088" s="3"/>
      <c r="DY1047088" s="3"/>
      <c r="DZ1047088" s="3"/>
      <c r="EA1047088" s="3"/>
      <c r="EB1047088" s="3"/>
      <c r="EC1047088" s="3"/>
      <c r="ED1047088" s="3"/>
      <c r="EE1047088" s="3"/>
      <c r="EF1047088" s="3"/>
      <c r="EG1047088" s="3"/>
      <c r="EH1047088" s="3"/>
      <c r="EI1047088" s="3"/>
      <c r="EJ1047088" s="3"/>
      <c r="EK1047088" s="3"/>
      <c r="EL1047088" s="3"/>
      <c r="EM1047088" s="3"/>
      <c r="EN1047088" s="3"/>
      <c r="EO1047088" s="3"/>
      <c r="EP1047088" s="3"/>
      <c r="EQ1047088" s="3"/>
      <c r="ER1047088" s="3"/>
      <c r="ES1047088" s="3"/>
      <c r="ET1047088" s="3"/>
      <c r="EU1047088" s="3"/>
      <c r="EV1047088" s="3"/>
      <c r="EW1047088" s="3"/>
      <c r="EX1047088" s="3"/>
      <c r="EY1047088" s="3"/>
      <c r="EZ1047088" s="3"/>
      <c r="FA1047088" s="3"/>
      <c r="FB1047088" s="3"/>
      <c r="FC1047088" s="3"/>
      <c r="FD1047088" s="3"/>
      <c r="FE1047088" s="3"/>
      <c r="FF1047088" s="3"/>
      <c r="FG1047088" s="3"/>
      <c r="FH1047088" s="3"/>
      <c r="FI1047088" s="3"/>
      <c r="FJ1047088" s="3"/>
      <c r="FK1047088" s="3"/>
      <c r="FL1047088" s="3"/>
      <c r="FM1047088" s="3"/>
      <c r="FN1047088" s="3"/>
      <c r="FO1047088" s="3"/>
      <c r="FP1047088" s="3"/>
      <c r="FQ1047088" s="3"/>
      <c r="FR1047088" s="3"/>
      <c r="FS1047088" s="3"/>
      <c r="FT1047088" s="3"/>
      <c r="FU1047088" s="3"/>
      <c r="FV1047088" s="3"/>
      <c r="FW1047088" s="3"/>
      <c r="FX1047088" s="3"/>
      <c r="FY1047088" s="3"/>
      <c r="FZ1047088" s="3"/>
      <c r="GA1047088" s="3"/>
      <c r="GB1047088" s="3"/>
      <c r="GC1047088" s="3"/>
      <c r="GD1047088" s="3"/>
      <c r="GE1047088" s="3"/>
      <c r="GF1047088" s="3"/>
      <c r="GG1047088" s="3"/>
      <c r="GH1047088" s="3"/>
      <c r="GI1047088" s="3"/>
      <c r="GJ1047088" s="3"/>
      <c r="GK1047088" s="3"/>
      <c r="GL1047088" s="3"/>
      <c r="GM1047088" s="3"/>
      <c r="GN1047088" s="3"/>
      <c r="GO1047088" s="3"/>
      <c r="GP1047088" s="3"/>
      <c r="GQ1047088" s="3"/>
      <c r="GR1047088" s="3"/>
      <c r="GS1047088" s="3"/>
      <c r="GT1047088" s="3"/>
      <c r="GU1047088" s="3"/>
      <c r="GV1047088" s="3"/>
      <c r="GW1047088" s="3"/>
      <c r="GX1047088" s="3"/>
      <c r="GY1047088" s="3"/>
      <c r="GZ1047088" s="3"/>
      <c r="HA1047088" s="3"/>
      <c r="HB1047088" s="3"/>
      <c r="HC1047088" s="3"/>
      <c r="HD1047088" s="3"/>
      <c r="HE1047088" s="3"/>
      <c r="HF1047088" s="3"/>
      <c r="HG1047088" s="3"/>
      <c r="HH1047088" s="3"/>
      <c r="HI1047088" s="3"/>
      <c r="HJ1047088" s="3"/>
      <c r="HK1047088" s="3"/>
      <c r="HL1047088" s="3"/>
      <c r="HM1047088" s="3"/>
      <c r="HN1047088" s="3"/>
      <c r="HO1047088" s="3"/>
      <c r="HP1047088" s="3"/>
      <c r="HQ1047088" s="3"/>
      <c r="HR1047088" s="3"/>
      <c r="HS1047088" s="3"/>
      <c r="HT1047088" s="3"/>
      <c r="HU1047088" s="3"/>
      <c r="HV1047088" s="3"/>
      <c r="HW1047088" s="3"/>
      <c r="HX1047088" s="3"/>
      <c r="HY1047088" s="3"/>
      <c r="HZ1047088" s="3"/>
      <c r="IA1047088" s="3"/>
      <c r="IB1047088" s="3"/>
      <c r="IC1047088" s="3"/>
      <c r="ID1047088" s="3"/>
      <c r="IE1047088" s="3"/>
      <c r="IF1047088" s="3"/>
      <c r="IG1047088" s="3"/>
      <c r="IH1047088" s="3"/>
      <c r="II1047088" s="3"/>
      <c r="IJ1047088" s="3"/>
      <c r="IK1047088" s="3"/>
      <c r="IL1047088" s="3"/>
      <c r="IM1047088" s="3"/>
      <c r="IN1047088" s="3"/>
      <c r="IO1047088" s="3"/>
      <c r="IP1047088" s="3"/>
      <c r="IQ1047088" s="3"/>
      <c r="IR1047088" s="3"/>
      <c r="IS1047088" s="3"/>
      <c r="IT1047088" s="3"/>
      <c r="IU1047088" s="3"/>
      <c r="IV1047088" s="3"/>
      <c r="IW1047088" s="3"/>
      <c r="IX1047088" s="3"/>
      <c r="IY1047088" s="3"/>
      <c r="IZ1047088" s="3"/>
      <c r="JA1047088" s="3"/>
      <c r="JB1047088" s="3"/>
      <c r="JC1047088" s="3"/>
      <c r="JD1047088" s="3"/>
      <c r="JE1047088" s="3"/>
      <c r="JF1047088" s="3"/>
      <c r="JG1047088" s="3"/>
      <c r="JH1047088" s="3"/>
      <c r="JI1047088" s="3"/>
      <c r="JJ1047088" s="3"/>
      <c r="JK1047088" s="3"/>
      <c r="JL1047088" s="3"/>
      <c r="JM1047088" s="3"/>
      <c r="JN1047088" s="3"/>
      <c r="JO1047088" s="3"/>
      <c r="JP1047088" s="3"/>
      <c r="JQ1047088" s="3"/>
      <c r="JR1047088" s="3"/>
      <c r="JS1047088" s="3"/>
      <c r="JT1047088" s="3"/>
      <c r="JU1047088" s="3"/>
      <c r="JV1047088" s="3"/>
      <c r="JW1047088" s="3"/>
      <c r="JX1047088" s="3"/>
      <c r="JY1047088" s="3"/>
      <c r="JZ1047088" s="3"/>
      <c r="KA1047088" s="3"/>
      <c r="KB1047088" s="3"/>
      <c r="KC1047088" s="3"/>
      <c r="KD1047088" s="3"/>
      <c r="KE1047088" s="3"/>
      <c r="KF1047088" s="3"/>
      <c r="KG1047088" s="3"/>
      <c r="KH1047088" s="3"/>
      <c r="KI1047088" s="3"/>
      <c r="KJ1047088" s="3"/>
      <c r="KK1047088" s="3"/>
      <c r="KL1047088" s="3"/>
      <c r="KM1047088" s="3"/>
      <c r="KN1047088" s="3"/>
      <c r="KO1047088" s="3"/>
      <c r="KP1047088" s="3"/>
      <c r="KQ1047088" s="3"/>
      <c r="KR1047088" s="3"/>
      <c r="KS1047088" s="3"/>
      <c r="KT1047088" s="3"/>
      <c r="KU1047088" s="3"/>
      <c r="KV1047088" s="3"/>
      <c r="KW1047088" s="3"/>
      <c r="KX1047088" s="3"/>
      <c r="KY1047088" s="3"/>
      <c r="KZ1047088" s="3"/>
      <c r="LA1047088" s="3"/>
      <c r="LB1047088" s="3"/>
      <c r="LC1047088" s="3"/>
      <c r="LD1047088" s="3"/>
      <c r="LE1047088" s="3"/>
      <c r="LF1047088" s="3"/>
      <c r="LG1047088" s="3"/>
      <c r="LH1047088" s="3"/>
      <c r="LI1047088" s="3"/>
      <c r="LJ1047088" s="3"/>
      <c r="LK1047088" s="3"/>
      <c r="LL1047088" s="3"/>
      <c r="LM1047088" s="3"/>
      <c r="LN1047088" s="3"/>
      <c r="LO1047088" s="3"/>
      <c r="LP1047088" s="3"/>
      <c r="LQ1047088" s="3"/>
      <c r="LR1047088" s="3"/>
      <c r="LS1047088" s="3"/>
      <c r="LT1047088" s="3"/>
      <c r="LU1047088" s="3"/>
      <c r="LV1047088" s="3"/>
      <c r="LW1047088" s="3"/>
      <c r="LX1047088" s="3"/>
      <c r="LY1047088" s="3"/>
      <c r="LZ1047088" s="3"/>
      <c r="MA1047088" s="3"/>
      <c r="MB1047088" s="3"/>
      <c r="MC1047088" s="3"/>
      <c r="MD1047088" s="3"/>
      <c r="ME1047088" s="3"/>
      <c r="MF1047088" s="3"/>
      <c r="MG1047088" s="3"/>
      <c r="MH1047088" s="3"/>
      <c r="MI1047088" s="3"/>
      <c r="MJ1047088" s="3"/>
      <c r="MK1047088" s="3"/>
      <c r="ML1047088" s="3"/>
      <c r="MM1047088" s="3"/>
      <c r="MN1047088" s="3"/>
      <c r="MO1047088" s="3"/>
      <c r="MP1047088" s="3"/>
      <c r="MQ1047088" s="3"/>
      <c r="MR1047088" s="3"/>
      <c r="MS1047088" s="3"/>
      <c r="MT1047088" s="3"/>
      <c r="MU1047088" s="3"/>
      <c r="MV1047088" s="3"/>
      <c r="MW1047088" s="3"/>
      <c r="MX1047088" s="3"/>
      <c r="MY1047088" s="3"/>
      <c r="MZ1047088" s="3"/>
      <c r="NA1047088" s="3"/>
    </row>
    <row r="1047089" spans="1:365" s="23" customFormat="1" x14ac:dyDescent="0.3">
      <c r="A1047089" s="107"/>
      <c r="B1047089" s="46"/>
      <c r="C1047089" s="46"/>
      <c r="D1047089" s="13"/>
      <c r="E1047089" s="13"/>
      <c r="F1047089" s="13"/>
      <c r="G1047089" s="14"/>
      <c r="H1047089" s="14"/>
      <c r="K1047089" s="14"/>
      <c r="M1047089" s="14"/>
      <c r="N1047089" s="14"/>
      <c r="O1047089" s="14"/>
      <c r="P1047089" s="14"/>
      <c r="Q1047089" s="14"/>
      <c r="R1047089" s="14"/>
      <c r="S1047089" s="14"/>
      <c r="T1047089" s="22"/>
      <c r="U1047089" s="22"/>
      <c r="V1047089" s="16"/>
      <c r="W1047089" s="17"/>
      <c r="X1047089" s="14"/>
      <c r="Y1047089" s="14"/>
      <c r="Z1047089" s="14"/>
      <c r="AA1047089" s="18"/>
      <c r="AB1047089" s="1"/>
      <c r="AC1047089" s="2"/>
      <c r="AD1047089" s="1"/>
      <c r="AE1047089" s="1"/>
      <c r="AF1047089" s="3"/>
      <c r="AG1047089" s="3"/>
      <c r="AH1047089" s="3"/>
      <c r="AI1047089" s="3"/>
      <c r="AJ1047089" s="3"/>
      <c r="AK1047089" s="3"/>
      <c r="AL1047089" s="3"/>
      <c r="AM1047089" s="3"/>
      <c r="AN1047089" s="3"/>
      <c r="AO1047089" s="3"/>
      <c r="AP1047089" s="3"/>
      <c r="AQ1047089" s="3"/>
      <c r="AR1047089" s="3"/>
      <c r="AS1047089" s="3"/>
      <c r="AT1047089" s="3"/>
      <c r="AU1047089" s="3"/>
      <c r="AV1047089" s="3"/>
      <c r="AW1047089" s="3"/>
      <c r="AX1047089" s="3"/>
      <c r="AY1047089" s="3"/>
      <c r="AZ1047089" s="3"/>
      <c r="BA1047089" s="3"/>
      <c r="BB1047089" s="3"/>
      <c r="BC1047089" s="3"/>
      <c r="BD1047089" s="3"/>
      <c r="BE1047089" s="3"/>
      <c r="BF1047089" s="3"/>
      <c r="BG1047089" s="3"/>
      <c r="BH1047089" s="3"/>
      <c r="BI1047089" s="3"/>
      <c r="BJ1047089" s="3"/>
      <c r="BK1047089" s="3"/>
      <c r="BL1047089" s="3"/>
      <c r="BM1047089" s="3"/>
      <c r="BN1047089" s="3"/>
      <c r="BO1047089" s="3"/>
      <c r="BP1047089" s="3"/>
      <c r="BQ1047089" s="3"/>
      <c r="BR1047089" s="3"/>
      <c r="BS1047089" s="3"/>
      <c r="BT1047089" s="3"/>
      <c r="BU1047089" s="3"/>
      <c r="BV1047089" s="3"/>
      <c r="BW1047089" s="3"/>
      <c r="BX1047089" s="3"/>
      <c r="BY1047089" s="3"/>
      <c r="BZ1047089" s="3"/>
      <c r="CA1047089" s="3"/>
      <c r="CB1047089" s="3"/>
      <c r="CC1047089" s="3"/>
      <c r="CD1047089" s="3"/>
      <c r="CE1047089" s="3"/>
      <c r="CF1047089" s="3"/>
      <c r="CG1047089" s="3"/>
      <c r="CH1047089" s="3"/>
      <c r="CI1047089" s="3"/>
      <c r="CJ1047089" s="3"/>
      <c r="CK1047089" s="3"/>
      <c r="CL1047089" s="3"/>
      <c r="CM1047089" s="3"/>
      <c r="CN1047089" s="3"/>
      <c r="CO1047089" s="3"/>
      <c r="CP1047089" s="3"/>
      <c r="CQ1047089" s="3"/>
      <c r="CR1047089" s="3"/>
      <c r="CS1047089" s="3"/>
      <c r="CT1047089" s="3"/>
      <c r="CU1047089" s="3"/>
      <c r="CV1047089" s="3"/>
      <c r="CW1047089" s="3"/>
      <c r="CX1047089" s="3"/>
      <c r="CY1047089" s="3"/>
      <c r="CZ1047089" s="3"/>
      <c r="DA1047089" s="3"/>
      <c r="DB1047089" s="3"/>
      <c r="DC1047089" s="3"/>
      <c r="DD1047089" s="3"/>
      <c r="DE1047089" s="3"/>
      <c r="DF1047089" s="3"/>
      <c r="DG1047089" s="3"/>
      <c r="DH1047089" s="3"/>
      <c r="DI1047089" s="3"/>
      <c r="DJ1047089" s="3"/>
      <c r="DK1047089" s="3"/>
      <c r="DL1047089" s="3"/>
      <c r="DM1047089" s="3"/>
      <c r="DN1047089" s="3"/>
      <c r="DO1047089" s="3"/>
      <c r="DP1047089" s="3"/>
      <c r="DQ1047089" s="3"/>
      <c r="DR1047089" s="3"/>
      <c r="DS1047089" s="3"/>
      <c r="DT1047089" s="3"/>
      <c r="DU1047089" s="3"/>
      <c r="DV1047089" s="3"/>
      <c r="DW1047089" s="3"/>
      <c r="DX1047089" s="3"/>
      <c r="DY1047089" s="3"/>
      <c r="DZ1047089" s="3"/>
      <c r="EA1047089" s="3"/>
      <c r="EB1047089" s="3"/>
      <c r="EC1047089" s="3"/>
      <c r="ED1047089" s="3"/>
      <c r="EE1047089" s="3"/>
      <c r="EF1047089" s="3"/>
      <c r="EG1047089" s="3"/>
      <c r="EH1047089" s="3"/>
      <c r="EI1047089" s="3"/>
      <c r="EJ1047089" s="3"/>
      <c r="EK1047089" s="3"/>
      <c r="EL1047089" s="3"/>
      <c r="EM1047089" s="3"/>
      <c r="EN1047089" s="3"/>
      <c r="EO1047089" s="3"/>
      <c r="EP1047089" s="3"/>
      <c r="EQ1047089" s="3"/>
      <c r="ER1047089" s="3"/>
      <c r="ES1047089" s="3"/>
      <c r="ET1047089" s="3"/>
      <c r="EU1047089" s="3"/>
      <c r="EV1047089" s="3"/>
      <c r="EW1047089" s="3"/>
      <c r="EX1047089" s="3"/>
      <c r="EY1047089" s="3"/>
      <c r="EZ1047089" s="3"/>
      <c r="FA1047089" s="3"/>
      <c r="FB1047089" s="3"/>
      <c r="FC1047089" s="3"/>
      <c r="FD1047089" s="3"/>
      <c r="FE1047089" s="3"/>
      <c r="FF1047089" s="3"/>
      <c r="FG1047089" s="3"/>
      <c r="FH1047089" s="3"/>
      <c r="FI1047089" s="3"/>
      <c r="FJ1047089" s="3"/>
      <c r="FK1047089" s="3"/>
      <c r="FL1047089" s="3"/>
      <c r="FM1047089" s="3"/>
      <c r="FN1047089" s="3"/>
      <c r="FO1047089" s="3"/>
      <c r="FP1047089" s="3"/>
      <c r="FQ1047089" s="3"/>
      <c r="FR1047089" s="3"/>
      <c r="FS1047089" s="3"/>
      <c r="FT1047089" s="3"/>
      <c r="FU1047089" s="3"/>
      <c r="FV1047089" s="3"/>
      <c r="FW1047089" s="3"/>
      <c r="FX1047089" s="3"/>
      <c r="FY1047089" s="3"/>
      <c r="FZ1047089" s="3"/>
      <c r="GA1047089" s="3"/>
      <c r="GB1047089" s="3"/>
      <c r="GC1047089" s="3"/>
      <c r="GD1047089" s="3"/>
      <c r="GE1047089" s="3"/>
      <c r="GF1047089" s="3"/>
      <c r="GG1047089" s="3"/>
      <c r="GH1047089" s="3"/>
      <c r="GI1047089" s="3"/>
      <c r="GJ1047089" s="3"/>
      <c r="GK1047089" s="3"/>
      <c r="GL1047089" s="3"/>
      <c r="GM1047089" s="3"/>
      <c r="GN1047089" s="3"/>
      <c r="GO1047089" s="3"/>
      <c r="GP1047089" s="3"/>
      <c r="GQ1047089" s="3"/>
      <c r="GR1047089" s="3"/>
      <c r="GS1047089" s="3"/>
      <c r="GT1047089" s="3"/>
      <c r="GU1047089" s="3"/>
      <c r="GV1047089" s="3"/>
      <c r="GW1047089" s="3"/>
      <c r="GX1047089" s="3"/>
      <c r="GY1047089" s="3"/>
      <c r="GZ1047089" s="3"/>
      <c r="HA1047089" s="3"/>
      <c r="HB1047089" s="3"/>
      <c r="HC1047089" s="3"/>
      <c r="HD1047089" s="3"/>
      <c r="HE1047089" s="3"/>
      <c r="HF1047089" s="3"/>
      <c r="HG1047089" s="3"/>
      <c r="HH1047089" s="3"/>
      <c r="HI1047089" s="3"/>
      <c r="HJ1047089" s="3"/>
      <c r="HK1047089" s="3"/>
      <c r="HL1047089" s="3"/>
      <c r="HM1047089" s="3"/>
      <c r="HN1047089" s="3"/>
      <c r="HO1047089" s="3"/>
      <c r="HP1047089" s="3"/>
      <c r="HQ1047089" s="3"/>
      <c r="HR1047089" s="3"/>
      <c r="HS1047089" s="3"/>
      <c r="HT1047089" s="3"/>
      <c r="HU1047089" s="3"/>
      <c r="HV1047089" s="3"/>
      <c r="HW1047089" s="3"/>
      <c r="HX1047089" s="3"/>
      <c r="HY1047089" s="3"/>
      <c r="HZ1047089" s="3"/>
      <c r="IA1047089" s="3"/>
      <c r="IB1047089" s="3"/>
      <c r="IC1047089" s="3"/>
      <c r="ID1047089" s="3"/>
      <c r="IE1047089" s="3"/>
      <c r="IF1047089" s="3"/>
      <c r="IG1047089" s="3"/>
      <c r="IH1047089" s="3"/>
      <c r="II1047089" s="3"/>
      <c r="IJ1047089" s="3"/>
      <c r="IK1047089" s="3"/>
      <c r="IL1047089" s="3"/>
      <c r="IM1047089" s="3"/>
      <c r="IN1047089" s="3"/>
      <c r="IO1047089" s="3"/>
      <c r="IP1047089" s="3"/>
      <c r="IQ1047089" s="3"/>
      <c r="IR1047089" s="3"/>
      <c r="IS1047089" s="3"/>
      <c r="IT1047089" s="3"/>
      <c r="IU1047089" s="3"/>
      <c r="IV1047089" s="3"/>
      <c r="IW1047089" s="3"/>
      <c r="IX1047089" s="3"/>
      <c r="IY1047089" s="3"/>
      <c r="IZ1047089" s="3"/>
      <c r="JA1047089" s="3"/>
      <c r="JB1047089" s="3"/>
      <c r="JC1047089" s="3"/>
      <c r="JD1047089" s="3"/>
      <c r="JE1047089" s="3"/>
      <c r="JF1047089" s="3"/>
      <c r="JG1047089" s="3"/>
      <c r="JH1047089" s="3"/>
      <c r="JI1047089" s="3"/>
      <c r="JJ1047089" s="3"/>
      <c r="JK1047089" s="3"/>
      <c r="JL1047089" s="3"/>
      <c r="JM1047089" s="3"/>
      <c r="JN1047089" s="3"/>
      <c r="JO1047089" s="3"/>
      <c r="JP1047089" s="3"/>
      <c r="JQ1047089" s="3"/>
      <c r="JR1047089" s="3"/>
      <c r="JS1047089" s="3"/>
      <c r="JT1047089" s="3"/>
      <c r="JU1047089" s="3"/>
      <c r="JV1047089" s="3"/>
      <c r="JW1047089" s="3"/>
      <c r="JX1047089" s="3"/>
      <c r="JY1047089" s="3"/>
      <c r="JZ1047089" s="3"/>
      <c r="KA1047089" s="3"/>
      <c r="KB1047089" s="3"/>
      <c r="KC1047089" s="3"/>
      <c r="KD1047089" s="3"/>
      <c r="KE1047089" s="3"/>
      <c r="KF1047089" s="3"/>
      <c r="KG1047089" s="3"/>
      <c r="KH1047089" s="3"/>
      <c r="KI1047089" s="3"/>
      <c r="KJ1047089" s="3"/>
      <c r="KK1047089" s="3"/>
      <c r="KL1047089" s="3"/>
      <c r="KM1047089" s="3"/>
      <c r="KN1047089" s="3"/>
      <c r="KO1047089" s="3"/>
      <c r="KP1047089" s="3"/>
      <c r="KQ1047089" s="3"/>
      <c r="KR1047089" s="3"/>
      <c r="KS1047089" s="3"/>
      <c r="KT1047089" s="3"/>
      <c r="KU1047089" s="3"/>
      <c r="KV1047089" s="3"/>
      <c r="KW1047089" s="3"/>
      <c r="KX1047089" s="3"/>
      <c r="KY1047089" s="3"/>
      <c r="KZ1047089" s="3"/>
      <c r="LA1047089" s="3"/>
      <c r="LB1047089" s="3"/>
      <c r="LC1047089" s="3"/>
      <c r="LD1047089" s="3"/>
      <c r="LE1047089" s="3"/>
      <c r="LF1047089" s="3"/>
      <c r="LG1047089" s="3"/>
      <c r="LH1047089" s="3"/>
      <c r="LI1047089" s="3"/>
      <c r="LJ1047089" s="3"/>
      <c r="LK1047089" s="3"/>
      <c r="LL1047089" s="3"/>
      <c r="LM1047089" s="3"/>
      <c r="LN1047089" s="3"/>
      <c r="LO1047089" s="3"/>
      <c r="LP1047089" s="3"/>
      <c r="LQ1047089" s="3"/>
      <c r="LR1047089" s="3"/>
      <c r="LS1047089" s="3"/>
      <c r="LT1047089" s="3"/>
      <c r="LU1047089" s="3"/>
      <c r="LV1047089" s="3"/>
      <c r="LW1047089" s="3"/>
      <c r="LX1047089" s="3"/>
      <c r="LY1047089" s="3"/>
      <c r="LZ1047089" s="3"/>
      <c r="MA1047089" s="3"/>
      <c r="MB1047089" s="3"/>
      <c r="MC1047089" s="3"/>
      <c r="MD1047089" s="3"/>
      <c r="ME1047089" s="3"/>
      <c r="MF1047089" s="3"/>
      <c r="MG1047089" s="3"/>
      <c r="MH1047089" s="3"/>
      <c r="MI1047089" s="3"/>
      <c r="MJ1047089" s="3"/>
      <c r="MK1047089" s="3"/>
      <c r="ML1047089" s="3"/>
      <c r="MM1047089" s="3"/>
      <c r="MN1047089" s="3"/>
      <c r="MO1047089" s="3"/>
      <c r="MP1047089" s="3"/>
      <c r="MQ1047089" s="3"/>
      <c r="MR1047089" s="3"/>
      <c r="MS1047089" s="3"/>
      <c r="MT1047089" s="3"/>
      <c r="MU1047089" s="3"/>
      <c r="MV1047089" s="3"/>
      <c r="MW1047089" s="3"/>
      <c r="MX1047089" s="3"/>
      <c r="MY1047089" s="3"/>
      <c r="MZ1047089" s="3"/>
      <c r="NA1047089" s="3"/>
    </row>
    <row r="1047090" spans="1:365" s="23" customFormat="1" x14ac:dyDescent="0.3">
      <c r="A1047090" s="107"/>
      <c r="B1047090" s="46"/>
      <c r="C1047090" s="46"/>
      <c r="D1047090" s="13"/>
      <c r="E1047090" s="13"/>
      <c r="F1047090" s="13"/>
      <c r="G1047090" s="14"/>
      <c r="H1047090" s="14"/>
      <c r="K1047090" s="14"/>
      <c r="M1047090" s="14"/>
      <c r="N1047090" s="14"/>
      <c r="O1047090" s="14"/>
      <c r="P1047090" s="14"/>
      <c r="Q1047090" s="14"/>
      <c r="R1047090" s="14"/>
      <c r="S1047090" s="14"/>
      <c r="T1047090" s="22"/>
      <c r="U1047090" s="22"/>
      <c r="V1047090" s="16"/>
      <c r="W1047090" s="17"/>
      <c r="X1047090" s="14"/>
      <c r="Y1047090" s="14"/>
      <c r="Z1047090" s="14"/>
      <c r="AA1047090" s="18"/>
      <c r="AB1047090" s="1"/>
      <c r="AC1047090" s="2"/>
      <c r="AD1047090" s="1"/>
      <c r="AE1047090" s="1"/>
      <c r="AF1047090" s="3"/>
      <c r="AG1047090" s="3"/>
      <c r="AH1047090" s="3"/>
      <c r="AI1047090" s="3"/>
      <c r="AJ1047090" s="3"/>
      <c r="AK1047090" s="3"/>
      <c r="AL1047090" s="3"/>
      <c r="AM1047090" s="3"/>
      <c r="AN1047090" s="3"/>
      <c r="AO1047090" s="3"/>
      <c r="AP1047090" s="3"/>
      <c r="AQ1047090" s="3"/>
      <c r="AR1047090" s="3"/>
      <c r="AS1047090" s="3"/>
      <c r="AT1047090" s="3"/>
      <c r="AU1047090" s="3"/>
      <c r="AV1047090" s="3"/>
      <c r="AW1047090" s="3"/>
      <c r="AX1047090" s="3"/>
      <c r="AY1047090" s="3"/>
      <c r="AZ1047090" s="3"/>
      <c r="BA1047090" s="3"/>
      <c r="BB1047090" s="3"/>
      <c r="BC1047090" s="3"/>
      <c r="BD1047090" s="3"/>
      <c r="BE1047090" s="3"/>
      <c r="BF1047090" s="3"/>
      <c r="BG1047090" s="3"/>
      <c r="BH1047090" s="3"/>
      <c r="BI1047090" s="3"/>
      <c r="BJ1047090" s="3"/>
      <c r="BK1047090" s="3"/>
      <c r="BL1047090" s="3"/>
      <c r="BM1047090" s="3"/>
      <c r="BN1047090" s="3"/>
      <c r="BO1047090" s="3"/>
      <c r="BP1047090" s="3"/>
      <c r="BQ1047090" s="3"/>
      <c r="BR1047090" s="3"/>
      <c r="BS1047090" s="3"/>
      <c r="BT1047090" s="3"/>
      <c r="BU1047090" s="3"/>
      <c r="BV1047090" s="3"/>
      <c r="BW1047090" s="3"/>
      <c r="BX1047090" s="3"/>
      <c r="BY1047090" s="3"/>
      <c r="BZ1047090" s="3"/>
      <c r="CA1047090" s="3"/>
      <c r="CB1047090" s="3"/>
      <c r="CC1047090" s="3"/>
      <c r="CD1047090" s="3"/>
      <c r="CE1047090" s="3"/>
      <c r="CF1047090" s="3"/>
      <c r="CG1047090" s="3"/>
      <c r="CH1047090" s="3"/>
      <c r="CI1047090" s="3"/>
      <c r="CJ1047090" s="3"/>
      <c r="CK1047090" s="3"/>
      <c r="CL1047090" s="3"/>
      <c r="CM1047090" s="3"/>
      <c r="CN1047090" s="3"/>
      <c r="CO1047090" s="3"/>
      <c r="CP1047090" s="3"/>
      <c r="CQ1047090" s="3"/>
      <c r="CR1047090" s="3"/>
      <c r="CS1047090" s="3"/>
      <c r="CT1047090" s="3"/>
      <c r="CU1047090" s="3"/>
      <c r="CV1047090" s="3"/>
      <c r="CW1047090" s="3"/>
      <c r="CX1047090" s="3"/>
      <c r="CY1047090" s="3"/>
      <c r="CZ1047090" s="3"/>
      <c r="DA1047090" s="3"/>
      <c r="DB1047090" s="3"/>
      <c r="DC1047090" s="3"/>
      <c r="DD1047090" s="3"/>
      <c r="DE1047090" s="3"/>
      <c r="DF1047090" s="3"/>
      <c r="DG1047090" s="3"/>
      <c r="DH1047090" s="3"/>
      <c r="DI1047090" s="3"/>
      <c r="DJ1047090" s="3"/>
      <c r="DK1047090" s="3"/>
      <c r="DL1047090" s="3"/>
      <c r="DM1047090" s="3"/>
      <c r="DN1047090" s="3"/>
      <c r="DO1047090" s="3"/>
      <c r="DP1047090" s="3"/>
      <c r="DQ1047090" s="3"/>
      <c r="DR1047090" s="3"/>
      <c r="DS1047090" s="3"/>
      <c r="DT1047090" s="3"/>
      <c r="DU1047090" s="3"/>
      <c r="DV1047090" s="3"/>
      <c r="DW1047090" s="3"/>
      <c r="DX1047090" s="3"/>
      <c r="DY1047090" s="3"/>
      <c r="DZ1047090" s="3"/>
      <c r="EA1047090" s="3"/>
      <c r="EB1047090" s="3"/>
      <c r="EC1047090" s="3"/>
      <c r="ED1047090" s="3"/>
      <c r="EE1047090" s="3"/>
      <c r="EF1047090" s="3"/>
      <c r="EG1047090" s="3"/>
      <c r="EH1047090" s="3"/>
      <c r="EI1047090" s="3"/>
      <c r="EJ1047090" s="3"/>
      <c r="EK1047090" s="3"/>
      <c r="EL1047090" s="3"/>
      <c r="EM1047090" s="3"/>
      <c r="EN1047090" s="3"/>
      <c r="EO1047090" s="3"/>
      <c r="EP1047090" s="3"/>
      <c r="EQ1047090" s="3"/>
      <c r="ER1047090" s="3"/>
      <c r="ES1047090" s="3"/>
      <c r="ET1047090" s="3"/>
      <c r="EU1047090" s="3"/>
      <c r="EV1047090" s="3"/>
      <c r="EW1047090" s="3"/>
      <c r="EX1047090" s="3"/>
      <c r="EY1047090" s="3"/>
      <c r="EZ1047090" s="3"/>
      <c r="FA1047090" s="3"/>
      <c r="FB1047090" s="3"/>
      <c r="FC1047090" s="3"/>
      <c r="FD1047090" s="3"/>
      <c r="FE1047090" s="3"/>
      <c r="FF1047090" s="3"/>
      <c r="FG1047090" s="3"/>
      <c r="FH1047090" s="3"/>
      <c r="FI1047090" s="3"/>
      <c r="FJ1047090" s="3"/>
      <c r="FK1047090" s="3"/>
      <c r="FL1047090" s="3"/>
      <c r="FM1047090" s="3"/>
      <c r="FN1047090" s="3"/>
      <c r="FO1047090" s="3"/>
      <c r="FP1047090" s="3"/>
      <c r="FQ1047090" s="3"/>
      <c r="FR1047090" s="3"/>
      <c r="FS1047090" s="3"/>
      <c r="FT1047090" s="3"/>
      <c r="FU1047090" s="3"/>
      <c r="FV1047090" s="3"/>
      <c r="FW1047090" s="3"/>
      <c r="FX1047090" s="3"/>
      <c r="FY1047090" s="3"/>
      <c r="FZ1047090" s="3"/>
      <c r="GA1047090" s="3"/>
      <c r="GB1047090" s="3"/>
      <c r="GC1047090" s="3"/>
      <c r="GD1047090" s="3"/>
      <c r="GE1047090" s="3"/>
      <c r="GF1047090" s="3"/>
      <c r="GG1047090" s="3"/>
      <c r="GH1047090" s="3"/>
      <c r="GI1047090" s="3"/>
      <c r="GJ1047090" s="3"/>
      <c r="GK1047090" s="3"/>
      <c r="GL1047090" s="3"/>
      <c r="GM1047090" s="3"/>
      <c r="GN1047090" s="3"/>
      <c r="GO1047090" s="3"/>
      <c r="GP1047090" s="3"/>
      <c r="GQ1047090" s="3"/>
      <c r="GR1047090" s="3"/>
      <c r="GS1047090" s="3"/>
      <c r="GT1047090" s="3"/>
      <c r="GU1047090" s="3"/>
      <c r="GV1047090" s="3"/>
      <c r="GW1047090" s="3"/>
      <c r="GX1047090" s="3"/>
      <c r="GY1047090" s="3"/>
      <c r="GZ1047090" s="3"/>
      <c r="HA1047090" s="3"/>
      <c r="HB1047090" s="3"/>
      <c r="HC1047090" s="3"/>
      <c r="HD1047090" s="3"/>
      <c r="HE1047090" s="3"/>
      <c r="HF1047090" s="3"/>
      <c r="HG1047090" s="3"/>
      <c r="HH1047090" s="3"/>
      <c r="HI1047090" s="3"/>
      <c r="HJ1047090" s="3"/>
      <c r="HK1047090" s="3"/>
      <c r="HL1047090" s="3"/>
      <c r="HM1047090" s="3"/>
      <c r="HN1047090" s="3"/>
      <c r="HO1047090" s="3"/>
      <c r="HP1047090" s="3"/>
      <c r="HQ1047090" s="3"/>
      <c r="HR1047090" s="3"/>
      <c r="HS1047090" s="3"/>
      <c r="HT1047090" s="3"/>
      <c r="HU1047090" s="3"/>
      <c r="HV1047090" s="3"/>
      <c r="HW1047090" s="3"/>
      <c r="HX1047090" s="3"/>
      <c r="HY1047090" s="3"/>
      <c r="HZ1047090" s="3"/>
      <c r="IA1047090" s="3"/>
      <c r="IB1047090" s="3"/>
      <c r="IC1047090" s="3"/>
      <c r="ID1047090" s="3"/>
      <c r="IE1047090" s="3"/>
      <c r="IF1047090" s="3"/>
      <c r="IG1047090" s="3"/>
      <c r="IH1047090" s="3"/>
      <c r="II1047090" s="3"/>
      <c r="IJ1047090" s="3"/>
      <c r="IK1047090" s="3"/>
      <c r="IL1047090" s="3"/>
      <c r="IM1047090" s="3"/>
      <c r="IN1047090" s="3"/>
      <c r="IO1047090" s="3"/>
      <c r="IP1047090" s="3"/>
      <c r="IQ1047090" s="3"/>
      <c r="IR1047090" s="3"/>
      <c r="IS1047090" s="3"/>
      <c r="IT1047090" s="3"/>
      <c r="IU1047090" s="3"/>
      <c r="IV1047090" s="3"/>
      <c r="IW1047090" s="3"/>
      <c r="IX1047090" s="3"/>
      <c r="IY1047090" s="3"/>
      <c r="IZ1047090" s="3"/>
      <c r="JA1047090" s="3"/>
      <c r="JB1047090" s="3"/>
      <c r="JC1047090" s="3"/>
      <c r="JD1047090" s="3"/>
      <c r="JE1047090" s="3"/>
      <c r="JF1047090" s="3"/>
      <c r="JG1047090" s="3"/>
      <c r="JH1047090" s="3"/>
      <c r="JI1047090" s="3"/>
      <c r="JJ1047090" s="3"/>
      <c r="JK1047090" s="3"/>
      <c r="JL1047090" s="3"/>
      <c r="JM1047090" s="3"/>
      <c r="JN1047090" s="3"/>
      <c r="JO1047090" s="3"/>
      <c r="JP1047090" s="3"/>
      <c r="JQ1047090" s="3"/>
      <c r="JR1047090" s="3"/>
      <c r="JS1047090" s="3"/>
      <c r="JT1047090" s="3"/>
      <c r="JU1047090" s="3"/>
      <c r="JV1047090" s="3"/>
      <c r="JW1047090" s="3"/>
      <c r="JX1047090" s="3"/>
      <c r="JY1047090" s="3"/>
      <c r="JZ1047090" s="3"/>
      <c r="KA1047090" s="3"/>
      <c r="KB1047090" s="3"/>
      <c r="KC1047090" s="3"/>
      <c r="KD1047090" s="3"/>
      <c r="KE1047090" s="3"/>
      <c r="KF1047090" s="3"/>
      <c r="KG1047090" s="3"/>
      <c r="KH1047090" s="3"/>
      <c r="KI1047090" s="3"/>
      <c r="KJ1047090" s="3"/>
      <c r="KK1047090" s="3"/>
      <c r="KL1047090" s="3"/>
      <c r="KM1047090" s="3"/>
      <c r="KN1047090" s="3"/>
      <c r="KO1047090" s="3"/>
      <c r="KP1047090" s="3"/>
      <c r="KQ1047090" s="3"/>
      <c r="KR1047090" s="3"/>
      <c r="KS1047090" s="3"/>
      <c r="KT1047090" s="3"/>
      <c r="KU1047090" s="3"/>
      <c r="KV1047090" s="3"/>
      <c r="KW1047090" s="3"/>
      <c r="KX1047090" s="3"/>
      <c r="KY1047090" s="3"/>
      <c r="KZ1047090" s="3"/>
      <c r="LA1047090" s="3"/>
      <c r="LB1047090" s="3"/>
      <c r="LC1047090" s="3"/>
      <c r="LD1047090" s="3"/>
      <c r="LE1047090" s="3"/>
      <c r="LF1047090" s="3"/>
      <c r="LG1047090" s="3"/>
      <c r="LH1047090" s="3"/>
      <c r="LI1047090" s="3"/>
      <c r="LJ1047090" s="3"/>
      <c r="LK1047090" s="3"/>
      <c r="LL1047090" s="3"/>
      <c r="LM1047090" s="3"/>
      <c r="LN1047090" s="3"/>
      <c r="LO1047090" s="3"/>
      <c r="LP1047090" s="3"/>
      <c r="LQ1047090" s="3"/>
      <c r="LR1047090" s="3"/>
      <c r="LS1047090" s="3"/>
      <c r="LT1047090" s="3"/>
      <c r="LU1047090" s="3"/>
      <c r="LV1047090" s="3"/>
      <c r="LW1047090" s="3"/>
      <c r="LX1047090" s="3"/>
      <c r="LY1047090" s="3"/>
      <c r="LZ1047090" s="3"/>
      <c r="MA1047090" s="3"/>
      <c r="MB1047090" s="3"/>
      <c r="MC1047090" s="3"/>
      <c r="MD1047090" s="3"/>
      <c r="ME1047090" s="3"/>
      <c r="MF1047090" s="3"/>
      <c r="MG1047090" s="3"/>
      <c r="MH1047090" s="3"/>
      <c r="MI1047090" s="3"/>
      <c r="MJ1047090" s="3"/>
      <c r="MK1047090" s="3"/>
      <c r="ML1047090" s="3"/>
      <c r="MM1047090" s="3"/>
      <c r="MN1047090" s="3"/>
      <c r="MO1047090" s="3"/>
      <c r="MP1047090" s="3"/>
      <c r="MQ1047090" s="3"/>
      <c r="MR1047090" s="3"/>
      <c r="MS1047090" s="3"/>
      <c r="MT1047090" s="3"/>
      <c r="MU1047090" s="3"/>
      <c r="MV1047090" s="3"/>
      <c r="MW1047090" s="3"/>
      <c r="MX1047090" s="3"/>
      <c r="MY1047090" s="3"/>
      <c r="MZ1047090" s="3"/>
      <c r="NA1047090" s="3"/>
    </row>
    <row r="1047091" spans="1:365" s="23" customFormat="1" x14ac:dyDescent="0.3">
      <c r="A1047091" s="107"/>
      <c r="B1047091" s="46"/>
      <c r="C1047091" s="46"/>
      <c r="D1047091" s="13"/>
      <c r="E1047091" s="13"/>
      <c r="F1047091" s="13"/>
      <c r="G1047091" s="14"/>
      <c r="H1047091" s="14"/>
      <c r="K1047091" s="14"/>
      <c r="M1047091" s="14"/>
      <c r="N1047091" s="14"/>
      <c r="O1047091" s="14"/>
      <c r="P1047091" s="14"/>
      <c r="Q1047091" s="14"/>
      <c r="R1047091" s="14"/>
      <c r="S1047091" s="14"/>
      <c r="T1047091" s="22"/>
      <c r="U1047091" s="22"/>
      <c r="V1047091" s="16"/>
      <c r="W1047091" s="17"/>
      <c r="X1047091" s="14"/>
      <c r="Y1047091" s="14"/>
      <c r="Z1047091" s="14"/>
      <c r="AA1047091" s="18"/>
      <c r="AB1047091" s="1"/>
      <c r="AC1047091" s="2"/>
      <c r="AD1047091" s="1"/>
      <c r="AE1047091" s="1"/>
      <c r="AF1047091" s="3"/>
      <c r="AG1047091" s="3"/>
      <c r="AH1047091" s="3"/>
      <c r="AI1047091" s="3"/>
      <c r="AJ1047091" s="3"/>
      <c r="AK1047091" s="3"/>
      <c r="AL1047091" s="3"/>
      <c r="AM1047091" s="3"/>
      <c r="AN1047091" s="3"/>
      <c r="AO1047091" s="3"/>
      <c r="AP1047091" s="3"/>
      <c r="AQ1047091" s="3"/>
      <c r="AR1047091" s="3"/>
      <c r="AS1047091" s="3"/>
      <c r="AT1047091" s="3"/>
      <c r="AU1047091" s="3"/>
      <c r="AV1047091" s="3"/>
      <c r="AW1047091" s="3"/>
      <c r="AX1047091" s="3"/>
      <c r="AY1047091" s="3"/>
      <c r="AZ1047091" s="3"/>
      <c r="BA1047091" s="3"/>
      <c r="BB1047091" s="3"/>
      <c r="BC1047091" s="3"/>
      <c r="BD1047091" s="3"/>
      <c r="BE1047091" s="3"/>
      <c r="BF1047091" s="3"/>
      <c r="BG1047091" s="3"/>
      <c r="BH1047091" s="3"/>
      <c r="BI1047091" s="3"/>
      <c r="BJ1047091" s="3"/>
      <c r="BK1047091" s="3"/>
      <c r="BL1047091" s="3"/>
      <c r="BM1047091" s="3"/>
      <c r="BN1047091" s="3"/>
      <c r="BO1047091" s="3"/>
      <c r="BP1047091" s="3"/>
      <c r="BQ1047091" s="3"/>
      <c r="BR1047091" s="3"/>
      <c r="BS1047091" s="3"/>
      <c r="BT1047091" s="3"/>
      <c r="BU1047091" s="3"/>
      <c r="BV1047091" s="3"/>
      <c r="BW1047091" s="3"/>
      <c r="BX1047091" s="3"/>
      <c r="BY1047091" s="3"/>
      <c r="BZ1047091" s="3"/>
      <c r="CA1047091" s="3"/>
      <c r="CB1047091" s="3"/>
      <c r="CC1047091" s="3"/>
      <c r="CD1047091" s="3"/>
      <c r="CE1047091" s="3"/>
      <c r="CF1047091" s="3"/>
      <c r="CG1047091" s="3"/>
      <c r="CH1047091" s="3"/>
      <c r="CI1047091" s="3"/>
      <c r="CJ1047091" s="3"/>
      <c r="CK1047091" s="3"/>
      <c r="CL1047091" s="3"/>
      <c r="CM1047091" s="3"/>
      <c r="CN1047091" s="3"/>
      <c r="CO1047091" s="3"/>
      <c r="CP1047091" s="3"/>
      <c r="CQ1047091" s="3"/>
      <c r="CR1047091" s="3"/>
      <c r="CS1047091" s="3"/>
      <c r="CT1047091" s="3"/>
      <c r="CU1047091" s="3"/>
      <c r="CV1047091" s="3"/>
      <c r="CW1047091" s="3"/>
      <c r="CX1047091" s="3"/>
      <c r="CY1047091" s="3"/>
      <c r="CZ1047091" s="3"/>
      <c r="DA1047091" s="3"/>
      <c r="DB1047091" s="3"/>
      <c r="DC1047091" s="3"/>
      <c r="DD1047091" s="3"/>
      <c r="DE1047091" s="3"/>
      <c r="DF1047091" s="3"/>
      <c r="DG1047091" s="3"/>
      <c r="DH1047091" s="3"/>
      <c r="DI1047091" s="3"/>
      <c r="DJ1047091" s="3"/>
      <c r="DK1047091" s="3"/>
      <c r="DL1047091" s="3"/>
      <c r="DM1047091" s="3"/>
      <c r="DN1047091" s="3"/>
      <c r="DO1047091" s="3"/>
      <c r="DP1047091" s="3"/>
      <c r="DQ1047091" s="3"/>
      <c r="DR1047091" s="3"/>
      <c r="DS1047091" s="3"/>
      <c r="DT1047091" s="3"/>
      <c r="DU1047091" s="3"/>
      <c r="DV1047091" s="3"/>
      <c r="DW1047091" s="3"/>
      <c r="DX1047091" s="3"/>
      <c r="DY1047091" s="3"/>
      <c r="DZ1047091" s="3"/>
      <c r="EA1047091" s="3"/>
      <c r="EB1047091" s="3"/>
      <c r="EC1047091" s="3"/>
      <c r="ED1047091" s="3"/>
      <c r="EE1047091" s="3"/>
      <c r="EF1047091" s="3"/>
      <c r="EG1047091" s="3"/>
      <c r="EH1047091" s="3"/>
      <c r="EI1047091" s="3"/>
      <c r="EJ1047091" s="3"/>
      <c r="EK1047091" s="3"/>
      <c r="EL1047091" s="3"/>
      <c r="EM1047091" s="3"/>
      <c r="EN1047091" s="3"/>
      <c r="EO1047091" s="3"/>
      <c r="EP1047091" s="3"/>
      <c r="EQ1047091" s="3"/>
      <c r="ER1047091" s="3"/>
      <c r="ES1047091" s="3"/>
      <c r="ET1047091" s="3"/>
      <c r="EU1047091" s="3"/>
      <c r="EV1047091" s="3"/>
      <c r="EW1047091" s="3"/>
      <c r="EX1047091" s="3"/>
      <c r="EY1047091" s="3"/>
      <c r="EZ1047091" s="3"/>
      <c r="FA1047091" s="3"/>
      <c r="FB1047091" s="3"/>
      <c r="FC1047091" s="3"/>
      <c r="FD1047091" s="3"/>
      <c r="FE1047091" s="3"/>
      <c r="FF1047091" s="3"/>
      <c r="FG1047091" s="3"/>
      <c r="FH1047091" s="3"/>
      <c r="FI1047091" s="3"/>
      <c r="FJ1047091" s="3"/>
      <c r="FK1047091" s="3"/>
      <c r="FL1047091" s="3"/>
      <c r="FM1047091" s="3"/>
      <c r="FN1047091" s="3"/>
      <c r="FO1047091" s="3"/>
      <c r="FP1047091" s="3"/>
      <c r="FQ1047091" s="3"/>
      <c r="FR1047091" s="3"/>
      <c r="FS1047091" s="3"/>
      <c r="FT1047091" s="3"/>
      <c r="FU1047091" s="3"/>
      <c r="FV1047091" s="3"/>
      <c r="FW1047091" s="3"/>
      <c r="FX1047091" s="3"/>
      <c r="FY1047091" s="3"/>
      <c r="FZ1047091" s="3"/>
      <c r="GA1047091" s="3"/>
      <c r="GB1047091" s="3"/>
      <c r="GC1047091" s="3"/>
      <c r="GD1047091" s="3"/>
      <c r="GE1047091" s="3"/>
      <c r="GF1047091" s="3"/>
      <c r="GG1047091" s="3"/>
      <c r="GH1047091" s="3"/>
      <c r="GI1047091" s="3"/>
      <c r="GJ1047091" s="3"/>
      <c r="GK1047091" s="3"/>
      <c r="GL1047091" s="3"/>
      <c r="GM1047091" s="3"/>
      <c r="GN1047091" s="3"/>
      <c r="GO1047091" s="3"/>
      <c r="GP1047091" s="3"/>
      <c r="GQ1047091" s="3"/>
      <c r="GR1047091" s="3"/>
      <c r="GS1047091" s="3"/>
      <c r="GT1047091" s="3"/>
      <c r="GU1047091" s="3"/>
      <c r="GV1047091" s="3"/>
      <c r="GW1047091" s="3"/>
      <c r="GX1047091" s="3"/>
      <c r="GY1047091" s="3"/>
      <c r="GZ1047091" s="3"/>
      <c r="HA1047091" s="3"/>
      <c r="HB1047091" s="3"/>
      <c r="HC1047091" s="3"/>
      <c r="HD1047091" s="3"/>
      <c r="HE1047091" s="3"/>
      <c r="HF1047091" s="3"/>
      <c r="HG1047091" s="3"/>
      <c r="HH1047091" s="3"/>
      <c r="HI1047091" s="3"/>
      <c r="HJ1047091" s="3"/>
      <c r="HK1047091" s="3"/>
      <c r="HL1047091" s="3"/>
      <c r="HM1047091" s="3"/>
      <c r="HN1047091" s="3"/>
      <c r="HO1047091" s="3"/>
      <c r="HP1047091" s="3"/>
      <c r="HQ1047091" s="3"/>
      <c r="HR1047091" s="3"/>
      <c r="HS1047091" s="3"/>
      <c r="HT1047091" s="3"/>
      <c r="HU1047091" s="3"/>
      <c r="HV1047091" s="3"/>
      <c r="HW1047091" s="3"/>
      <c r="HX1047091" s="3"/>
      <c r="HY1047091" s="3"/>
      <c r="HZ1047091" s="3"/>
      <c r="IA1047091" s="3"/>
      <c r="IB1047091" s="3"/>
      <c r="IC1047091" s="3"/>
      <c r="ID1047091" s="3"/>
      <c r="IE1047091" s="3"/>
      <c r="IF1047091" s="3"/>
      <c r="IG1047091" s="3"/>
      <c r="IH1047091" s="3"/>
      <c r="II1047091" s="3"/>
      <c r="IJ1047091" s="3"/>
      <c r="IK1047091" s="3"/>
      <c r="IL1047091" s="3"/>
      <c r="IM1047091" s="3"/>
      <c r="IN1047091" s="3"/>
      <c r="IO1047091" s="3"/>
      <c r="IP1047091" s="3"/>
      <c r="IQ1047091" s="3"/>
      <c r="IR1047091" s="3"/>
      <c r="IS1047091" s="3"/>
      <c r="IT1047091" s="3"/>
      <c r="IU1047091" s="3"/>
      <c r="IV1047091" s="3"/>
      <c r="IW1047091" s="3"/>
      <c r="IX1047091" s="3"/>
      <c r="IY1047091" s="3"/>
      <c r="IZ1047091" s="3"/>
      <c r="JA1047091" s="3"/>
      <c r="JB1047091" s="3"/>
      <c r="JC1047091" s="3"/>
      <c r="JD1047091" s="3"/>
      <c r="JE1047091" s="3"/>
      <c r="JF1047091" s="3"/>
      <c r="JG1047091" s="3"/>
      <c r="JH1047091" s="3"/>
      <c r="JI1047091" s="3"/>
      <c r="JJ1047091" s="3"/>
      <c r="JK1047091" s="3"/>
      <c r="JL1047091" s="3"/>
      <c r="JM1047091" s="3"/>
      <c r="JN1047091" s="3"/>
      <c r="JO1047091" s="3"/>
      <c r="JP1047091" s="3"/>
      <c r="JQ1047091" s="3"/>
      <c r="JR1047091" s="3"/>
      <c r="JS1047091" s="3"/>
      <c r="JT1047091" s="3"/>
      <c r="JU1047091" s="3"/>
      <c r="JV1047091" s="3"/>
      <c r="JW1047091" s="3"/>
      <c r="JX1047091" s="3"/>
      <c r="JY1047091" s="3"/>
      <c r="JZ1047091" s="3"/>
      <c r="KA1047091" s="3"/>
      <c r="KB1047091" s="3"/>
      <c r="KC1047091" s="3"/>
      <c r="KD1047091" s="3"/>
      <c r="KE1047091" s="3"/>
      <c r="KF1047091" s="3"/>
      <c r="KG1047091" s="3"/>
      <c r="KH1047091" s="3"/>
      <c r="KI1047091" s="3"/>
      <c r="KJ1047091" s="3"/>
      <c r="KK1047091" s="3"/>
      <c r="KL1047091" s="3"/>
      <c r="KM1047091" s="3"/>
      <c r="KN1047091" s="3"/>
      <c r="KO1047091" s="3"/>
      <c r="KP1047091" s="3"/>
      <c r="KQ1047091" s="3"/>
      <c r="KR1047091" s="3"/>
      <c r="KS1047091" s="3"/>
      <c r="KT1047091" s="3"/>
      <c r="KU1047091" s="3"/>
      <c r="KV1047091" s="3"/>
      <c r="KW1047091" s="3"/>
      <c r="KX1047091" s="3"/>
      <c r="KY1047091" s="3"/>
      <c r="KZ1047091" s="3"/>
      <c r="LA1047091" s="3"/>
      <c r="LB1047091" s="3"/>
      <c r="LC1047091" s="3"/>
      <c r="LD1047091" s="3"/>
      <c r="LE1047091" s="3"/>
      <c r="LF1047091" s="3"/>
      <c r="LG1047091" s="3"/>
      <c r="LH1047091" s="3"/>
      <c r="LI1047091" s="3"/>
      <c r="LJ1047091" s="3"/>
      <c r="LK1047091" s="3"/>
      <c r="LL1047091" s="3"/>
      <c r="LM1047091" s="3"/>
      <c r="LN1047091" s="3"/>
      <c r="LO1047091" s="3"/>
      <c r="LP1047091" s="3"/>
      <c r="LQ1047091" s="3"/>
      <c r="LR1047091" s="3"/>
      <c r="LS1047091" s="3"/>
      <c r="LT1047091" s="3"/>
      <c r="LU1047091" s="3"/>
      <c r="LV1047091" s="3"/>
      <c r="LW1047091" s="3"/>
      <c r="LX1047091" s="3"/>
      <c r="LY1047091" s="3"/>
      <c r="LZ1047091" s="3"/>
      <c r="MA1047091" s="3"/>
      <c r="MB1047091" s="3"/>
      <c r="MC1047091" s="3"/>
      <c r="MD1047091" s="3"/>
      <c r="ME1047091" s="3"/>
      <c r="MF1047091" s="3"/>
      <c r="MG1047091" s="3"/>
      <c r="MH1047091" s="3"/>
      <c r="MI1047091" s="3"/>
      <c r="MJ1047091" s="3"/>
      <c r="MK1047091" s="3"/>
      <c r="ML1047091" s="3"/>
      <c r="MM1047091" s="3"/>
      <c r="MN1047091" s="3"/>
      <c r="MO1047091" s="3"/>
      <c r="MP1047091" s="3"/>
      <c r="MQ1047091" s="3"/>
      <c r="MR1047091" s="3"/>
      <c r="MS1047091" s="3"/>
      <c r="MT1047091" s="3"/>
      <c r="MU1047091" s="3"/>
      <c r="MV1047091" s="3"/>
      <c r="MW1047091" s="3"/>
      <c r="MX1047091" s="3"/>
      <c r="MY1047091" s="3"/>
      <c r="MZ1047091" s="3"/>
      <c r="NA1047091" s="3"/>
    </row>
    <row r="1047092" spans="1:365" s="23" customFormat="1" x14ac:dyDescent="0.3">
      <c r="A1047092" s="107"/>
      <c r="B1047092" s="46"/>
      <c r="C1047092" s="46"/>
      <c r="D1047092" s="13"/>
      <c r="E1047092" s="13"/>
      <c r="F1047092" s="13"/>
      <c r="G1047092" s="14"/>
      <c r="H1047092" s="14"/>
      <c r="K1047092" s="14"/>
      <c r="M1047092" s="14"/>
      <c r="N1047092" s="14"/>
      <c r="O1047092" s="14"/>
      <c r="P1047092" s="14"/>
      <c r="Q1047092" s="14"/>
      <c r="R1047092" s="14"/>
      <c r="S1047092" s="14"/>
      <c r="T1047092" s="22"/>
      <c r="U1047092" s="22"/>
      <c r="V1047092" s="16"/>
      <c r="W1047092" s="17"/>
      <c r="X1047092" s="14"/>
      <c r="Y1047092" s="14"/>
      <c r="Z1047092" s="14"/>
      <c r="AA1047092" s="18"/>
      <c r="AB1047092" s="1"/>
      <c r="AC1047092" s="2"/>
      <c r="AD1047092" s="1"/>
      <c r="AE1047092" s="1"/>
      <c r="AF1047092" s="3"/>
      <c r="AG1047092" s="3"/>
      <c r="AH1047092" s="3"/>
      <c r="AI1047092" s="3"/>
      <c r="AJ1047092" s="3"/>
      <c r="AK1047092" s="3"/>
      <c r="AL1047092" s="3"/>
      <c r="AM1047092" s="3"/>
      <c r="AN1047092" s="3"/>
      <c r="AO1047092" s="3"/>
      <c r="AP1047092" s="3"/>
      <c r="AQ1047092" s="3"/>
      <c r="AR1047092" s="3"/>
      <c r="AS1047092" s="3"/>
      <c r="AT1047092" s="3"/>
      <c r="AU1047092" s="3"/>
      <c r="AV1047092" s="3"/>
      <c r="AW1047092" s="3"/>
      <c r="AX1047092" s="3"/>
      <c r="AY1047092" s="3"/>
      <c r="AZ1047092" s="3"/>
      <c r="BA1047092" s="3"/>
      <c r="BB1047092" s="3"/>
      <c r="BC1047092" s="3"/>
      <c r="BD1047092" s="3"/>
      <c r="BE1047092" s="3"/>
      <c r="BF1047092" s="3"/>
      <c r="BG1047092" s="3"/>
      <c r="BH1047092" s="3"/>
      <c r="BI1047092" s="3"/>
      <c r="BJ1047092" s="3"/>
      <c r="BK1047092" s="3"/>
      <c r="BL1047092" s="3"/>
      <c r="BM1047092" s="3"/>
      <c r="BN1047092" s="3"/>
      <c r="BO1047092" s="3"/>
      <c r="BP1047092" s="3"/>
      <c r="BQ1047092" s="3"/>
      <c r="BR1047092" s="3"/>
      <c r="BS1047092" s="3"/>
      <c r="BT1047092" s="3"/>
      <c r="BU1047092" s="3"/>
      <c r="BV1047092" s="3"/>
      <c r="BW1047092" s="3"/>
      <c r="BX1047092" s="3"/>
      <c r="BY1047092" s="3"/>
      <c r="BZ1047092" s="3"/>
      <c r="CA1047092" s="3"/>
      <c r="CB1047092" s="3"/>
      <c r="CC1047092" s="3"/>
      <c r="CD1047092" s="3"/>
      <c r="CE1047092" s="3"/>
      <c r="CF1047092" s="3"/>
      <c r="CG1047092" s="3"/>
      <c r="CH1047092" s="3"/>
      <c r="CI1047092" s="3"/>
      <c r="CJ1047092" s="3"/>
      <c r="CK1047092" s="3"/>
      <c r="CL1047092" s="3"/>
      <c r="CM1047092" s="3"/>
      <c r="CN1047092" s="3"/>
      <c r="CO1047092" s="3"/>
      <c r="CP1047092" s="3"/>
      <c r="CQ1047092" s="3"/>
      <c r="CR1047092" s="3"/>
      <c r="CS1047092" s="3"/>
      <c r="CT1047092" s="3"/>
      <c r="CU1047092" s="3"/>
      <c r="CV1047092" s="3"/>
      <c r="CW1047092" s="3"/>
      <c r="CX1047092" s="3"/>
      <c r="CY1047092" s="3"/>
      <c r="CZ1047092" s="3"/>
      <c r="DA1047092" s="3"/>
      <c r="DB1047092" s="3"/>
      <c r="DC1047092" s="3"/>
      <c r="DD1047092" s="3"/>
      <c r="DE1047092" s="3"/>
      <c r="DF1047092" s="3"/>
      <c r="DG1047092" s="3"/>
      <c r="DH1047092" s="3"/>
      <c r="DI1047092" s="3"/>
      <c r="DJ1047092" s="3"/>
      <c r="DK1047092" s="3"/>
      <c r="DL1047092" s="3"/>
      <c r="DM1047092" s="3"/>
      <c r="DN1047092" s="3"/>
      <c r="DO1047092" s="3"/>
      <c r="DP1047092" s="3"/>
      <c r="DQ1047092" s="3"/>
      <c r="DR1047092" s="3"/>
      <c r="DS1047092" s="3"/>
      <c r="DT1047092" s="3"/>
      <c r="DU1047092" s="3"/>
      <c r="DV1047092" s="3"/>
      <c r="DW1047092" s="3"/>
      <c r="DX1047092" s="3"/>
      <c r="DY1047092" s="3"/>
      <c r="DZ1047092" s="3"/>
      <c r="EA1047092" s="3"/>
      <c r="EB1047092" s="3"/>
      <c r="EC1047092" s="3"/>
      <c r="ED1047092" s="3"/>
      <c r="EE1047092" s="3"/>
      <c r="EF1047092" s="3"/>
      <c r="EG1047092" s="3"/>
      <c r="EH1047092" s="3"/>
      <c r="EI1047092" s="3"/>
      <c r="EJ1047092" s="3"/>
      <c r="EK1047092" s="3"/>
      <c r="EL1047092" s="3"/>
      <c r="EM1047092" s="3"/>
      <c r="EN1047092" s="3"/>
      <c r="EO1047092" s="3"/>
      <c r="EP1047092" s="3"/>
      <c r="EQ1047092" s="3"/>
      <c r="ER1047092" s="3"/>
      <c r="ES1047092" s="3"/>
      <c r="ET1047092" s="3"/>
      <c r="EU1047092" s="3"/>
      <c r="EV1047092" s="3"/>
      <c r="EW1047092" s="3"/>
      <c r="EX1047092" s="3"/>
      <c r="EY1047092" s="3"/>
      <c r="EZ1047092" s="3"/>
      <c r="FA1047092" s="3"/>
      <c r="FB1047092" s="3"/>
      <c r="FC1047092" s="3"/>
      <c r="FD1047092" s="3"/>
      <c r="FE1047092" s="3"/>
      <c r="FF1047092" s="3"/>
      <c r="FG1047092" s="3"/>
      <c r="FH1047092" s="3"/>
      <c r="FI1047092" s="3"/>
      <c r="FJ1047092" s="3"/>
      <c r="FK1047092" s="3"/>
      <c r="FL1047092" s="3"/>
      <c r="FM1047092" s="3"/>
      <c r="FN1047092" s="3"/>
      <c r="FO1047092" s="3"/>
      <c r="FP1047092" s="3"/>
      <c r="FQ1047092" s="3"/>
      <c r="FR1047092" s="3"/>
      <c r="FS1047092" s="3"/>
      <c r="FT1047092" s="3"/>
      <c r="FU1047092" s="3"/>
      <c r="FV1047092" s="3"/>
      <c r="FW1047092" s="3"/>
      <c r="FX1047092" s="3"/>
      <c r="FY1047092" s="3"/>
      <c r="FZ1047092" s="3"/>
      <c r="GA1047092" s="3"/>
      <c r="GB1047092" s="3"/>
      <c r="GC1047092" s="3"/>
      <c r="GD1047092" s="3"/>
      <c r="GE1047092" s="3"/>
      <c r="GF1047092" s="3"/>
      <c r="GG1047092" s="3"/>
      <c r="GH1047092" s="3"/>
      <c r="GI1047092" s="3"/>
      <c r="GJ1047092" s="3"/>
      <c r="GK1047092" s="3"/>
      <c r="GL1047092" s="3"/>
      <c r="GM1047092" s="3"/>
      <c r="GN1047092" s="3"/>
      <c r="GO1047092" s="3"/>
      <c r="GP1047092" s="3"/>
      <c r="GQ1047092" s="3"/>
      <c r="GR1047092" s="3"/>
      <c r="GS1047092" s="3"/>
      <c r="GT1047092" s="3"/>
      <c r="GU1047092" s="3"/>
      <c r="GV1047092" s="3"/>
      <c r="GW1047092" s="3"/>
      <c r="GX1047092" s="3"/>
      <c r="GY1047092" s="3"/>
      <c r="GZ1047092" s="3"/>
      <c r="HA1047092" s="3"/>
      <c r="HB1047092" s="3"/>
      <c r="HC1047092" s="3"/>
      <c r="HD1047092" s="3"/>
      <c r="HE1047092" s="3"/>
      <c r="HF1047092" s="3"/>
      <c r="HG1047092" s="3"/>
      <c r="HH1047092" s="3"/>
      <c r="HI1047092" s="3"/>
      <c r="HJ1047092" s="3"/>
      <c r="HK1047092" s="3"/>
      <c r="HL1047092" s="3"/>
      <c r="HM1047092" s="3"/>
      <c r="HN1047092" s="3"/>
      <c r="HO1047092" s="3"/>
      <c r="HP1047092" s="3"/>
      <c r="HQ1047092" s="3"/>
      <c r="HR1047092" s="3"/>
      <c r="HS1047092" s="3"/>
      <c r="HT1047092" s="3"/>
      <c r="HU1047092" s="3"/>
      <c r="HV1047092" s="3"/>
      <c r="HW1047092" s="3"/>
      <c r="HX1047092" s="3"/>
      <c r="HY1047092" s="3"/>
      <c r="HZ1047092" s="3"/>
      <c r="IA1047092" s="3"/>
      <c r="IB1047092" s="3"/>
      <c r="IC1047092" s="3"/>
      <c r="ID1047092" s="3"/>
      <c r="IE1047092" s="3"/>
      <c r="IF1047092" s="3"/>
      <c r="IG1047092" s="3"/>
      <c r="IH1047092" s="3"/>
      <c r="II1047092" s="3"/>
      <c r="IJ1047092" s="3"/>
      <c r="IK1047092" s="3"/>
      <c r="IL1047092" s="3"/>
      <c r="IM1047092" s="3"/>
      <c r="IN1047092" s="3"/>
      <c r="IO1047092" s="3"/>
      <c r="IP1047092" s="3"/>
      <c r="IQ1047092" s="3"/>
      <c r="IR1047092" s="3"/>
      <c r="IS1047092" s="3"/>
      <c r="IT1047092" s="3"/>
      <c r="IU1047092" s="3"/>
      <c r="IV1047092" s="3"/>
      <c r="IW1047092" s="3"/>
      <c r="IX1047092" s="3"/>
      <c r="IY1047092" s="3"/>
      <c r="IZ1047092" s="3"/>
      <c r="JA1047092" s="3"/>
      <c r="JB1047092" s="3"/>
      <c r="JC1047092" s="3"/>
      <c r="JD1047092" s="3"/>
      <c r="JE1047092" s="3"/>
      <c r="JF1047092" s="3"/>
      <c r="JG1047092" s="3"/>
      <c r="JH1047092" s="3"/>
      <c r="JI1047092" s="3"/>
      <c r="JJ1047092" s="3"/>
      <c r="JK1047092" s="3"/>
      <c r="JL1047092" s="3"/>
      <c r="JM1047092" s="3"/>
      <c r="JN1047092" s="3"/>
      <c r="JO1047092" s="3"/>
      <c r="JP1047092" s="3"/>
      <c r="JQ1047092" s="3"/>
      <c r="JR1047092" s="3"/>
      <c r="JS1047092" s="3"/>
      <c r="JT1047092" s="3"/>
      <c r="JU1047092" s="3"/>
      <c r="JV1047092" s="3"/>
      <c r="JW1047092" s="3"/>
      <c r="JX1047092" s="3"/>
      <c r="JY1047092" s="3"/>
      <c r="JZ1047092" s="3"/>
      <c r="KA1047092" s="3"/>
      <c r="KB1047092" s="3"/>
      <c r="KC1047092" s="3"/>
      <c r="KD1047092" s="3"/>
      <c r="KE1047092" s="3"/>
      <c r="KF1047092" s="3"/>
      <c r="KG1047092" s="3"/>
      <c r="KH1047092" s="3"/>
      <c r="KI1047092" s="3"/>
      <c r="KJ1047092" s="3"/>
      <c r="KK1047092" s="3"/>
      <c r="KL1047092" s="3"/>
      <c r="KM1047092" s="3"/>
      <c r="KN1047092" s="3"/>
      <c r="KO1047092" s="3"/>
      <c r="KP1047092" s="3"/>
      <c r="KQ1047092" s="3"/>
      <c r="KR1047092" s="3"/>
      <c r="KS1047092" s="3"/>
      <c r="KT1047092" s="3"/>
      <c r="KU1047092" s="3"/>
      <c r="KV1047092" s="3"/>
      <c r="KW1047092" s="3"/>
      <c r="KX1047092" s="3"/>
      <c r="KY1047092" s="3"/>
      <c r="KZ1047092" s="3"/>
      <c r="LA1047092" s="3"/>
      <c r="LB1047092" s="3"/>
      <c r="LC1047092" s="3"/>
      <c r="LD1047092" s="3"/>
      <c r="LE1047092" s="3"/>
      <c r="LF1047092" s="3"/>
      <c r="LG1047092" s="3"/>
      <c r="LH1047092" s="3"/>
      <c r="LI1047092" s="3"/>
      <c r="LJ1047092" s="3"/>
      <c r="LK1047092" s="3"/>
      <c r="LL1047092" s="3"/>
      <c r="LM1047092" s="3"/>
      <c r="LN1047092" s="3"/>
      <c r="LO1047092" s="3"/>
      <c r="LP1047092" s="3"/>
      <c r="LQ1047092" s="3"/>
      <c r="LR1047092" s="3"/>
      <c r="LS1047092" s="3"/>
      <c r="LT1047092" s="3"/>
      <c r="LU1047092" s="3"/>
      <c r="LV1047092" s="3"/>
      <c r="LW1047092" s="3"/>
      <c r="LX1047092" s="3"/>
      <c r="LY1047092" s="3"/>
      <c r="LZ1047092" s="3"/>
      <c r="MA1047092" s="3"/>
      <c r="MB1047092" s="3"/>
      <c r="MC1047092" s="3"/>
      <c r="MD1047092" s="3"/>
      <c r="ME1047092" s="3"/>
      <c r="MF1047092" s="3"/>
      <c r="MG1047092" s="3"/>
      <c r="MH1047092" s="3"/>
      <c r="MI1047092" s="3"/>
      <c r="MJ1047092" s="3"/>
      <c r="MK1047092" s="3"/>
      <c r="ML1047092" s="3"/>
      <c r="MM1047092" s="3"/>
      <c r="MN1047092" s="3"/>
      <c r="MO1047092" s="3"/>
      <c r="MP1047092" s="3"/>
      <c r="MQ1047092" s="3"/>
      <c r="MR1047092" s="3"/>
      <c r="MS1047092" s="3"/>
      <c r="MT1047092" s="3"/>
      <c r="MU1047092" s="3"/>
      <c r="MV1047092" s="3"/>
      <c r="MW1047092" s="3"/>
      <c r="MX1047092" s="3"/>
      <c r="MY1047092" s="3"/>
      <c r="MZ1047092" s="3"/>
      <c r="NA1047092" s="3"/>
    </row>
    <row r="1047093" spans="1:365" s="23" customFormat="1" x14ac:dyDescent="0.3">
      <c r="A1047093" s="107"/>
      <c r="B1047093" s="46"/>
      <c r="C1047093" s="46"/>
      <c r="D1047093" s="13"/>
      <c r="E1047093" s="13"/>
      <c r="F1047093" s="13"/>
      <c r="G1047093" s="14"/>
      <c r="H1047093" s="14"/>
      <c r="K1047093" s="14"/>
      <c r="M1047093" s="14"/>
      <c r="N1047093" s="14"/>
      <c r="O1047093" s="14"/>
      <c r="P1047093" s="14"/>
      <c r="Q1047093" s="14"/>
      <c r="R1047093" s="14"/>
      <c r="S1047093" s="14"/>
      <c r="T1047093" s="22"/>
      <c r="U1047093" s="22"/>
      <c r="V1047093" s="16"/>
      <c r="W1047093" s="17"/>
      <c r="X1047093" s="14"/>
      <c r="Y1047093" s="14"/>
      <c r="Z1047093" s="14"/>
      <c r="AA1047093" s="18"/>
      <c r="AB1047093" s="1"/>
      <c r="AC1047093" s="2"/>
      <c r="AD1047093" s="1"/>
      <c r="AE1047093" s="1"/>
      <c r="AF1047093" s="3"/>
      <c r="AG1047093" s="3"/>
      <c r="AH1047093" s="3"/>
      <c r="AI1047093" s="3"/>
      <c r="AJ1047093" s="3"/>
      <c r="AK1047093" s="3"/>
      <c r="AL1047093" s="3"/>
      <c r="AM1047093" s="3"/>
      <c r="AN1047093" s="3"/>
      <c r="AO1047093" s="3"/>
      <c r="AP1047093" s="3"/>
      <c r="AQ1047093" s="3"/>
      <c r="AR1047093" s="3"/>
      <c r="AS1047093" s="3"/>
      <c r="AT1047093" s="3"/>
      <c r="AU1047093" s="3"/>
      <c r="AV1047093" s="3"/>
      <c r="AW1047093" s="3"/>
      <c r="AX1047093" s="3"/>
      <c r="AY1047093" s="3"/>
      <c r="AZ1047093" s="3"/>
      <c r="BA1047093" s="3"/>
      <c r="BB1047093" s="3"/>
      <c r="BC1047093" s="3"/>
      <c r="BD1047093" s="3"/>
      <c r="BE1047093" s="3"/>
      <c r="BF1047093" s="3"/>
      <c r="BG1047093" s="3"/>
      <c r="BH1047093" s="3"/>
      <c r="BI1047093" s="3"/>
      <c r="BJ1047093" s="3"/>
      <c r="BK1047093" s="3"/>
      <c r="BL1047093" s="3"/>
      <c r="BM1047093" s="3"/>
      <c r="BN1047093" s="3"/>
      <c r="BO1047093" s="3"/>
      <c r="BP1047093" s="3"/>
      <c r="BQ1047093" s="3"/>
      <c r="BR1047093" s="3"/>
      <c r="BS1047093" s="3"/>
      <c r="BT1047093" s="3"/>
      <c r="BU1047093" s="3"/>
      <c r="BV1047093" s="3"/>
      <c r="BW1047093" s="3"/>
      <c r="BX1047093" s="3"/>
      <c r="BY1047093" s="3"/>
      <c r="BZ1047093" s="3"/>
      <c r="CA1047093" s="3"/>
      <c r="CB1047093" s="3"/>
      <c r="CC1047093" s="3"/>
      <c r="CD1047093" s="3"/>
      <c r="CE1047093" s="3"/>
      <c r="CF1047093" s="3"/>
      <c r="CG1047093" s="3"/>
      <c r="CH1047093" s="3"/>
      <c r="CI1047093" s="3"/>
      <c r="CJ1047093" s="3"/>
      <c r="CK1047093" s="3"/>
      <c r="CL1047093" s="3"/>
      <c r="CM1047093" s="3"/>
      <c r="CN1047093" s="3"/>
      <c r="CO1047093" s="3"/>
      <c r="CP1047093" s="3"/>
      <c r="CQ1047093" s="3"/>
      <c r="CR1047093" s="3"/>
      <c r="CS1047093" s="3"/>
      <c r="CT1047093" s="3"/>
      <c r="CU1047093" s="3"/>
      <c r="CV1047093" s="3"/>
      <c r="CW1047093" s="3"/>
      <c r="CX1047093" s="3"/>
      <c r="CY1047093" s="3"/>
      <c r="CZ1047093" s="3"/>
      <c r="DA1047093" s="3"/>
      <c r="DB1047093" s="3"/>
      <c r="DC1047093" s="3"/>
      <c r="DD1047093" s="3"/>
      <c r="DE1047093" s="3"/>
      <c r="DF1047093" s="3"/>
      <c r="DG1047093" s="3"/>
      <c r="DH1047093" s="3"/>
      <c r="DI1047093" s="3"/>
      <c r="DJ1047093" s="3"/>
      <c r="DK1047093" s="3"/>
      <c r="DL1047093" s="3"/>
      <c r="DM1047093" s="3"/>
      <c r="DN1047093" s="3"/>
      <c r="DO1047093" s="3"/>
      <c r="DP1047093" s="3"/>
      <c r="DQ1047093" s="3"/>
      <c r="DR1047093" s="3"/>
      <c r="DS1047093" s="3"/>
      <c r="DT1047093" s="3"/>
      <c r="DU1047093" s="3"/>
      <c r="DV1047093" s="3"/>
      <c r="DW1047093" s="3"/>
      <c r="DX1047093" s="3"/>
      <c r="DY1047093" s="3"/>
      <c r="DZ1047093" s="3"/>
      <c r="EA1047093" s="3"/>
      <c r="EB1047093" s="3"/>
      <c r="EC1047093" s="3"/>
      <c r="ED1047093" s="3"/>
      <c r="EE1047093" s="3"/>
      <c r="EF1047093" s="3"/>
      <c r="EG1047093" s="3"/>
      <c r="EH1047093" s="3"/>
      <c r="EI1047093" s="3"/>
      <c r="EJ1047093" s="3"/>
      <c r="EK1047093" s="3"/>
      <c r="EL1047093" s="3"/>
      <c r="EM1047093" s="3"/>
      <c r="EN1047093" s="3"/>
      <c r="EO1047093" s="3"/>
      <c r="EP1047093" s="3"/>
      <c r="EQ1047093" s="3"/>
      <c r="ER1047093" s="3"/>
      <c r="ES1047093" s="3"/>
      <c r="ET1047093" s="3"/>
      <c r="EU1047093" s="3"/>
      <c r="EV1047093" s="3"/>
      <c r="EW1047093" s="3"/>
      <c r="EX1047093" s="3"/>
      <c r="EY1047093" s="3"/>
      <c r="EZ1047093" s="3"/>
      <c r="FA1047093" s="3"/>
      <c r="FB1047093" s="3"/>
      <c r="FC1047093" s="3"/>
      <c r="FD1047093" s="3"/>
      <c r="FE1047093" s="3"/>
      <c r="FF1047093" s="3"/>
      <c r="FG1047093" s="3"/>
      <c r="FH1047093" s="3"/>
      <c r="FI1047093" s="3"/>
      <c r="FJ1047093" s="3"/>
      <c r="FK1047093" s="3"/>
      <c r="FL1047093" s="3"/>
      <c r="FM1047093" s="3"/>
      <c r="FN1047093" s="3"/>
      <c r="FO1047093" s="3"/>
      <c r="FP1047093" s="3"/>
      <c r="FQ1047093" s="3"/>
      <c r="FR1047093" s="3"/>
      <c r="FS1047093" s="3"/>
      <c r="FT1047093" s="3"/>
      <c r="FU1047093" s="3"/>
      <c r="FV1047093" s="3"/>
      <c r="FW1047093" s="3"/>
      <c r="FX1047093" s="3"/>
      <c r="FY1047093" s="3"/>
      <c r="FZ1047093" s="3"/>
      <c r="GA1047093" s="3"/>
      <c r="GB1047093" s="3"/>
      <c r="GC1047093" s="3"/>
      <c r="GD1047093" s="3"/>
      <c r="GE1047093" s="3"/>
      <c r="GF1047093" s="3"/>
      <c r="GG1047093" s="3"/>
      <c r="GH1047093" s="3"/>
      <c r="GI1047093" s="3"/>
      <c r="GJ1047093" s="3"/>
      <c r="GK1047093" s="3"/>
      <c r="GL1047093" s="3"/>
      <c r="GM1047093" s="3"/>
      <c r="GN1047093" s="3"/>
      <c r="GO1047093" s="3"/>
      <c r="GP1047093" s="3"/>
      <c r="GQ1047093" s="3"/>
      <c r="GR1047093" s="3"/>
      <c r="GS1047093" s="3"/>
      <c r="GT1047093" s="3"/>
      <c r="GU1047093" s="3"/>
      <c r="GV1047093" s="3"/>
      <c r="GW1047093" s="3"/>
      <c r="GX1047093" s="3"/>
      <c r="GY1047093" s="3"/>
      <c r="GZ1047093" s="3"/>
      <c r="HA1047093" s="3"/>
      <c r="HB1047093" s="3"/>
      <c r="HC1047093" s="3"/>
      <c r="HD1047093" s="3"/>
      <c r="HE1047093" s="3"/>
      <c r="HF1047093" s="3"/>
      <c r="HG1047093" s="3"/>
      <c r="HH1047093" s="3"/>
      <c r="HI1047093" s="3"/>
      <c r="HJ1047093" s="3"/>
      <c r="HK1047093" s="3"/>
      <c r="HL1047093" s="3"/>
      <c r="HM1047093" s="3"/>
      <c r="HN1047093" s="3"/>
      <c r="HO1047093" s="3"/>
      <c r="HP1047093" s="3"/>
      <c r="HQ1047093" s="3"/>
      <c r="HR1047093" s="3"/>
      <c r="HS1047093" s="3"/>
      <c r="HT1047093" s="3"/>
      <c r="HU1047093" s="3"/>
      <c r="HV1047093" s="3"/>
      <c r="HW1047093" s="3"/>
      <c r="HX1047093" s="3"/>
      <c r="HY1047093" s="3"/>
      <c r="HZ1047093" s="3"/>
      <c r="IA1047093" s="3"/>
      <c r="IB1047093" s="3"/>
      <c r="IC1047093" s="3"/>
      <c r="ID1047093" s="3"/>
      <c r="IE1047093" s="3"/>
      <c r="IF1047093" s="3"/>
      <c r="IG1047093" s="3"/>
      <c r="IH1047093" s="3"/>
      <c r="II1047093" s="3"/>
      <c r="IJ1047093" s="3"/>
      <c r="IK1047093" s="3"/>
      <c r="IL1047093" s="3"/>
      <c r="IM1047093" s="3"/>
      <c r="IN1047093" s="3"/>
      <c r="IO1047093" s="3"/>
      <c r="IP1047093" s="3"/>
      <c r="IQ1047093" s="3"/>
      <c r="IR1047093" s="3"/>
      <c r="IS1047093" s="3"/>
      <c r="IT1047093" s="3"/>
      <c r="IU1047093" s="3"/>
      <c r="IV1047093" s="3"/>
      <c r="IW1047093" s="3"/>
      <c r="IX1047093" s="3"/>
      <c r="IY1047093" s="3"/>
      <c r="IZ1047093" s="3"/>
      <c r="JA1047093" s="3"/>
      <c r="JB1047093" s="3"/>
      <c r="JC1047093" s="3"/>
      <c r="JD1047093" s="3"/>
      <c r="JE1047093" s="3"/>
      <c r="JF1047093" s="3"/>
      <c r="JG1047093" s="3"/>
      <c r="JH1047093" s="3"/>
      <c r="JI1047093" s="3"/>
      <c r="JJ1047093" s="3"/>
      <c r="JK1047093" s="3"/>
      <c r="JL1047093" s="3"/>
      <c r="JM1047093" s="3"/>
      <c r="JN1047093" s="3"/>
      <c r="JO1047093" s="3"/>
      <c r="JP1047093" s="3"/>
      <c r="JQ1047093" s="3"/>
      <c r="JR1047093" s="3"/>
      <c r="JS1047093" s="3"/>
      <c r="JT1047093" s="3"/>
      <c r="JU1047093" s="3"/>
      <c r="JV1047093" s="3"/>
      <c r="JW1047093" s="3"/>
      <c r="JX1047093" s="3"/>
      <c r="JY1047093" s="3"/>
      <c r="JZ1047093" s="3"/>
      <c r="KA1047093" s="3"/>
      <c r="KB1047093" s="3"/>
      <c r="KC1047093" s="3"/>
      <c r="KD1047093" s="3"/>
      <c r="KE1047093" s="3"/>
      <c r="KF1047093" s="3"/>
      <c r="KG1047093" s="3"/>
      <c r="KH1047093" s="3"/>
      <c r="KI1047093" s="3"/>
      <c r="KJ1047093" s="3"/>
      <c r="KK1047093" s="3"/>
      <c r="KL1047093" s="3"/>
      <c r="KM1047093" s="3"/>
      <c r="KN1047093" s="3"/>
      <c r="KO1047093" s="3"/>
      <c r="KP1047093" s="3"/>
      <c r="KQ1047093" s="3"/>
      <c r="KR1047093" s="3"/>
      <c r="KS1047093" s="3"/>
      <c r="KT1047093" s="3"/>
      <c r="KU1047093" s="3"/>
      <c r="KV1047093" s="3"/>
      <c r="KW1047093" s="3"/>
      <c r="KX1047093" s="3"/>
      <c r="KY1047093" s="3"/>
      <c r="KZ1047093" s="3"/>
      <c r="LA1047093" s="3"/>
      <c r="LB1047093" s="3"/>
      <c r="LC1047093" s="3"/>
      <c r="LD1047093" s="3"/>
      <c r="LE1047093" s="3"/>
      <c r="LF1047093" s="3"/>
      <c r="LG1047093" s="3"/>
      <c r="LH1047093" s="3"/>
      <c r="LI1047093" s="3"/>
      <c r="LJ1047093" s="3"/>
      <c r="LK1047093" s="3"/>
      <c r="LL1047093" s="3"/>
      <c r="LM1047093" s="3"/>
      <c r="LN1047093" s="3"/>
      <c r="LO1047093" s="3"/>
      <c r="LP1047093" s="3"/>
      <c r="LQ1047093" s="3"/>
      <c r="LR1047093" s="3"/>
      <c r="LS1047093" s="3"/>
      <c r="LT1047093" s="3"/>
      <c r="LU1047093" s="3"/>
      <c r="LV1047093" s="3"/>
      <c r="LW1047093" s="3"/>
      <c r="LX1047093" s="3"/>
      <c r="LY1047093" s="3"/>
      <c r="LZ1047093" s="3"/>
      <c r="MA1047093" s="3"/>
      <c r="MB1047093" s="3"/>
      <c r="MC1047093" s="3"/>
      <c r="MD1047093" s="3"/>
      <c r="ME1047093" s="3"/>
      <c r="MF1047093" s="3"/>
      <c r="MG1047093" s="3"/>
      <c r="MH1047093" s="3"/>
      <c r="MI1047093" s="3"/>
      <c r="MJ1047093" s="3"/>
      <c r="MK1047093" s="3"/>
      <c r="ML1047093" s="3"/>
      <c r="MM1047093" s="3"/>
      <c r="MN1047093" s="3"/>
      <c r="MO1047093" s="3"/>
      <c r="MP1047093" s="3"/>
      <c r="MQ1047093" s="3"/>
      <c r="MR1047093" s="3"/>
      <c r="MS1047093" s="3"/>
      <c r="MT1047093" s="3"/>
      <c r="MU1047093" s="3"/>
      <c r="MV1047093" s="3"/>
      <c r="MW1047093" s="3"/>
      <c r="MX1047093" s="3"/>
      <c r="MY1047093" s="3"/>
      <c r="MZ1047093" s="3"/>
      <c r="NA1047093" s="3"/>
    </row>
    <row r="1047094" spans="1:365" s="23" customFormat="1" x14ac:dyDescent="0.3">
      <c r="A1047094" s="107"/>
      <c r="B1047094" s="46"/>
      <c r="C1047094" s="46"/>
      <c r="D1047094" s="13"/>
      <c r="E1047094" s="13"/>
      <c r="F1047094" s="13"/>
      <c r="G1047094" s="14"/>
      <c r="H1047094" s="14"/>
      <c r="K1047094" s="14"/>
      <c r="M1047094" s="14"/>
      <c r="N1047094" s="14"/>
      <c r="O1047094" s="14"/>
      <c r="P1047094" s="14"/>
      <c r="Q1047094" s="14"/>
      <c r="R1047094" s="14"/>
      <c r="S1047094" s="14"/>
      <c r="T1047094" s="22"/>
      <c r="U1047094" s="22"/>
      <c r="V1047094" s="16"/>
      <c r="W1047094" s="17"/>
      <c r="X1047094" s="14"/>
      <c r="Y1047094" s="14"/>
      <c r="Z1047094" s="14"/>
      <c r="AA1047094" s="18"/>
      <c r="AB1047094" s="1"/>
      <c r="AC1047094" s="2"/>
      <c r="AD1047094" s="1"/>
      <c r="AE1047094" s="1"/>
      <c r="AF1047094" s="3"/>
      <c r="AG1047094" s="3"/>
      <c r="AH1047094" s="3"/>
      <c r="AI1047094" s="3"/>
      <c r="AJ1047094" s="3"/>
      <c r="AK1047094" s="3"/>
      <c r="AL1047094" s="3"/>
      <c r="AM1047094" s="3"/>
      <c r="AN1047094" s="3"/>
      <c r="AO1047094" s="3"/>
      <c r="AP1047094" s="3"/>
      <c r="AQ1047094" s="3"/>
      <c r="AR1047094" s="3"/>
      <c r="AS1047094" s="3"/>
      <c r="AT1047094" s="3"/>
      <c r="AU1047094" s="3"/>
      <c r="AV1047094" s="3"/>
      <c r="AW1047094" s="3"/>
      <c r="AX1047094" s="3"/>
      <c r="AY1047094" s="3"/>
      <c r="AZ1047094" s="3"/>
      <c r="BA1047094" s="3"/>
      <c r="BB1047094" s="3"/>
      <c r="BC1047094" s="3"/>
      <c r="BD1047094" s="3"/>
      <c r="BE1047094" s="3"/>
      <c r="BF1047094" s="3"/>
      <c r="BG1047094" s="3"/>
      <c r="BH1047094" s="3"/>
      <c r="BI1047094" s="3"/>
      <c r="BJ1047094" s="3"/>
      <c r="BK1047094" s="3"/>
      <c r="BL1047094" s="3"/>
      <c r="BM1047094" s="3"/>
      <c r="BN1047094" s="3"/>
      <c r="BO1047094" s="3"/>
      <c r="BP1047094" s="3"/>
      <c r="BQ1047094" s="3"/>
      <c r="BR1047094" s="3"/>
      <c r="BS1047094" s="3"/>
      <c r="BT1047094" s="3"/>
      <c r="BU1047094" s="3"/>
      <c r="BV1047094" s="3"/>
      <c r="BW1047094" s="3"/>
      <c r="BX1047094" s="3"/>
      <c r="BY1047094" s="3"/>
      <c r="BZ1047094" s="3"/>
      <c r="CA1047094" s="3"/>
      <c r="CB1047094" s="3"/>
      <c r="CC1047094" s="3"/>
      <c r="CD1047094" s="3"/>
      <c r="CE1047094" s="3"/>
      <c r="CF1047094" s="3"/>
      <c r="CG1047094" s="3"/>
      <c r="CH1047094" s="3"/>
      <c r="CI1047094" s="3"/>
      <c r="CJ1047094" s="3"/>
      <c r="CK1047094" s="3"/>
      <c r="CL1047094" s="3"/>
      <c r="CM1047094" s="3"/>
      <c r="CN1047094" s="3"/>
      <c r="CO1047094" s="3"/>
      <c r="CP1047094" s="3"/>
      <c r="CQ1047094" s="3"/>
      <c r="CR1047094" s="3"/>
      <c r="CS1047094" s="3"/>
      <c r="CT1047094" s="3"/>
      <c r="CU1047094" s="3"/>
      <c r="CV1047094" s="3"/>
      <c r="CW1047094" s="3"/>
      <c r="CX1047094" s="3"/>
      <c r="CY1047094" s="3"/>
      <c r="CZ1047094" s="3"/>
      <c r="DA1047094" s="3"/>
      <c r="DB1047094" s="3"/>
      <c r="DC1047094" s="3"/>
      <c r="DD1047094" s="3"/>
      <c r="DE1047094" s="3"/>
      <c r="DF1047094" s="3"/>
      <c r="DG1047094" s="3"/>
      <c r="DH1047094" s="3"/>
      <c r="DI1047094" s="3"/>
      <c r="DJ1047094" s="3"/>
      <c r="DK1047094" s="3"/>
      <c r="DL1047094" s="3"/>
      <c r="DM1047094" s="3"/>
      <c r="DN1047094" s="3"/>
      <c r="DO1047094" s="3"/>
      <c r="DP1047094" s="3"/>
      <c r="DQ1047094" s="3"/>
      <c r="DR1047094" s="3"/>
      <c r="DS1047094" s="3"/>
      <c r="DT1047094" s="3"/>
      <c r="DU1047094" s="3"/>
      <c r="DV1047094" s="3"/>
      <c r="DW1047094" s="3"/>
      <c r="DX1047094" s="3"/>
      <c r="DY1047094" s="3"/>
      <c r="DZ1047094" s="3"/>
      <c r="EA1047094" s="3"/>
      <c r="EB1047094" s="3"/>
      <c r="EC1047094" s="3"/>
      <c r="ED1047094" s="3"/>
      <c r="EE1047094" s="3"/>
      <c r="EF1047094" s="3"/>
      <c r="EG1047094" s="3"/>
      <c r="EH1047094" s="3"/>
      <c r="EI1047094" s="3"/>
      <c r="EJ1047094" s="3"/>
      <c r="EK1047094" s="3"/>
      <c r="EL1047094" s="3"/>
      <c r="EM1047094" s="3"/>
      <c r="EN1047094" s="3"/>
      <c r="EO1047094" s="3"/>
      <c r="EP1047094" s="3"/>
      <c r="EQ1047094" s="3"/>
      <c r="ER1047094" s="3"/>
      <c r="ES1047094" s="3"/>
      <c r="ET1047094" s="3"/>
      <c r="EU1047094" s="3"/>
      <c r="EV1047094" s="3"/>
      <c r="EW1047094" s="3"/>
      <c r="EX1047094" s="3"/>
      <c r="EY1047094" s="3"/>
      <c r="EZ1047094" s="3"/>
      <c r="FA1047094" s="3"/>
      <c r="FB1047094" s="3"/>
      <c r="FC1047094" s="3"/>
      <c r="FD1047094" s="3"/>
      <c r="FE1047094" s="3"/>
      <c r="FF1047094" s="3"/>
      <c r="FG1047094" s="3"/>
      <c r="FH1047094" s="3"/>
      <c r="FI1047094" s="3"/>
      <c r="FJ1047094" s="3"/>
      <c r="FK1047094" s="3"/>
      <c r="FL1047094" s="3"/>
      <c r="FM1047094" s="3"/>
      <c r="FN1047094" s="3"/>
      <c r="FO1047094" s="3"/>
      <c r="FP1047094" s="3"/>
      <c r="FQ1047094" s="3"/>
      <c r="FR1047094" s="3"/>
      <c r="FS1047094" s="3"/>
      <c r="FT1047094" s="3"/>
      <c r="FU1047094" s="3"/>
      <c r="FV1047094" s="3"/>
      <c r="FW1047094" s="3"/>
      <c r="FX1047094" s="3"/>
      <c r="FY1047094" s="3"/>
      <c r="FZ1047094" s="3"/>
      <c r="GA1047094" s="3"/>
      <c r="GB1047094" s="3"/>
      <c r="GC1047094" s="3"/>
      <c r="GD1047094" s="3"/>
      <c r="GE1047094" s="3"/>
      <c r="GF1047094" s="3"/>
      <c r="GG1047094" s="3"/>
      <c r="GH1047094" s="3"/>
      <c r="GI1047094" s="3"/>
      <c r="GJ1047094" s="3"/>
      <c r="GK1047094" s="3"/>
      <c r="GL1047094" s="3"/>
      <c r="GM1047094" s="3"/>
      <c r="GN1047094" s="3"/>
      <c r="GO1047094" s="3"/>
      <c r="GP1047094" s="3"/>
      <c r="GQ1047094" s="3"/>
      <c r="GR1047094" s="3"/>
      <c r="GS1047094" s="3"/>
      <c r="GT1047094" s="3"/>
      <c r="GU1047094" s="3"/>
      <c r="GV1047094" s="3"/>
      <c r="GW1047094" s="3"/>
      <c r="GX1047094" s="3"/>
      <c r="GY1047094" s="3"/>
      <c r="GZ1047094" s="3"/>
      <c r="HA1047094" s="3"/>
      <c r="HB1047094" s="3"/>
      <c r="HC1047094" s="3"/>
      <c r="HD1047094" s="3"/>
      <c r="HE1047094" s="3"/>
      <c r="HF1047094" s="3"/>
      <c r="HG1047094" s="3"/>
      <c r="HH1047094" s="3"/>
      <c r="HI1047094" s="3"/>
      <c r="HJ1047094" s="3"/>
      <c r="HK1047094" s="3"/>
      <c r="HL1047094" s="3"/>
      <c r="HM1047094" s="3"/>
      <c r="HN1047094" s="3"/>
      <c r="HO1047094" s="3"/>
      <c r="HP1047094" s="3"/>
      <c r="HQ1047094" s="3"/>
      <c r="HR1047094" s="3"/>
      <c r="HS1047094" s="3"/>
      <c r="HT1047094" s="3"/>
      <c r="HU1047094" s="3"/>
      <c r="HV1047094" s="3"/>
      <c r="HW1047094" s="3"/>
      <c r="HX1047094" s="3"/>
      <c r="HY1047094" s="3"/>
      <c r="HZ1047094" s="3"/>
      <c r="IA1047094" s="3"/>
      <c r="IB1047094" s="3"/>
      <c r="IC1047094" s="3"/>
      <c r="ID1047094" s="3"/>
      <c r="IE1047094" s="3"/>
      <c r="IF1047094" s="3"/>
      <c r="IG1047094" s="3"/>
      <c r="IH1047094" s="3"/>
      <c r="II1047094" s="3"/>
      <c r="IJ1047094" s="3"/>
      <c r="IK1047094" s="3"/>
      <c r="IL1047094" s="3"/>
      <c r="IM1047094" s="3"/>
      <c r="IN1047094" s="3"/>
      <c r="IO1047094" s="3"/>
      <c r="IP1047094" s="3"/>
      <c r="IQ1047094" s="3"/>
      <c r="IR1047094" s="3"/>
      <c r="IS1047094" s="3"/>
      <c r="IT1047094" s="3"/>
      <c r="IU1047094" s="3"/>
      <c r="IV1047094" s="3"/>
      <c r="IW1047094" s="3"/>
      <c r="IX1047094" s="3"/>
      <c r="IY1047094" s="3"/>
      <c r="IZ1047094" s="3"/>
      <c r="JA1047094" s="3"/>
      <c r="JB1047094" s="3"/>
      <c r="JC1047094" s="3"/>
      <c r="JD1047094" s="3"/>
      <c r="JE1047094" s="3"/>
      <c r="JF1047094" s="3"/>
      <c r="JG1047094" s="3"/>
      <c r="JH1047094" s="3"/>
      <c r="JI1047094" s="3"/>
      <c r="JJ1047094" s="3"/>
      <c r="JK1047094" s="3"/>
      <c r="JL1047094" s="3"/>
      <c r="JM1047094" s="3"/>
      <c r="JN1047094" s="3"/>
      <c r="JO1047094" s="3"/>
      <c r="JP1047094" s="3"/>
      <c r="JQ1047094" s="3"/>
      <c r="JR1047094" s="3"/>
      <c r="JS1047094" s="3"/>
      <c r="JT1047094" s="3"/>
      <c r="JU1047094" s="3"/>
      <c r="JV1047094" s="3"/>
      <c r="JW1047094" s="3"/>
      <c r="JX1047094" s="3"/>
      <c r="JY1047094" s="3"/>
      <c r="JZ1047094" s="3"/>
      <c r="KA1047094" s="3"/>
      <c r="KB1047094" s="3"/>
      <c r="KC1047094" s="3"/>
      <c r="KD1047094" s="3"/>
      <c r="KE1047094" s="3"/>
      <c r="KF1047094" s="3"/>
      <c r="KG1047094" s="3"/>
      <c r="KH1047094" s="3"/>
      <c r="KI1047094" s="3"/>
      <c r="KJ1047094" s="3"/>
      <c r="KK1047094" s="3"/>
      <c r="KL1047094" s="3"/>
      <c r="KM1047094" s="3"/>
      <c r="KN1047094" s="3"/>
      <c r="KO1047094" s="3"/>
      <c r="KP1047094" s="3"/>
      <c r="KQ1047094" s="3"/>
      <c r="KR1047094" s="3"/>
      <c r="KS1047094" s="3"/>
      <c r="KT1047094" s="3"/>
      <c r="KU1047094" s="3"/>
      <c r="KV1047094" s="3"/>
      <c r="KW1047094" s="3"/>
      <c r="KX1047094" s="3"/>
      <c r="KY1047094" s="3"/>
      <c r="KZ1047094" s="3"/>
      <c r="LA1047094" s="3"/>
      <c r="LB1047094" s="3"/>
      <c r="LC1047094" s="3"/>
      <c r="LD1047094" s="3"/>
      <c r="LE1047094" s="3"/>
      <c r="LF1047094" s="3"/>
      <c r="LG1047094" s="3"/>
      <c r="LH1047094" s="3"/>
      <c r="LI1047094" s="3"/>
      <c r="LJ1047094" s="3"/>
      <c r="LK1047094" s="3"/>
      <c r="LL1047094" s="3"/>
      <c r="LM1047094" s="3"/>
      <c r="LN1047094" s="3"/>
      <c r="LO1047094" s="3"/>
      <c r="LP1047094" s="3"/>
      <c r="LQ1047094" s="3"/>
      <c r="LR1047094" s="3"/>
      <c r="LS1047094" s="3"/>
      <c r="LT1047094" s="3"/>
      <c r="LU1047094" s="3"/>
      <c r="LV1047094" s="3"/>
      <c r="LW1047094" s="3"/>
      <c r="LX1047094" s="3"/>
      <c r="LY1047094" s="3"/>
      <c r="LZ1047094" s="3"/>
      <c r="MA1047094" s="3"/>
      <c r="MB1047094" s="3"/>
      <c r="MC1047094" s="3"/>
      <c r="MD1047094" s="3"/>
      <c r="ME1047094" s="3"/>
      <c r="MF1047094" s="3"/>
      <c r="MG1047094" s="3"/>
      <c r="MH1047094" s="3"/>
      <c r="MI1047094" s="3"/>
      <c r="MJ1047094" s="3"/>
      <c r="MK1047094" s="3"/>
      <c r="ML1047094" s="3"/>
      <c r="MM1047094" s="3"/>
      <c r="MN1047094" s="3"/>
      <c r="MO1047094" s="3"/>
      <c r="MP1047094" s="3"/>
      <c r="MQ1047094" s="3"/>
      <c r="MR1047094" s="3"/>
      <c r="MS1047094" s="3"/>
      <c r="MT1047094" s="3"/>
      <c r="MU1047094" s="3"/>
      <c r="MV1047094" s="3"/>
      <c r="MW1047094" s="3"/>
      <c r="MX1047094" s="3"/>
      <c r="MY1047094" s="3"/>
      <c r="MZ1047094" s="3"/>
      <c r="NA1047094" s="3"/>
    </row>
  </sheetData>
  <mergeCells count="3">
    <mergeCell ref="E2:G2"/>
    <mergeCell ref="H2:I2"/>
    <mergeCell ref="B2:D2"/>
  </mergeCells>
  <phoneticPr fontId="20" type="noConversion"/>
  <conditionalFormatting sqref="A1:A1048576">
    <cfRule type="duplicateValues" dxfId="224" priority="112"/>
  </conditionalFormatting>
  <conditionalFormatting sqref="E685:E696">
    <cfRule type="cellIs" dxfId="223" priority="256" operator="equal">
      <formula>"NOMBRAMIENTO"</formula>
    </cfRule>
    <cfRule type="cellIs" dxfId="222" priority="257" operator="equal">
      <formula>"ANULADO"</formula>
    </cfRule>
    <cfRule type="cellIs" dxfId="221" priority="258" operator="equal">
      <formula>"NEG. NUEVO"</formula>
    </cfRule>
    <cfRule type="cellIs" dxfId="220" priority="255" operator="equal">
      <formula>"RENOVACION"</formula>
    </cfRule>
    <cfRule type="cellIs" dxfId="219" priority="254" operator="equal">
      <formula>"CAMBIO PLAN"</formula>
    </cfRule>
  </conditionalFormatting>
  <conditionalFormatting sqref="E703:E716">
    <cfRule type="cellIs" dxfId="218" priority="229" operator="equal">
      <formula>"NEG. NUEVO"</formula>
    </cfRule>
    <cfRule type="cellIs" dxfId="217" priority="228" operator="equal">
      <formula>"ANULADO"</formula>
    </cfRule>
    <cfRule type="cellIs" dxfId="216" priority="227" operator="equal">
      <formula>"NOMBRAMIENTO"</formula>
    </cfRule>
    <cfRule type="cellIs" dxfId="215" priority="226" operator="equal">
      <formula>"RENOVACION"</formula>
    </cfRule>
    <cfRule type="cellIs" dxfId="214" priority="225" operator="equal">
      <formula>"CAMBIO PLAN"</formula>
    </cfRule>
  </conditionalFormatting>
  <conditionalFormatting sqref="E718:E719">
    <cfRule type="cellIs" dxfId="213" priority="220" operator="equal">
      <formula>"RENOVACION"</formula>
    </cfRule>
    <cfRule type="cellIs" dxfId="212" priority="223" operator="equal">
      <formula>"NEG. NUEVO"</formula>
    </cfRule>
    <cfRule type="cellIs" dxfId="211" priority="222" operator="equal">
      <formula>"ANULADO"</formula>
    </cfRule>
    <cfRule type="cellIs" dxfId="210" priority="221" operator="equal">
      <formula>"NOMBRAMIENTO"</formula>
    </cfRule>
    <cfRule type="cellIs" dxfId="209" priority="219" operator="equal">
      <formula>"CAMBIO PLAN"</formula>
    </cfRule>
  </conditionalFormatting>
  <conditionalFormatting sqref="E736:E737">
    <cfRule type="cellIs" dxfId="208" priority="211" operator="equal">
      <formula>"NEG. NUEVO"</formula>
    </cfRule>
    <cfRule type="cellIs" dxfId="207" priority="207" operator="equal">
      <formula>"CAMBIO PLAN"</formula>
    </cfRule>
    <cfRule type="cellIs" dxfId="206" priority="208" operator="equal">
      <formula>"RENOVACION"</formula>
    </cfRule>
    <cfRule type="cellIs" dxfId="205" priority="209" operator="equal">
      <formula>"NOMBRAMIENTO"</formula>
    </cfRule>
    <cfRule type="cellIs" dxfId="204" priority="210" operator="equal">
      <formula>"ANULADO"</formula>
    </cfRule>
  </conditionalFormatting>
  <conditionalFormatting sqref="E739:E740">
    <cfRule type="cellIs" dxfId="203" priority="203" operator="equal">
      <formula>"RENOVACION"</formula>
    </cfRule>
    <cfRule type="cellIs" dxfId="202" priority="206" operator="equal">
      <formula>"NEG. NUEVO"</formula>
    </cfRule>
    <cfRule type="cellIs" dxfId="201" priority="205" operator="equal">
      <formula>"ANULADO"</formula>
    </cfRule>
    <cfRule type="cellIs" dxfId="200" priority="202" operator="equal">
      <formula>"CAMBIO PLAN"</formula>
    </cfRule>
    <cfRule type="cellIs" dxfId="199" priority="204" operator="equal">
      <formula>"NOMBRAMIENTO"</formula>
    </cfRule>
  </conditionalFormatting>
  <conditionalFormatting sqref="E744">
    <cfRule type="cellIs" dxfId="198" priority="195" operator="equal">
      <formula>"CAMBIO PLAN"</formula>
    </cfRule>
    <cfRule type="cellIs" dxfId="197" priority="196" operator="equal">
      <formula>"RENOVACION"</formula>
    </cfRule>
    <cfRule type="cellIs" dxfId="196" priority="197" operator="equal">
      <formula>"NOMBRAMIENTO"</formula>
    </cfRule>
    <cfRule type="cellIs" dxfId="195" priority="198" operator="equal">
      <formula>"ANULADO"</formula>
    </cfRule>
    <cfRule type="cellIs" dxfId="194" priority="199" operator="equal">
      <formula>"NEG. NUEVO"</formula>
    </cfRule>
  </conditionalFormatting>
  <conditionalFormatting sqref="E746">
    <cfRule type="cellIs" dxfId="193" priority="183" operator="equal">
      <formula>"NOMBRAMIENTO"</formula>
    </cfRule>
    <cfRule type="cellIs" dxfId="192" priority="182" operator="equal">
      <formula>"RENOVACION"</formula>
    </cfRule>
    <cfRule type="cellIs" dxfId="191" priority="184" operator="equal">
      <formula>"ANULADO"</formula>
    </cfRule>
    <cfRule type="cellIs" dxfId="190" priority="185" operator="equal">
      <formula>"NEG. NUEVO"</formula>
    </cfRule>
    <cfRule type="cellIs" dxfId="189" priority="181" operator="equal">
      <formula>"CAMBIO PLAN"</formula>
    </cfRule>
  </conditionalFormatting>
  <conditionalFormatting sqref="E755:E763">
    <cfRule type="cellIs" dxfId="188" priority="152" operator="equal">
      <formula>"CAMBIO PLAN"</formula>
    </cfRule>
    <cfRule type="cellIs" dxfId="187" priority="156" operator="equal">
      <formula>"NEG. NUEVO"</formula>
    </cfRule>
    <cfRule type="cellIs" dxfId="186" priority="155" operator="equal">
      <formula>"ANULADO"</formula>
    </cfRule>
    <cfRule type="cellIs" dxfId="185" priority="154" operator="equal">
      <formula>"NOMBRAMIENTO"</formula>
    </cfRule>
    <cfRule type="cellIs" dxfId="184" priority="153" operator="equal">
      <formula>"RENOVACION"</formula>
    </cfRule>
  </conditionalFormatting>
  <conditionalFormatting sqref="E773:E790">
    <cfRule type="cellIs" dxfId="183" priority="136" operator="equal">
      <formula>"ANULADO"</formula>
    </cfRule>
    <cfRule type="cellIs" dxfId="182" priority="137" operator="equal">
      <formula>"NEG. NUEVO"</formula>
    </cfRule>
    <cfRule type="cellIs" dxfId="181" priority="133" operator="equal">
      <formula>"CAMBIO PLAN"</formula>
    </cfRule>
    <cfRule type="cellIs" dxfId="180" priority="134" operator="equal">
      <formula>"RENOVACION"</formula>
    </cfRule>
    <cfRule type="cellIs" dxfId="179" priority="135" operator="equal">
      <formula>"NOMBRAMIENTO"</formula>
    </cfRule>
  </conditionalFormatting>
  <conditionalFormatting sqref="E800:E803">
    <cfRule type="cellIs" dxfId="178" priority="123" operator="equal">
      <formula>"RENOVACION"</formula>
    </cfRule>
    <cfRule type="cellIs" dxfId="177" priority="124" operator="equal">
      <formula>"NOMBRAMIENTO"</formula>
    </cfRule>
    <cfRule type="cellIs" dxfId="176" priority="125" operator="equal">
      <formula>"ANULADO"</formula>
    </cfRule>
    <cfRule type="cellIs" dxfId="175" priority="126" operator="equal">
      <formula>"NEG. NUEVO"</formula>
    </cfRule>
    <cfRule type="cellIs" dxfId="174" priority="122" operator="equal">
      <formula>"CAMBIO PLAN"</formula>
    </cfRule>
  </conditionalFormatting>
  <conditionalFormatting sqref="E821">
    <cfRule type="cellIs" dxfId="173" priority="100" operator="equal">
      <formula>"RENOVACION"</formula>
    </cfRule>
    <cfRule type="cellIs" dxfId="172" priority="101" operator="equal">
      <formula>"NOMBRAMIENTO"</formula>
    </cfRule>
    <cfRule type="cellIs" dxfId="171" priority="99" operator="equal">
      <formula>"CAMBIO PLAN"</formula>
    </cfRule>
    <cfRule type="cellIs" dxfId="170" priority="103" operator="equal">
      <formula>"NEG. NUEVO"</formula>
    </cfRule>
    <cfRule type="cellIs" dxfId="169" priority="102" operator="equal">
      <formula>"ANULADO"</formula>
    </cfRule>
  </conditionalFormatting>
  <conditionalFormatting sqref="E868:E869">
    <cfRule type="cellIs" dxfId="168" priority="77" operator="equal">
      <formula>"NEG. NUEVO"</formula>
    </cfRule>
    <cfRule type="cellIs" dxfId="167" priority="76" operator="equal">
      <formula>"ANULADO"</formula>
    </cfRule>
    <cfRule type="cellIs" dxfId="166" priority="75" operator="equal">
      <formula>"NOMBRAMIENTO"</formula>
    </cfRule>
    <cfRule type="cellIs" dxfId="165" priority="74" operator="equal">
      <formula>"RENOVACION"</formula>
    </cfRule>
    <cfRule type="cellIs" dxfId="164" priority="73" operator="equal">
      <formula>"CAMBIO PLAN"</formula>
    </cfRule>
  </conditionalFormatting>
  <conditionalFormatting sqref="E873:E875">
    <cfRule type="cellIs" dxfId="163" priority="62" operator="equal">
      <formula>"ANULADO"</formula>
    </cfRule>
    <cfRule type="cellIs" dxfId="162" priority="63" operator="equal">
      <formula>"NEG. NUEVO"</formula>
    </cfRule>
    <cfRule type="cellIs" dxfId="161" priority="59" operator="equal">
      <formula>"CAMBIO PLAN"</formula>
    </cfRule>
    <cfRule type="cellIs" dxfId="160" priority="60" operator="equal">
      <formula>"RENOVACION"</formula>
    </cfRule>
    <cfRule type="cellIs" dxfId="159" priority="61" operator="equal">
      <formula>"NOMBRAMIENTO"</formula>
    </cfRule>
  </conditionalFormatting>
  <conditionalFormatting sqref="E888:E903">
    <cfRule type="cellIs" dxfId="158" priority="41" operator="equal">
      <formula>"NEG. NUEVO"</formula>
    </cfRule>
    <cfRule type="cellIs" dxfId="157" priority="40" operator="equal">
      <formula>"ANULADO"</formula>
    </cfRule>
    <cfRule type="cellIs" dxfId="156" priority="39" operator="equal">
      <formula>"NOMBRAMIENTO"</formula>
    </cfRule>
    <cfRule type="cellIs" dxfId="155" priority="38" operator="equal">
      <formula>"RENOVACION"</formula>
    </cfRule>
    <cfRule type="cellIs" dxfId="154" priority="37" operator="equal">
      <formula>"CAMBIO PLAN"</formula>
    </cfRule>
  </conditionalFormatting>
  <conditionalFormatting sqref="E911:E922">
    <cfRule type="cellIs" dxfId="153" priority="1" operator="equal">
      <formula>"CAMBIO PLAN"</formula>
    </cfRule>
    <cfRule type="cellIs" dxfId="152" priority="3" operator="equal">
      <formula>"NOMBRAMIENTO"</formula>
    </cfRule>
    <cfRule type="cellIs" dxfId="151" priority="5" operator="equal">
      <formula>"NEG. NUEVO"</formula>
    </cfRule>
    <cfRule type="cellIs" dxfId="150" priority="4" operator="equal">
      <formula>"ANULADO"</formula>
    </cfRule>
    <cfRule type="cellIs" dxfId="149" priority="2" operator="equal">
      <formula>"RENOVACION"</formula>
    </cfRule>
  </conditionalFormatting>
  <conditionalFormatting sqref="E4:F684">
    <cfRule type="cellIs" dxfId="148" priority="259" operator="equal">
      <formula>"CAMBIO PLAN"</formula>
    </cfRule>
    <cfRule type="cellIs" dxfId="147" priority="261" operator="equal">
      <formula>"NOMBRAMIENTO"</formula>
    </cfRule>
    <cfRule type="cellIs" dxfId="146" priority="262" operator="equal">
      <formula>"ANULADO"</formula>
    </cfRule>
    <cfRule type="cellIs" dxfId="145" priority="263" operator="equal">
      <formula>"NEG. NUEVO"</formula>
    </cfRule>
    <cfRule type="cellIs" dxfId="144" priority="260" operator="equal">
      <formula>"RENOVACION"</formula>
    </cfRule>
  </conditionalFormatting>
  <conditionalFormatting sqref="E697:F702 E717:F717 F718:F719 F736:F737 E738:F738 F739:F740 E741:F743 F744 F755:F763 F773:F790 F800:F803 F821">
    <cfRule type="cellIs" dxfId="143" priority="278" operator="equal">
      <formula>"ANULADO"</formula>
    </cfRule>
    <cfRule type="cellIs" dxfId="142" priority="277" operator="equal">
      <formula>"NOMBRAMIENTO"</formula>
    </cfRule>
    <cfRule type="cellIs" dxfId="141" priority="276" operator="equal">
      <formula>"RENOVACION"</formula>
    </cfRule>
    <cfRule type="cellIs" dxfId="140" priority="275" operator="equal">
      <formula>"CAMBIO PLAN"</formula>
    </cfRule>
    <cfRule type="cellIs" dxfId="139" priority="279" operator="equal">
      <formula>"NEG. NUEVO"</formula>
    </cfRule>
  </conditionalFormatting>
  <conditionalFormatting sqref="E720:F735">
    <cfRule type="cellIs" dxfId="138" priority="214" operator="equal">
      <formula>"NOMBRAMIENTO"</formula>
    </cfRule>
    <cfRule type="cellIs" dxfId="137" priority="212" operator="equal">
      <formula>"CAMBIO PLAN"</formula>
    </cfRule>
    <cfRule type="cellIs" dxfId="136" priority="213" operator="equal">
      <formula>"RENOVACION"</formula>
    </cfRule>
    <cfRule type="cellIs" dxfId="135" priority="215" operator="equal">
      <formula>"ANULADO"</formula>
    </cfRule>
    <cfRule type="cellIs" dxfId="134" priority="216" operator="equal">
      <formula>"NEG. NUEVO"</formula>
    </cfRule>
  </conditionalFormatting>
  <conditionalFormatting sqref="E745:F745 F746">
    <cfRule type="cellIs" dxfId="133" priority="189" operator="equal">
      <formula>"CAMBIO PLAN"</formula>
    </cfRule>
    <cfRule type="cellIs" dxfId="132" priority="192" operator="equal">
      <formula>"ANULADO"</formula>
    </cfRule>
    <cfRule type="cellIs" dxfId="131" priority="193" operator="equal">
      <formula>"NEG. NUEVO"</formula>
    </cfRule>
    <cfRule type="cellIs" dxfId="130" priority="190" operator="equal">
      <formula>"RENOVACION"</formula>
    </cfRule>
    <cfRule type="cellIs" dxfId="129" priority="191" operator="equal">
      <formula>"NOMBRAMIENTO"</formula>
    </cfRule>
  </conditionalFormatting>
  <conditionalFormatting sqref="E747:F754">
    <cfRule type="cellIs" dxfId="128" priority="158" operator="equal">
      <formula>"RENOVACION"</formula>
    </cfRule>
    <cfRule type="cellIs" dxfId="127" priority="157" operator="equal">
      <formula>"CAMBIO PLAN"</formula>
    </cfRule>
    <cfRule type="cellIs" dxfId="126" priority="161" operator="equal">
      <formula>"NEG. NUEVO"</formula>
    </cfRule>
    <cfRule type="cellIs" dxfId="125" priority="160" operator="equal">
      <formula>"ANULADO"</formula>
    </cfRule>
    <cfRule type="cellIs" dxfId="124" priority="159" operator="equal">
      <formula>"NOMBRAMIENTO"</formula>
    </cfRule>
  </conditionalFormatting>
  <conditionalFormatting sqref="E764:F772">
    <cfRule type="cellIs" dxfId="123" priority="147" operator="equal">
      <formula>"NEG. NUEVO"</formula>
    </cfRule>
    <cfRule type="cellIs" dxfId="122" priority="146" operator="equal">
      <formula>"ANULADO"</formula>
    </cfRule>
    <cfRule type="cellIs" dxfId="121" priority="144" operator="equal">
      <formula>"RENOVACION"</formula>
    </cfRule>
    <cfRule type="cellIs" dxfId="120" priority="143" operator="equal">
      <formula>"CAMBIO PLAN"</formula>
    </cfRule>
    <cfRule type="cellIs" dxfId="119" priority="145" operator="equal">
      <formula>"NOMBRAMIENTO"</formula>
    </cfRule>
  </conditionalFormatting>
  <conditionalFormatting sqref="E789:F799">
    <cfRule type="cellIs" dxfId="118" priority="128" operator="equal">
      <formula>"CAMBIO PLAN"</formula>
    </cfRule>
    <cfRule type="cellIs" dxfId="117" priority="132" operator="equal">
      <formula>"NEG. NUEVO"</formula>
    </cfRule>
    <cfRule type="cellIs" dxfId="116" priority="131" operator="equal">
      <formula>"ANULADO"</formula>
    </cfRule>
    <cfRule type="cellIs" dxfId="115" priority="130" operator="equal">
      <formula>"NOMBRAMIENTO"</formula>
    </cfRule>
    <cfRule type="cellIs" dxfId="114" priority="129" operator="equal">
      <formula>"RENOVACION"</formula>
    </cfRule>
  </conditionalFormatting>
  <conditionalFormatting sqref="E804:F820">
    <cfRule type="cellIs" dxfId="113" priority="113" operator="equal">
      <formula>"CAMBIO PLAN"</formula>
    </cfRule>
    <cfRule type="cellIs" dxfId="112" priority="117" operator="equal">
      <formula>"NEG. NUEVO"</formula>
    </cfRule>
    <cfRule type="cellIs" dxfId="111" priority="116" operator="equal">
      <formula>"ANULADO"</formula>
    </cfRule>
    <cfRule type="cellIs" dxfId="110" priority="115" operator="equal">
      <formula>"NOMBRAMIENTO"</formula>
    </cfRule>
    <cfRule type="cellIs" dxfId="109" priority="114" operator="equal">
      <formula>"RENOVACION"</formula>
    </cfRule>
  </conditionalFormatting>
  <conditionalFormatting sqref="E822:F867">
    <cfRule type="cellIs" dxfId="108" priority="80" operator="equal">
      <formula>"RENOVACION"</formula>
    </cfRule>
    <cfRule type="cellIs" dxfId="107" priority="82" operator="equal">
      <formula>"ANULADO"</formula>
    </cfRule>
    <cfRule type="cellIs" dxfId="106" priority="83" operator="equal">
      <formula>"NEG. NUEVO"</formula>
    </cfRule>
    <cfRule type="cellIs" dxfId="105" priority="81" operator="equal">
      <formula>"NOMBRAMIENTO"</formula>
    </cfRule>
    <cfRule type="cellIs" dxfId="104" priority="79" operator="equal">
      <formula>"CAMBIO PLAN"</formula>
    </cfRule>
  </conditionalFormatting>
  <conditionalFormatting sqref="E870:F872">
    <cfRule type="cellIs" dxfId="103" priority="68" operator="equal">
      <formula>"CAMBIO PLAN"</formula>
    </cfRule>
    <cfRule type="cellIs" dxfId="102" priority="70" operator="equal">
      <formula>"NOMBRAMIENTO"</formula>
    </cfRule>
    <cfRule type="cellIs" dxfId="101" priority="69" operator="equal">
      <formula>"RENOVACION"</formula>
    </cfRule>
    <cfRule type="cellIs" dxfId="100" priority="72" operator="equal">
      <formula>"NEG. NUEVO"</formula>
    </cfRule>
    <cfRule type="cellIs" dxfId="99" priority="71" operator="equal">
      <formula>"ANULADO"</formula>
    </cfRule>
  </conditionalFormatting>
  <conditionalFormatting sqref="E876:F887">
    <cfRule type="cellIs" dxfId="98" priority="55" operator="equal">
      <formula>"RENOVACION"</formula>
    </cfRule>
    <cfRule type="cellIs" dxfId="97" priority="57" operator="equal">
      <formula>"ANULADO"</formula>
    </cfRule>
    <cfRule type="cellIs" dxfId="96" priority="58" operator="equal">
      <formula>"NEG. NUEVO"</formula>
    </cfRule>
    <cfRule type="cellIs" dxfId="95" priority="56" operator="equal">
      <formula>"NOMBRAMIENTO"</formula>
    </cfRule>
    <cfRule type="cellIs" dxfId="94" priority="54" operator="equal">
      <formula>"CAMBIO PLAN"</formula>
    </cfRule>
  </conditionalFormatting>
  <conditionalFormatting sqref="F685:F696">
    <cfRule type="cellIs" dxfId="93" priority="269" operator="equal">
      <formula>"NOMBRAMIENTO"</formula>
    </cfRule>
    <cfRule type="cellIs" dxfId="92" priority="270" operator="equal">
      <formula>"ANULADO"</formula>
    </cfRule>
    <cfRule type="cellIs" dxfId="91" priority="271" operator="equal">
      <formula>"NEG. NUEVO"</formula>
    </cfRule>
    <cfRule type="cellIs" dxfId="90" priority="268" operator="equal">
      <formula>"RENOVACION"</formula>
    </cfRule>
    <cfRule type="cellIs" dxfId="89" priority="267" operator="equal">
      <formula>"CAMBIO PLAN"</formula>
    </cfRule>
  </conditionalFormatting>
  <conditionalFormatting sqref="F703:F716">
    <cfRule type="cellIs" dxfId="88" priority="244" operator="equal">
      <formula>"NEG. NUEVO"</formula>
    </cfRule>
    <cfRule type="cellIs" dxfId="87" priority="240" operator="equal">
      <formula>"CAMBIO PLAN"</formula>
    </cfRule>
    <cfRule type="cellIs" dxfId="86" priority="241" operator="equal">
      <formula>"RENOVACION"</formula>
    </cfRule>
    <cfRule type="cellIs" dxfId="85" priority="242" operator="equal">
      <formula>"NOMBRAMIENTO"</formula>
    </cfRule>
    <cfRule type="cellIs" dxfId="84" priority="243" operator="equal">
      <formula>"ANULADO"</formula>
    </cfRule>
  </conditionalFormatting>
  <conditionalFormatting sqref="F868:F869 F873:F875 F888:F903 E904:F910 E923:F2122">
    <cfRule type="cellIs" dxfId="83" priority="93" operator="equal">
      <formula>"NEG. NUEVO"</formula>
    </cfRule>
    <cfRule type="cellIs" dxfId="82" priority="91" operator="equal">
      <formula>"NOMBRAMIENTO"</formula>
    </cfRule>
    <cfRule type="cellIs" dxfId="81" priority="92" operator="equal">
      <formula>"ANULADO"</formula>
    </cfRule>
    <cfRule type="cellIs" dxfId="80" priority="89" operator="equal">
      <formula>"CAMBIO PLAN"</formula>
    </cfRule>
    <cfRule type="cellIs" dxfId="79" priority="90" operator="equal">
      <formula>"RENOVACION"</formula>
    </cfRule>
  </conditionalFormatting>
  <conditionalFormatting sqref="F911:F922">
    <cfRule type="cellIs" dxfId="78" priority="13" operator="equal">
      <formula>"CAMBIO PLAN"</formula>
    </cfRule>
    <cfRule type="cellIs" dxfId="77" priority="14" operator="equal">
      <formula>"RENOVACION"</formula>
    </cfRule>
    <cfRule type="cellIs" dxfId="76" priority="15" operator="equal">
      <formula>"NOMBRAMIENTO"</formula>
    </cfRule>
    <cfRule type="cellIs" dxfId="75" priority="16" operator="equal">
      <formula>"ANULADO"</formula>
    </cfRule>
    <cfRule type="cellIs" dxfId="74" priority="17" operator="equal">
      <formula>"NEG. NUEVO"</formula>
    </cfRule>
  </conditionalFormatting>
  <conditionalFormatting sqref="G633:G2000">
    <cfRule type="expression" dxfId="73" priority="12">
      <formula>+X633="PENDIENTE"</formula>
    </cfRule>
  </conditionalFormatting>
  <conditionalFormatting sqref="H1:H834 H1002:H1365">
    <cfRule type="duplicateValues" dxfId="72" priority="107"/>
  </conditionalFormatting>
  <conditionalFormatting sqref="H6">
    <cfRule type="duplicateValues" dxfId="71" priority="647"/>
  </conditionalFormatting>
  <conditionalFormatting sqref="H7">
    <cfRule type="duplicateValues" dxfId="70" priority="640"/>
  </conditionalFormatting>
  <conditionalFormatting sqref="H12">
    <cfRule type="duplicateValues" dxfId="69" priority="629"/>
  </conditionalFormatting>
  <conditionalFormatting sqref="H13:H19 H4:H5 H8:H11 H21:H77">
    <cfRule type="duplicateValues" dxfId="68" priority="980"/>
  </conditionalFormatting>
  <conditionalFormatting sqref="H20">
    <cfRule type="duplicateValues" dxfId="67" priority="616"/>
  </conditionalFormatting>
  <conditionalFormatting sqref="H514:H530">
    <cfRule type="duplicateValues" dxfId="66" priority="381"/>
  </conditionalFormatting>
  <conditionalFormatting sqref="H531:H571 H573:H577 H605:H616 H632">
    <cfRule type="duplicateValues" dxfId="65" priority="990"/>
  </conditionalFormatting>
  <conditionalFormatting sqref="H572">
    <cfRule type="duplicateValues" dxfId="64" priority="362"/>
  </conditionalFormatting>
  <conditionalFormatting sqref="H578:H584">
    <cfRule type="duplicateValues" dxfId="63" priority="355"/>
  </conditionalFormatting>
  <conditionalFormatting sqref="H585:H598 H600:H604">
    <cfRule type="duplicateValues" dxfId="62" priority="343"/>
  </conditionalFormatting>
  <conditionalFormatting sqref="H599">
    <cfRule type="duplicateValues" dxfId="61" priority="336"/>
  </conditionalFormatting>
  <conditionalFormatting sqref="H617:H631">
    <cfRule type="duplicateValues" dxfId="60" priority="294"/>
  </conditionalFormatting>
  <conditionalFormatting sqref="H633:H648 H686:H739 H741:H744 H747:H752 H754:H799 H1366:H2044">
    <cfRule type="duplicateValues" dxfId="59" priority="281"/>
  </conditionalFormatting>
  <conditionalFormatting sqref="H649">
    <cfRule type="duplicateValues" dxfId="58" priority="265"/>
  </conditionalFormatting>
  <conditionalFormatting sqref="H650:H685">
    <cfRule type="duplicateValues" dxfId="57" priority="273"/>
  </conditionalFormatting>
  <conditionalFormatting sqref="H740">
    <cfRule type="duplicateValues" dxfId="56" priority="201"/>
    <cfRule type="duplicateValues" dxfId="55" priority="200"/>
  </conditionalFormatting>
  <conditionalFormatting sqref="H745:H746">
    <cfRule type="duplicateValues" dxfId="54" priority="194"/>
  </conditionalFormatting>
  <conditionalFormatting sqref="H753">
    <cfRule type="duplicateValues" dxfId="53" priority="170"/>
  </conditionalFormatting>
  <conditionalFormatting sqref="H800">
    <cfRule type="duplicateValues" dxfId="52" priority="111"/>
  </conditionalFormatting>
  <conditionalFormatting sqref="H835:H869 H873:H913 H915:H1001">
    <cfRule type="duplicateValues" dxfId="51" priority="87"/>
  </conditionalFormatting>
  <conditionalFormatting sqref="H870:H872">
    <cfRule type="duplicateValues" dxfId="50" priority="67"/>
  </conditionalFormatting>
  <conditionalFormatting sqref="H914">
    <cfRule type="duplicateValues" dxfId="49" priority="20"/>
  </conditionalFormatting>
  <conditionalFormatting sqref="H2045:H2121 H78:H513">
    <cfRule type="duplicateValues" dxfId="48" priority="983"/>
  </conditionalFormatting>
  <conditionalFormatting sqref="I1:I3">
    <cfRule type="duplicateValues" dxfId="47" priority="105"/>
    <cfRule type="duplicateValues" dxfId="46" priority="106"/>
  </conditionalFormatting>
  <conditionalFormatting sqref="I4:I2122">
    <cfRule type="duplicateValues" dxfId="45" priority="6"/>
  </conditionalFormatting>
  <conditionalFormatting sqref="J693">
    <cfRule type="duplicateValues" dxfId="44" priority="218"/>
    <cfRule type="duplicateValues" dxfId="43" priority="217"/>
  </conditionalFormatting>
  <conditionalFormatting sqref="O4">
    <cfRule type="duplicateValues" dxfId="42" priority="648"/>
  </conditionalFormatting>
  <conditionalFormatting sqref="O6">
    <cfRule type="duplicateValues" dxfId="41" priority="633"/>
  </conditionalFormatting>
  <conditionalFormatting sqref="O7">
    <cfRule type="duplicateValues" dxfId="40" priority="634"/>
  </conditionalFormatting>
  <conditionalFormatting sqref="O9">
    <cfRule type="duplicateValues" dxfId="39" priority="632"/>
  </conditionalFormatting>
  <conditionalFormatting sqref="O10">
    <cfRule type="duplicateValues" dxfId="38" priority="631"/>
  </conditionalFormatting>
  <conditionalFormatting sqref="O13">
    <cfRule type="duplicateValues" dxfId="37" priority="623"/>
  </conditionalFormatting>
  <conditionalFormatting sqref="O14">
    <cfRule type="duplicateValues" dxfId="36" priority="622"/>
  </conditionalFormatting>
  <conditionalFormatting sqref="O15">
    <cfRule type="duplicateValues" dxfId="35" priority="621"/>
  </conditionalFormatting>
  <conditionalFormatting sqref="O16">
    <cfRule type="duplicateValues" dxfId="34" priority="620"/>
  </conditionalFormatting>
  <conditionalFormatting sqref="O17">
    <cfRule type="duplicateValues" dxfId="33" priority="619"/>
  </conditionalFormatting>
  <conditionalFormatting sqref="O18">
    <cfRule type="duplicateValues" dxfId="32" priority="618"/>
  </conditionalFormatting>
  <conditionalFormatting sqref="O22">
    <cfRule type="duplicateValues" dxfId="31" priority="610"/>
  </conditionalFormatting>
  <conditionalFormatting sqref="O25">
    <cfRule type="duplicateValues" dxfId="30" priority="609"/>
  </conditionalFormatting>
  <conditionalFormatting sqref="O27">
    <cfRule type="duplicateValues" dxfId="29" priority="608"/>
  </conditionalFormatting>
  <conditionalFormatting sqref="O28">
    <cfRule type="duplicateValues" dxfId="28" priority="607"/>
  </conditionalFormatting>
  <conditionalFormatting sqref="O30">
    <cfRule type="duplicateValues" dxfId="27" priority="606"/>
  </conditionalFormatting>
  <conditionalFormatting sqref="O32">
    <cfRule type="duplicateValues" dxfId="26" priority="605"/>
  </conditionalFormatting>
  <conditionalFormatting sqref="O34">
    <cfRule type="duplicateValues" dxfId="25" priority="604"/>
  </conditionalFormatting>
  <conditionalFormatting sqref="O35">
    <cfRule type="duplicateValues" dxfId="24" priority="603"/>
  </conditionalFormatting>
  <conditionalFormatting sqref="O37">
    <cfRule type="duplicateValues" dxfId="23" priority="60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B440-E16E-49DD-84D5-A2DFBBD68D7F}">
  <dimension ref="A1:O631"/>
  <sheetViews>
    <sheetView topLeftCell="B1" workbookViewId="0">
      <selection activeCell="N16" sqref="N16"/>
    </sheetView>
  </sheetViews>
  <sheetFormatPr baseColWidth="10" defaultRowHeight="14.5" x14ac:dyDescent="0.35"/>
  <cols>
    <col min="3" max="3" width="13.54296875" bestFit="1" customWidth="1"/>
    <col min="4" max="4" width="8.54296875" bestFit="1" customWidth="1"/>
    <col min="5" max="5" width="20" bestFit="1" customWidth="1"/>
    <col min="6" max="6" width="10.7265625" bestFit="1" customWidth="1"/>
    <col min="7" max="7" width="39.26953125" bestFit="1" customWidth="1"/>
    <col min="8" max="8" width="16.453125" bestFit="1" customWidth="1"/>
    <col min="11" max="11" width="11.453125"/>
    <col min="15" max="15" width="47" customWidth="1"/>
  </cols>
  <sheetData>
    <row r="1" spans="1:15" ht="24" x14ac:dyDescent="0.35">
      <c r="A1" s="45" t="s">
        <v>25</v>
      </c>
      <c r="B1" s="5" t="s">
        <v>0</v>
      </c>
      <c r="C1" s="5" t="s">
        <v>26</v>
      </c>
      <c r="D1" s="5" t="s">
        <v>27</v>
      </c>
      <c r="E1" s="4" t="s">
        <v>9</v>
      </c>
      <c r="F1" s="4" t="s">
        <v>1426</v>
      </c>
      <c r="G1" s="4" t="s">
        <v>28</v>
      </c>
      <c r="H1" s="4" t="s">
        <v>36</v>
      </c>
      <c r="I1" s="7" t="s">
        <v>39</v>
      </c>
      <c r="J1" s="7" t="s">
        <v>41</v>
      </c>
      <c r="K1" s="7" t="s">
        <v>1668</v>
      </c>
      <c r="L1" s="4" t="s">
        <v>43</v>
      </c>
      <c r="M1" s="4" t="s">
        <v>956</v>
      </c>
      <c r="N1" s="4" t="s">
        <v>44</v>
      </c>
      <c r="O1" s="8" t="s">
        <v>42</v>
      </c>
    </row>
    <row r="2" spans="1:15" x14ac:dyDescent="0.35">
      <c r="A2" s="110">
        <v>45293</v>
      </c>
      <c r="B2" s="111" t="s">
        <v>50</v>
      </c>
      <c r="C2" s="111" t="s">
        <v>1669</v>
      </c>
      <c r="D2" s="111" t="s">
        <v>52</v>
      </c>
      <c r="E2" s="112" t="s">
        <v>53</v>
      </c>
      <c r="F2" s="112"/>
      <c r="G2" s="112" t="s">
        <v>54</v>
      </c>
      <c r="H2" s="112" t="s">
        <v>55</v>
      </c>
      <c r="I2" s="113">
        <f>J2/12</f>
        <v>450.98416666666668</v>
      </c>
      <c r="J2" s="114">
        <v>5411.81</v>
      </c>
      <c r="K2" s="110">
        <f>DATE(2025,1,2)</f>
        <v>45659</v>
      </c>
      <c r="L2" s="112" t="s">
        <v>1671</v>
      </c>
      <c r="M2" s="112" t="s">
        <v>74</v>
      </c>
      <c r="N2" s="112" t="s">
        <v>74</v>
      </c>
      <c r="O2" s="115"/>
    </row>
    <row r="3" spans="1:15" x14ac:dyDescent="0.35">
      <c r="A3" s="116">
        <v>45294</v>
      </c>
      <c r="B3" s="117" t="s">
        <v>50</v>
      </c>
      <c r="C3" s="111" t="s">
        <v>1669</v>
      </c>
      <c r="D3" s="117" t="s">
        <v>52</v>
      </c>
      <c r="E3" s="118" t="s">
        <v>57</v>
      </c>
      <c r="F3" s="118"/>
      <c r="G3" s="118" t="s">
        <v>58</v>
      </c>
      <c r="H3" s="118" t="s">
        <v>6</v>
      </c>
      <c r="I3" s="113">
        <f t="shared" ref="I3:I68" si="0">J3/12</f>
        <v>115.84583333333335</v>
      </c>
      <c r="J3" s="120">
        <v>1390.15</v>
      </c>
      <c r="K3" s="116">
        <v>45660</v>
      </c>
      <c r="L3" s="118" t="s">
        <v>1671</v>
      </c>
      <c r="M3" s="118" t="s">
        <v>74</v>
      </c>
      <c r="N3" s="112" t="s">
        <v>74</v>
      </c>
      <c r="O3" s="121"/>
    </row>
    <row r="4" spans="1:15" x14ac:dyDescent="0.35">
      <c r="A4" s="110">
        <v>45296</v>
      </c>
      <c r="B4" s="111" t="s">
        <v>50</v>
      </c>
      <c r="C4" s="111" t="s">
        <v>1669</v>
      </c>
      <c r="D4" s="111" t="s">
        <v>52</v>
      </c>
      <c r="E4" s="112" t="s">
        <v>57</v>
      </c>
      <c r="F4" s="112"/>
      <c r="G4" s="112" t="s">
        <v>63</v>
      </c>
      <c r="H4" s="112" t="s">
        <v>3</v>
      </c>
      <c r="I4" s="113">
        <f t="shared" si="0"/>
        <v>45.047500000000007</v>
      </c>
      <c r="J4" s="114">
        <v>540.57000000000005</v>
      </c>
      <c r="K4" s="110">
        <v>45662</v>
      </c>
      <c r="L4" s="112" t="s">
        <v>1671</v>
      </c>
      <c r="M4" s="112" t="s">
        <v>74</v>
      </c>
      <c r="N4" s="112" t="s">
        <v>74</v>
      </c>
      <c r="O4" s="115"/>
    </row>
    <row r="5" spans="1:15" x14ac:dyDescent="0.35">
      <c r="A5" s="116">
        <v>45296</v>
      </c>
      <c r="B5" s="117" t="s">
        <v>50</v>
      </c>
      <c r="C5" s="111" t="s">
        <v>1669</v>
      </c>
      <c r="D5" s="117" t="s">
        <v>52</v>
      </c>
      <c r="E5" s="118" t="s">
        <v>60</v>
      </c>
      <c r="F5" s="118"/>
      <c r="G5" s="118" t="s">
        <v>61</v>
      </c>
      <c r="H5" s="118" t="s">
        <v>6</v>
      </c>
      <c r="I5" s="113">
        <f t="shared" si="0"/>
        <v>63.35</v>
      </c>
      <c r="J5" s="120">
        <v>760.2</v>
      </c>
      <c r="K5" s="110">
        <v>45662</v>
      </c>
      <c r="L5" s="118" t="s">
        <v>1672</v>
      </c>
      <c r="M5" s="118"/>
      <c r="N5" s="118"/>
      <c r="O5" s="121" t="s">
        <v>1673</v>
      </c>
    </row>
    <row r="6" spans="1:15" x14ac:dyDescent="0.35">
      <c r="A6" s="110">
        <v>45296</v>
      </c>
      <c r="B6" s="111" t="s">
        <v>50</v>
      </c>
      <c r="C6" s="111" t="s">
        <v>1669</v>
      </c>
      <c r="D6" s="111" t="s">
        <v>66</v>
      </c>
      <c r="E6" s="112" t="s">
        <v>16</v>
      </c>
      <c r="F6" s="112">
        <v>15037</v>
      </c>
      <c r="G6" s="112" t="s">
        <v>67</v>
      </c>
      <c r="H6" s="112" t="s">
        <v>5</v>
      </c>
      <c r="I6" s="113">
        <f t="shared" si="0"/>
        <v>104.19900497512437</v>
      </c>
      <c r="J6" s="122">
        <f>104.72*12/(1.005)</f>
        <v>1250.3880597014925</v>
      </c>
      <c r="K6" s="110">
        <v>45662</v>
      </c>
      <c r="L6" s="112" t="s">
        <v>1672</v>
      </c>
      <c r="M6" s="112"/>
      <c r="N6" s="112"/>
      <c r="O6" s="115" t="s">
        <v>1674</v>
      </c>
    </row>
    <row r="7" spans="1:15" x14ac:dyDescent="0.35">
      <c r="A7" s="116">
        <v>45299</v>
      </c>
      <c r="B7" s="117" t="s">
        <v>50</v>
      </c>
      <c r="C7" s="111" t="s">
        <v>1669</v>
      </c>
      <c r="D7" s="117" t="s">
        <v>52</v>
      </c>
      <c r="E7" s="118" t="s">
        <v>78</v>
      </c>
      <c r="F7" s="118"/>
      <c r="G7" s="118" t="s">
        <v>79</v>
      </c>
      <c r="H7" s="118" t="s">
        <v>6</v>
      </c>
      <c r="I7" s="113">
        <f t="shared" si="0"/>
        <v>261.82249999999999</v>
      </c>
      <c r="J7" s="120">
        <v>3141.87</v>
      </c>
      <c r="K7" s="110">
        <v>45665</v>
      </c>
      <c r="L7" s="118" t="s">
        <v>1671</v>
      </c>
      <c r="M7" s="112" t="s">
        <v>74</v>
      </c>
      <c r="N7" s="112" t="s">
        <v>74</v>
      </c>
      <c r="O7" s="121"/>
    </row>
    <row r="8" spans="1:15" x14ac:dyDescent="0.35">
      <c r="A8" s="110">
        <v>45299</v>
      </c>
      <c r="B8" s="111" t="s">
        <v>50</v>
      </c>
      <c r="C8" s="111" t="s">
        <v>1669</v>
      </c>
      <c r="D8" s="111" t="s">
        <v>52</v>
      </c>
      <c r="E8" s="112" t="s">
        <v>75</v>
      </c>
      <c r="F8" s="112"/>
      <c r="G8" s="112" t="s">
        <v>76</v>
      </c>
      <c r="H8" s="112" t="s">
        <v>399</v>
      </c>
      <c r="I8" s="113">
        <f t="shared" si="0"/>
        <v>183.67333333333332</v>
      </c>
      <c r="J8" s="114">
        <v>2204.08</v>
      </c>
      <c r="K8" s="110">
        <v>45665</v>
      </c>
      <c r="L8" s="112" t="s">
        <v>1671</v>
      </c>
      <c r="M8" s="112" t="s">
        <v>74</v>
      </c>
      <c r="N8" s="112" t="s">
        <v>74</v>
      </c>
      <c r="O8" s="115"/>
    </row>
    <row r="9" spans="1:15" x14ac:dyDescent="0.35">
      <c r="A9" s="116">
        <v>45299</v>
      </c>
      <c r="B9" s="117" t="s">
        <v>50</v>
      </c>
      <c r="C9" s="111" t="s">
        <v>1669</v>
      </c>
      <c r="D9" s="117" t="s">
        <v>66</v>
      </c>
      <c r="E9" s="118" t="s">
        <v>15</v>
      </c>
      <c r="F9" s="118" t="s">
        <v>81</v>
      </c>
      <c r="G9" s="118" t="s">
        <v>82</v>
      </c>
      <c r="H9" s="118" t="s">
        <v>3</v>
      </c>
      <c r="I9" s="113">
        <f t="shared" si="0"/>
        <v>38.871890547263689</v>
      </c>
      <c r="J9" s="120">
        <f>+(44.51*12)/1.005-65</f>
        <v>466.46268656716427</v>
      </c>
      <c r="K9" s="110">
        <v>45665</v>
      </c>
      <c r="L9" s="118" t="s">
        <v>1672</v>
      </c>
      <c r="M9" s="118"/>
      <c r="N9" s="118"/>
      <c r="O9" s="121" t="s">
        <v>1675</v>
      </c>
    </row>
    <row r="10" spans="1:15" x14ac:dyDescent="0.35">
      <c r="A10" s="110">
        <v>45299</v>
      </c>
      <c r="B10" s="111" t="s">
        <v>50</v>
      </c>
      <c r="C10" s="111" t="s">
        <v>1669</v>
      </c>
      <c r="D10" s="111" t="s">
        <v>66</v>
      </c>
      <c r="E10" s="112" t="s">
        <v>84</v>
      </c>
      <c r="F10" s="112" t="s">
        <v>85</v>
      </c>
      <c r="G10" s="112" t="s">
        <v>86</v>
      </c>
      <c r="H10" s="112" t="s">
        <v>3</v>
      </c>
      <c r="I10" s="113">
        <f t="shared" si="0"/>
        <v>117.726368159204</v>
      </c>
      <c r="J10" s="114">
        <f>+(126.69*12)/1.005-100</f>
        <v>1412.7164179104479</v>
      </c>
      <c r="K10" s="110">
        <v>45665</v>
      </c>
      <c r="L10" s="112" t="s">
        <v>1672</v>
      </c>
      <c r="M10" s="112"/>
      <c r="N10" s="112"/>
      <c r="O10" s="115" t="s">
        <v>1676</v>
      </c>
    </row>
    <row r="11" spans="1:15" x14ac:dyDescent="0.35">
      <c r="A11" s="116">
        <v>45301</v>
      </c>
      <c r="B11" s="117" t="s">
        <v>50</v>
      </c>
      <c r="C11" s="111" t="s">
        <v>1669</v>
      </c>
      <c r="D11" s="117" t="s">
        <v>52</v>
      </c>
      <c r="E11" s="118" t="s">
        <v>90</v>
      </c>
      <c r="F11" s="118"/>
      <c r="G11" s="118" t="s">
        <v>91</v>
      </c>
      <c r="H11" s="118" t="s">
        <v>6</v>
      </c>
      <c r="I11" s="113">
        <f t="shared" si="0"/>
        <v>53.946666666666665</v>
      </c>
      <c r="J11" s="120">
        <v>647.36</v>
      </c>
      <c r="K11" s="110">
        <v>45667</v>
      </c>
      <c r="L11" s="118" t="s">
        <v>1672</v>
      </c>
      <c r="M11" s="118"/>
      <c r="N11" s="118"/>
      <c r="O11" s="121" t="s">
        <v>1673</v>
      </c>
    </row>
    <row r="12" spans="1:15" x14ac:dyDescent="0.35">
      <c r="A12" s="110">
        <v>45301</v>
      </c>
      <c r="B12" s="111" t="s">
        <v>50</v>
      </c>
      <c r="C12" s="111" t="s">
        <v>1669</v>
      </c>
      <c r="D12" s="111" t="s">
        <v>52</v>
      </c>
      <c r="E12" s="112" t="s">
        <v>60</v>
      </c>
      <c r="F12" s="112"/>
      <c r="G12" s="112" t="s">
        <v>93</v>
      </c>
      <c r="H12" s="112" t="s">
        <v>6</v>
      </c>
      <c r="I12" s="113">
        <f t="shared" si="0"/>
        <v>22.66416666666667</v>
      </c>
      <c r="J12" s="114">
        <v>271.97000000000003</v>
      </c>
      <c r="K12" s="110">
        <v>45667</v>
      </c>
      <c r="L12" s="112" t="s">
        <v>1672</v>
      </c>
      <c r="M12" s="112"/>
      <c r="N12" s="112"/>
      <c r="O12" s="115" t="s">
        <v>1673</v>
      </c>
    </row>
    <row r="13" spans="1:15" x14ac:dyDescent="0.35">
      <c r="A13" s="116">
        <v>45302</v>
      </c>
      <c r="B13" s="117" t="s">
        <v>50</v>
      </c>
      <c r="C13" s="111" t="s">
        <v>1669</v>
      </c>
      <c r="D13" s="117" t="s">
        <v>52</v>
      </c>
      <c r="E13" s="118" t="s">
        <v>98</v>
      </c>
      <c r="F13" s="118"/>
      <c r="G13" s="118" t="s">
        <v>99</v>
      </c>
      <c r="H13" s="118" t="s">
        <v>6</v>
      </c>
      <c r="I13" s="113">
        <f t="shared" si="0"/>
        <v>106.81166666666667</v>
      </c>
      <c r="J13" s="120">
        <v>1281.74</v>
      </c>
      <c r="K13" s="110">
        <v>45668</v>
      </c>
      <c r="L13" s="118" t="s">
        <v>1671</v>
      </c>
      <c r="M13" s="112" t="s">
        <v>74</v>
      </c>
      <c r="N13" s="112" t="s">
        <v>74</v>
      </c>
      <c r="O13" s="121"/>
    </row>
    <row r="14" spans="1:15" x14ac:dyDescent="0.35">
      <c r="A14" s="110">
        <v>45302</v>
      </c>
      <c r="B14" s="111" t="s">
        <v>50</v>
      </c>
      <c r="C14" s="111" t="s">
        <v>1669</v>
      </c>
      <c r="D14" s="111" t="s">
        <v>52</v>
      </c>
      <c r="E14" s="112" t="s">
        <v>78</v>
      </c>
      <c r="F14" s="112"/>
      <c r="G14" s="112" t="s">
        <v>97</v>
      </c>
      <c r="H14" s="112" t="s">
        <v>6</v>
      </c>
      <c r="I14" s="113">
        <f t="shared" si="0"/>
        <v>35.778333333333329</v>
      </c>
      <c r="J14" s="114">
        <v>429.34</v>
      </c>
      <c r="K14" s="110">
        <v>45668</v>
      </c>
      <c r="L14" s="112" t="s">
        <v>1671</v>
      </c>
      <c r="M14" s="112" t="s">
        <v>74</v>
      </c>
      <c r="N14" s="112" t="s">
        <v>74</v>
      </c>
      <c r="O14" s="115"/>
    </row>
    <row r="15" spans="1:15" x14ac:dyDescent="0.35">
      <c r="A15" s="116">
        <v>45302</v>
      </c>
      <c r="B15" s="117" t="s">
        <v>50</v>
      </c>
      <c r="C15" s="111" t="s">
        <v>1669</v>
      </c>
      <c r="D15" s="117" t="s">
        <v>52</v>
      </c>
      <c r="E15" s="118" t="s">
        <v>78</v>
      </c>
      <c r="F15" s="118"/>
      <c r="G15" s="118" t="s">
        <v>100</v>
      </c>
      <c r="H15" s="118" t="s">
        <v>6</v>
      </c>
      <c r="I15" s="113">
        <f t="shared" si="0"/>
        <v>35.778333333333329</v>
      </c>
      <c r="J15" s="120">
        <v>429.34</v>
      </c>
      <c r="K15" s="116">
        <v>45668</v>
      </c>
      <c r="L15" s="118" t="s">
        <v>1671</v>
      </c>
      <c r="M15" s="112" t="s">
        <v>74</v>
      </c>
      <c r="N15" s="112" t="s">
        <v>74</v>
      </c>
      <c r="O15" s="121"/>
    </row>
    <row r="16" spans="1:15" x14ac:dyDescent="0.35">
      <c r="A16" s="110">
        <v>45302</v>
      </c>
      <c r="B16" s="111" t="s">
        <v>50</v>
      </c>
      <c r="C16" s="111" t="s">
        <v>1669</v>
      </c>
      <c r="D16" s="111" t="s">
        <v>52</v>
      </c>
      <c r="E16" s="112" t="s">
        <v>78</v>
      </c>
      <c r="F16" s="112"/>
      <c r="G16" s="112" t="s">
        <v>101</v>
      </c>
      <c r="H16" s="112" t="s">
        <v>6</v>
      </c>
      <c r="I16" s="113">
        <f t="shared" si="0"/>
        <v>35.778333333333329</v>
      </c>
      <c r="J16" s="114">
        <v>429.34</v>
      </c>
      <c r="K16" s="110">
        <v>45668</v>
      </c>
      <c r="L16" s="112" t="s">
        <v>1671</v>
      </c>
      <c r="M16" s="112" t="s">
        <v>74</v>
      </c>
      <c r="N16" s="112" t="s">
        <v>74</v>
      </c>
      <c r="O16" s="115"/>
    </row>
    <row r="17" spans="1:15" x14ac:dyDescent="0.35">
      <c r="A17" s="116">
        <v>45302</v>
      </c>
      <c r="B17" s="117" t="s">
        <v>50</v>
      </c>
      <c r="C17" s="111" t="s">
        <v>1669</v>
      </c>
      <c r="D17" s="117" t="s">
        <v>52</v>
      </c>
      <c r="E17" s="118" t="s">
        <v>60</v>
      </c>
      <c r="F17" s="118"/>
      <c r="G17" s="118" t="s">
        <v>95</v>
      </c>
      <c r="H17" s="118" t="s">
        <v>6</v>
      </c>
      <c r="I17" s="113">
        <f t="shared" si="0"/>
        <v>90.473333333333343</v>
      </c>
      <c r="J17" s="120">
        <v>1085.68</v>
      </c>
      <c r="K17" s="116">
        <v>45668</v>
      </c>
      <c r="L17" s="118" t="s">
        <v>1671</v>
      </c>
      <c r="M17" s="112" t="s">
        <v>74</v>
      </c>
      <c r="N17" s="112" t="s">
        <v>74</v>
      </c>
      <c r="O17" s="121"/>
    </row>
    <row r="18" spans="1:15" x14ac:dyDescent="0.35">
      <c r="A18" s="110">
        <v>45303</v>
      </c>
      <c r="B18" s="111" t="s">
        <v>50</v>
      </c>
      <c r="C18" s="111" t="s">
        <v>1669</v>
      </c>
      <c r="D18" s="111" t="s">
        <v>52</v>
      </c>
      <c r="E18" s="112" t="s">
        <v>60</v>
      </c>
      <c r="F18" s="112"/>
      <c r="G18" s="112" t="s">
        <v>102</v>
      </c>
      <c r="H18" s="112" t="s">
        <v>2</v>
      </c>
      <c r="I18" s="113">
        <f t="shared" si="0"/>
        <v>79.877499999999998</v>
      </c>
      <c r="J18" s="114">
        <v>958.53</v>
      </c>
      <c r="K18" s="110">
        <v>45669</v>
      </c>
      <c r="L18" s="112" t="s">
        <v>1671</v>
      </c>
      <c r="M18" s="112" t="s">
        <v>74</v>
      </c>
      <c r="N18" s="112" t="s">
        <v>74</v>
      </c>
      <c r="O18" s="115"/>
    </row>
    <row r="19" spans="1:15" x14ac:dyDescent="0.35">
      <c r="A19" s="116">
        <v>45306</v>
      </c>
      <c r="B19" s="117" t="s">
        <v>50</v>
      </c>
      <c r="C19" s="111" t="s">
        <v>1669</v>
      </c>
      <c r="D19" s="117" t="s">
        <v>52</v>
      </c>
      <c r="E19" s="118" t="s">
        <v>98</v>
      </c>
      <c r="F19" s="118"/>
      <c r="G19" s="118" t="s">
        <v>104</v>
      </c>
      <c r="H19" s="118" t="s">
        <v>6</v>
      </c>
      <c r="I19" s="113">
        <f t="shared" si="0"/>
        <v>210.14</v>
      </c>
      <c r="J19" s="120">
        <v>2521.6799999999998</v>
      </c>
      <c r="K19" s="116">
        <v>45672</v>
      </c>
      <c r="L19" s="118" t="s">
        <v>1672</v>
      </c>
      <c r="M19" s="118"/>
      <c r="N19" s="118"/>
      <c r="O19" s="121" t="s">
        <v>1673</v>
      </c>
    </row>
    <row r="20" spans="1:15" x14ac:dyDescent="0.35">
      <c r="A20" s="110">
        <v>45307</v>
      </c>
      <c r="B20" s="111" t="s">
        <v>50</v>
      </c>
      <c r="C20" s="111" t="s">
        <v>1669</v>
      </c>
      <c r="D20" s="111" t="s">
        <v>52</v>
      </c>
      <c r="E20" s="112" t="s">
        <v>60</v>
      </c>
      <c r="F20" s="112"/>
      <c r="G20" s="112" t="s">
        <v>105</v>
      </c>
      <c r="H20" s="112" t="s">
        <v>55</v>
      </c>
      <c r="I20" s="113">
        <f t="shared" si="0"/>
        <v>121.51916666666666</v>
      </c>
      <c r="J20" s="114">
        <v>1458.23</v>
      </c>
      <c r="K20" s="110">
        <v>45673</v>
      </c>
      <c r="L20" s="112" t="s">
        <v>1672</v>
      </c>
      <c r="M20" s="112"/>
      <c r="N20" s="112"/>
      <c r="O20" s="115" t="s">
        <v>1673</v>
      </c>
    </row>
    <row r="21" spans="1:15" x14ac:dyDescent="0.35">
      <c r="A21" s="116">
        <v>45307</v>
      </c>
      <c r="B21" s="117" t="s">
        <v>50</v>
      </c>
      <c r="C21" s="111" t="s">
        <v>1669</v>
      </c>
      <c r="D21" s="117" t="s">
        <v>66</v>
      </c>
      <c r="E21" s="118" t="s">
        <v>15</v>
      </c>
      <c r="F21" s="118" t="s">
        <v>106</v>
      </c>
      <c r="G21" s="118" t="s">
        <v>107</v>
      </c>
      <c r="H21" s="118" t="s">
        <v>3</v>
      </c>
      <c r="I21" s="113">
        <f t="shared" si="0"/>
        <v>91.39842454394693</v>
      </c>
      <c r="J21" s="120">
        <f>+(1167.59)/1.005-65</f>
        <v>1096.7810945273632</v>
      </c>
      <c r="K21" s="116">
        <v>45673</v>
      </c>
      <c r="L21" s="118" t="s">
        <v>1671</v>
      </c>
      <c r="M21" s="112" t="s">
        <v>74</v>
      </c>
      <c r="N21" s="112" t="s">
        <v>74</v>
      </c>
      <c r="O21" s="121"/>
    </row>
    <row r="22" spans="1:15" x14ac:dyDescent="0.35">
      <c r="A22" s="110">
        <v>45309</v>
      </c>
      <c r="B22" s="111" t="s">
        <v>50</v>
      </c>
      <c r="C22" s="111" t="s">
        <v>1669</v>
      </c>
      <c r="D22" s="111" t="s">
        <v>52</v>
      </c>
      <c r="E22" s="112" t="s">
        <v>57</v>
      </c>
      <c r="F22" s="112"/>
      <c r="G22" s="112" t="s">
        <v>110</v>
      </c>
      <c r="H22" s="112" t="s">
        <v>6</v>
      </c>
      <c r="I22" s="113">
        <f t="shared" si="0"/>
        <v>31.052499999999998</v>
      </c>
      <c r="J22" s="114">
        <v>372.63</v>
      </c>
      <c r="K22" s="110">
        <v>45675</v>
      </c>
      <c r="L22" s="112" t="s">
        <v>1671</v>
      </c>
      <c r="M22" s="112" t="s">
        <v>74</v>
      </c>
      <c r="N22" s="112" t="s">
        <v>74</v>
      </c>
      <c r="O22" s="115"/>
    </row>
    <row r="23" spans="1:15" x14ac:dyDescent="0.35">
      <c r="A23" s="116">
        <v>45310</v>
      </c>
      <c r="B23" s="117" t="s">
        <v>50</v>
      </c>
      <c r="C23" s="111" t="s">
        <v>1669</v>
      </c>
      <c r="D23" s="117" t="s">
        <v>52</v>
      </c>
      <c r="E23" s="118" t="s">
        <v>57</v>
      </c>
      <c r="F23" s="118"/>
      <c r="G23" s="118" t="s">
        <v>111</v>
      </c>
      <c r="H23" s="118" t="s">
        <v>6</v>
      </c>
      <c r="I23" s="113">
        <f t="shared" si="0"/>
        <v>111.02</v>
      </c>
      <c r="J23" s="120">
        <v>1332.24</v>
      </c>
      <c r="K23" s="116">
        <v>45676</v>
      </c>
      <c r="L23" s="118" t="s">
        <v>1671</v>
      </c>
      <c r="M23" s="112" t="s">
        <v>74</v>
      </c>
      <c r="N23" s="112" t="s">
        <v>74</v>
      </c>
      <c r="O23" s="121"/>
    </row>
    <row r="24" spans="1:15" x14ac:dyDescent="0.35">
      <c r="A24" s="110">
        <v>45310</v>
      </c>
      <c r="B24" s="111" t="s">
        <v>50</v>
      </c>
      <c r="C24" s="111" t="s">
        <v>1669</v>
      </c>
      <c r="D24" s="111" t="s">
        <v>52</v>
      </c>
      <c r="E24" s="112" t="s">
        <v>98</v>
      </c>
      <c r="F24" s="112"/>
      <c r="G24" s="112" t="s">
        <v>104</v>
      </c>
      <c r="H24" s="112" t="s">
        <v>6</v>
      </c>
      <c r="I24" s="113">
        <f t="shared" si="0"/>
        <v>200.99833333333333</v>
      </c>
      <c r="J24" s="114">
        <v>2411.98</v>
      </c>
      <c r="K24" s="110">
        <v>45676</v>
      </c>
      <c r="L24" s="112" t="s">
        <v>1671</v>
      </c>
      <c r="M24" s="112" t="s">
        <v>74</v>
      </c>
      <c r="N24" s="112" t="s">
        <v>74</v>
      </c>
      <c r="O24" s="115"/>
    </row>
    <row r="25" spans="1:15" x14ac:dyDescent="0.35">
      <c r="A25" s="116">
        <v>45310</v>
      </c>
      <c r="B25" s="117" t="s">
        <v>50</v>
      </c>
      <c r="C25" s="111" t="s">
        <v>1669</v>
      </c>
      <c r="D25" s="117" t="s">
        <v>52</v>
      </c>
      <c r="E25" s="118" t="s">
        <v>75</v>
      </c>
      <c r="F25" s="118"/>
      <c r="G25" s="118" t="s">
        <v>112</v>
      </c>
      <c r="H25" s="118" t="s">
        <v>6</v>
      </c>
      <c r="I25" s="113">
        <f t="shared" si="0"/>
        <v>212.29166666666666</v>
      </c>
      <c r="J25" s="120">
        <v>2547.5</v>
      </c>
      <c r="K25" s="116">
        <v>45676</v>
      </c>
      <c r="L25" s="118" t="s">
        <v>1671</v>
      </c>
      <c r="M25" s="112" t="s">
        <v>74</v>
      </c>
      <c r="N25" s="112" t="s">
        <v>74</v>
      </c>
      <c r="O25" s="121"/>
    </row>
    <row r="26" spans="1:15" x14ac:dyDescent="0.35">
      <c r="A26" s="110">
        <v>45313</v>
      </c>
      <c r="B26" s="111" t="s">
        <v>50</v>
      </c>
      <c r="C26" s="111" t="s">
        <v>1669</v>
      </c>
      <c r="D26" s="111" t="s">
        <v>52</v>
      </c>
      <c r="E26" s="112" t="s">
        <v>113</v>
      </c>
      <c r="F26" s="112"/>
      <c r="G26" s="112" t="s">
        <v>114</v>
      </c>
      <c r="H26" s="112" t="s">
        <v>6</v>
      </c>
      <c r="I26" s="113">
        <f t="shared" si="0"/>
        <v>126.28333333333335</v>
      </c>
      <c r="J26" s="114">
        <v>1515.4</v>
      </c>
      <c r="K26" s="110">
        <v>45679</v>
      </c>
      <c r="L26" s="112" t="s">
        <v>1671</v>
      </c>
      <c r="M26" s="112" t="s">
        <v>74</v>
      </c>
      <c r="N26" s="112" t="s">
        <v>74</v>
      </c>
      <c r="O26" s="115"/>
    </row>
    <row r="27" spans="1:15" x14ac:dyDescent="0.35">
      <c r="A27" s="116">
        <v>45313</v>
      </c>
      <c r="B27" s="117" t="s">
        <v>50</v>
      </c>
      <c r="C27" s="111" t="s">
        <v>1669</v>
      </c>
      <c r="D27" s="117" t="s">
        <v>52</v>
      </c>
      <c r="E27" s="118" t="s">
        <v>60</v>
      </c>
      <c r="F27" s="118"/>
      <c r="G27" s="118" t="s">
        <v>116</v>
      </c>
      <c r="H27" s="118" t="s">
        <v>6</v>
      </c>
      <c r="I27" s="113">
        <f t="shared" si="0"/>
        <v>106.30416666666667</v>
      </c>
      <c r="J27" s="120">
        <v>1275.6500000000001</v>
      </c>
      <c r="K27" s="116">
        <v>45679</v>
      </c>
      <c r="L27" s="118" t="s">
        <v>1671</v>
      </c>
      <c r="M27" s="112" t="s">
        <v>74</v>
      </c>
      <c r="N27" s="112" t="s">
        <v>74</v>
      </c>
      <c r="O27" s="121"/>
    </row>
    <row r="28" spans="1:15" x14ac:dyDescent="0.35">
      <c r="A28" s="110">
        <v>45314</v>
      </c>
      <c r="B28" s="111" t="s">
        <v>50</v>
      </c>
      <c r="C28" s="111" t="s">
        <v>1669</v>
      </c>
      <c r="D28" s="111" t="s">
        <v>52</v>
      </c>
      <c r="E28" s="112" t="s">
        <v>118</v>
      </c>
      <c r="F28" s="112"/>
      <c r="G28" s="112" t="s">
        <v>119</v>
      </c>
      <c r="H28" s="112" t="s">
        <v>6</v>
      </c>
      <c r="I28" s="113">
        <f t="shared" si="0"/>
        <v>62.504166666666663</v>
      </c>
      <c r="J28" s="114">
        <v>750.05</v>
      </c>
      <c r="K28" s="110">
        <v>45680</v>
      </c>
      <c r="L28" s="112" t="s">
        <v>1671</v>
      </c>
      <c r="M28" s="112" t="s">
        <v>74</v>
      </c>
      <c r="N28" s="112" t="s">
        <v>74</v>
      </c>
      <c r="O28" s="115"/>
    </row>
    <row r="29" spans="1:15" x14ac:dyDescent="0.35">
      <c r="A29" s="116">
        <v>45314</v>
      </c>
      <c r="B29" s="117" t="s">
        <v>50</v>
      </c>
      <c r="C29" s="111" t="s">
        <v>1669</v>
      </c>
      <c r="D29" s="117" t="s">
        <v>66</v>
      </c>
      <c r="E29" s="118" t="s">
        <v>12</v>
      </c>
      <c r="F29" s="118">
        <v>4184145</v>
      </c>
      <c r="G29" s="118" t="s">
        <v>120</v>
      </c>
      <c r="H29" s="118" t="s">
        <v>6</v>
      </c>
      <c r="I29" s="113">
        <f t="shared" si="0"/>
        <v>130.83000000000001</v>
      </c>
      <c r="J29" s="120">
        <f>130.83*12</f>
        <v>1569.96</v>
      </c>
      <c r="K29" s="116">
        <v>45680</v>
      </c>
      <c r="L29" s="118" t="s">
        <v>1671</v>
      </c>
      <c r="M29" s="112" t="s">
        <v>74</v>
      </c>
      <c r="N29" s="112" t="s">
        <v>74</v>
      </c>
      <c r="O29" s="121"/>
    </row>
    <row r="30" spans="1:15" x14ac:dyDescent="0.35">
      <c r="A30" s="110">
        <v>45315</v>
      </c>
      <c r="B30" s="111" t="s">
        <v>50</v>
      </c>
      <c r="C30" s="111" t="s">
        <v>1669</v>
      </c>
      <c r="D30" s="111" t="s">
        <v>52</v>
      </c>
      <c r="E30" s="112" t="s">
        <v>118</v>
      </c>
      <c r="F30" s="112"/>
      <c r="G30" s="112" t="s">
        <v>123</v>
      </c>
      <c r="H30" s="112" t="s">
        <v>6</v>
      </c>
      <c r="I30" s="113">
        <f t="shared" si="0"/>
        <v>63.32</v>
      </c>
      <c r="J30" s="114">
        <v>759.84</v>
      </c>
      <c r="K30" s="110">
        <v>45681</v>
      </c>
      <c r="L30" s="112" t="s">
        <v>1671</v>
      </c>
      <c r="M30" s="112" t="s">
        <v>74</v>
      </c>
      <c r="N30" s="112" t="s">
        <v>74</v>
      </c>
      <c r="O30" s="115"/>
    </row>
    <row r="31" spans="1:15" x14ac:dyDescent="0.35">
      <c r="A31" s="116">
        <v>45317</v>
      </c>
      <c r="B31" s="117" t="s">
        <v>50</v>
      </c>
      <c r="C31" s="111" t="s">
        <v>1669</v>
      </c>
      <c r="D31" s="117" t="s">
        <v>52</v>
      </c>
      <c r="E31" s="118" t="s">
        <v>75</v>
      </c>
      <c r="F31" s="118"/>
      <c r="G31" s="118" t="s">
        <v>124</v>
      </c>
      <c r="H31" s="118" t="s">
        <v>6</v>
      </c>
      <c r="I31" s="113">
        <f t="shared" si="0"/>
        <v>142.80083333333332</v>
      </c>
      <c r="J31" s="120">
        <v>1713.61</v>
      </c>
      <c r="K31" s="116">
        <v>45683</v>
      </c>
      <c r="L31" s="118" t="s">
        <v>1671</v>
      </c>
      <c r="M31" s="112" t="s">
        <v>74</v>
      </c>
      <c r="N31" s="112" t="s">
        <v>74</v>
      </c>
      <c r="O31" s="121"/>
    </row>
    <row r="32" spans="1:15" x14ac:dyDescent="0.35">
      <c r="A32" s="110">
        <v>45317</v>
      </c>
      <c r="B32" s="111" t="s">
        <v>50</v>
      </c>
      <c r="C32" s="111" t="s">
        <v>1669</v>
      </c>
      <c r="D32" s="111" t="s">
        <v>52</v>
      </c>
      <c r="E32" s="112" t="s">
        <v>60</v>
      </c>
      <c r="F32" s="112"/>
      <c r="G32" s="112" t="s">
        <v>126</v>
      </c>
      <c r="H32" s="112" t="s">
        <v>6</v>
      </c>
      <c r="I32" s="113">
        <f t="shared" si="0"/>
        <v>72.135833333333338</v>
      </c>
      <c r="J32" s="114">
        <v>865.63</v>
      </c>
      <c r="K32" s="110">
        <v>45683</v>
      </c>
      <c r="L32" s="112" t="s">
        <v>1671</v>
      </c>
      <c r="M32" s="112" t="s">
        <v>74</v>
      </c>
      <c r="N32" s="112" t="s">
        <v>74</v>
      </c>
      <c r="O32" s="115"/>
    </row>
    <row r="33" spans="1:15" x14ac:dyDescent="0.35">
      <c r="A33" s="116">
        <v>45318</v>
      </c>
      <c r="B33" s="117" t="s">
        <v>50</v>
      </c>
      <c r="C33" s="111" t="s">
        <v>1669</v>
      </c>
      <c r="D33" s="117" t="s">
        <v>52</v>
      </c>
      <c r="E33" s="118" t="s">
        <v>60</v>
      </c>
      <c r="F33" s="118"/>
      <c r="G33" s="118" t="s">
        <v>127</v>
      </c>
      <c r="H33" s="118" t="s">
        <v>6</v>
      </c>
      <c r="I33" s="113">
        <f t="shared" si="0"/>
        <v>104.98083333333334</v>
      </c>
      <c r="J33" s="120">
        <v>1259.77</v>
      </c>
      <c r="K33" s="116">
        <v>45684</v>
      </c>
      <c r="L33" s="118" t="s">
        <v>1671</v>
      </c>
      <c r="M33" s="112" t="s">
        <v>74</v>
      </c>
      <c r="N33" s="112" t="s">
        <v>74</v>
      </c>
      <c r="O33" s="121"/>
    </row>
    <row r="34" spans="1:15" x14ac:dyDescent="0.35">
      <c r="A34" s="110">
        <v>45321</v>
      </c>
      <c r="B34" s="111" t="s">
        <v>50</v>
      </c>
      <c r="C34" s="111" t="s">
        <v>1669</v>
      </c>
      <c r="D34" s="111" t="s">
        <v>52</v>
      </c>
      <c r="E34" s="112" t="s">
        <v>129</v>
      </c>
      <c r="F34" s="112"/>
      <c r="G34" s="112" t="s">
        <v>130</v>
      </c>
      <c r="H34" s="112" t="s">
        <v>132</v>
      </c>
      <c r="I34" s="113">
        <f t="shared" si="0"/>
        <v>12.916666666666666</v>
      </c>
      <c r="J34" s="114">
        <v>155</v>
      </c>
      <c r="K34" s="110">
        <v>45687</v>
      </c>
      <c r="L34" s="112" t="s">
        <v>1672</v>
      </c>
      <c r="M34" s="112"/>
      <c r="N34" s="112"/>
      <c r="O34" s="115" t="s">
        <v>1674</v>
      </c>
    </row>
    <row r="35" spans="1:15" x14ac:dyDescent="0.35">
      <c r="A35" s="116">
        <v>45321</v>
      </c>
      <c r="B35" s="117" t="s">
        <v>50</v>
      </c>
      <c r="C35" s="111" t="s">
        <v>1669</v>
      </c>
      <c r="D35" s="117" t="s">
        <v>66</v>
      </c>
      <c r="E35" s="118" t="s">
        <v>14</v>
      </c>
      <c r="F35" s="118">
        <v>4184767</v>
      </c>
      <c r="G35" s="118" t="s">
        <v>128</v>
      </c>
      <c r="H35" s="118" t="s">
        <v>6</v>
      </c>
      <c r="I35" s="113">
        <f t="shared" si="0"/>
        <v>130.83000000000001</v>
      </c>
      <c r="J35" s="120">
        <f>130.83*12</f>
        <v>1569.96</v>
      </c>
      <c r="K35" s="116">
        <v>45687</v>
      </c>
      <c r="L35" s="118" t="s">
        <v>1672</v>
      </c>
      <c r="M35" s="118"/>
      <c r="N35" s="118"/>
      <c r="O35" s="121" t="s">
        <v>1674</v>
      </c>
    </row>
    <row r="36" spans="1:15" x14ac:dyDescent="0.35">
      <c r="A36" s="110">
        <v>45322</v>
      </c>
      <c r="B36" s="111" t="s">
        <v>50</v>
      </c>
      <c r="C36" s="111" t="s">
        <v>1669</v>
      </c>
      <c r="D36" s="111" t="s">
        <v>66</v>
      </c>
      <c r="E36" s="112" t="s">
        <v>13</v>
      </c>
      <c r="F36" s="112">
        <v>131562</v>
      </c>
      <c r="G36" s="112" t="s">
        <v>133</v>
      </c>
      <c r="H36" s="112" t="s">
        <v>55</v>
      </c>
      <c r="I36" s="113">
        <f t="shared" si="0"/>
        <v>42.115833333333335</v>
      </c>
      <c r="J36" s="114">
        <v>505.39</v>
      </c>
      <c r="K36" s="110">
        <v>45688</v>
      </c>
      <c r="L36" s="112" t="s">
        <v>1672</v>
      </c>
      <c r="M36" s="112"/>
      <c r="N36" s="112"/>
      <c r="O36" s="115" t="s">
        <v>1674</v>
      </c>
    </row>
    <row r="37" spans="1:15" x14ac:dyDescent="0.35">
      <c r="A37" s="116">
        <v>45324</v>
      </c>
      <c r="B37" s="117" t="s">
        <v>137</v>
      </c>
      <c r="C37" s="111" t="s">
        <v>1669</v>
      </c>
      <c r="D37" s="117" t="s">
        <v>52</v>
      </c>
      <c r="E37" s="118" t="s">
        <v>60</v>
      </c>
      <c r="F37" s="118" t="s">
        <v>138</v>
      </c>
      <c r="G37" s="118" t="s">
        <v>139</v>
      </c>
      <c r="H37" s="118" t="s">
        <v>3</v>
      </c>
      <c r="I37" s="113">
        <f t="shared" si="0"/>
        <v>618.19583333333333</v>
      </c>
      <c r="J37" s="120">
        <v>7418.35</v>
      </c>
      <c r="K37" s="116">
        <v>45690</v>
      </c>
      <c r="L37" s="118" t="s">
        <v>1672</v>
      </c>
      <c r="M37" s="118"/>
      <c r="N37" s="118"/>
      <c r="O37" s="121" t="s">
        <v>1674</v>
      </c>
    </row>
    <row r="38" spans="1:15" x14ac:dyDescent="0.35">
      <c r="A38" s="110">
        <v>45324</v>
      </c>
      <c r="B38" s="111" t="s">
        <v>137</v>
      </c>
      <c r="C38" s="111" t="s">
        <v>1669</v>
      </c>
      <c r="D38" s="111" t="s">
        <v>66</v>
      </c>
      <c r="E38" s="112" t="s">
        <v>12</v>
      </c>
      <c r="F38" s="112"/>
      <c r="G38" s="112" t="s">
        <v>141</v>
      </c>
      <c r="H38" s="112" t="s">
        <v>2</v>
      </c>
      <c r="I38" s="113">
        <f t="shared" si="0"/>
        <v>267.37341330729527</v>
      </c>
      <c r="J38" s="114">
        <f>287.52*12/(1.005)/1.07</f>
        <v>3208.4809596875434</v>
      </c>
      <c r="K38" s="110">
        <v>45690</v>
      </c>
      <c r="L38" s="112" t="s">
        <v>1671</v>
      </c>
      <c r="M38" s="112" t="s">
        <v>74</v>
      </c>
      <c r="N38" s="112" t="s">
        <v>74</v>
      </c>
      <c r="O38" s="115"/>
    </row>
    <row r="39" spans="1:15" x14ac:dyDescent="0.35">
      <c r="A39" s="116">
        <v>45324</v>
      </c>
      <c r="B39" s="117" t="s">
        <v>137</v>
      </c>
      <c r="C39" s="111" t="s">
        <v>1669</v>
      </c>
      <c r="D39" s="117" t="s">
        <v>66</v>
      </c>
      <c r="E39" s="118" t="s">
        <v>12</v>
      </c>
      <c r="F39" s="118" t="s">
        <v>144</v>
      </c>
      <c r="G39" s="118" t="s">
        <v>141</v>
      </c>
      <c r="H39" s="118" t="s">
        <v>3</v>
      </c>
      <c r="I39" s="113">
        <f t="shared" si="0"/>
        <v>106.31467661691543</v>
      </c>
      <c r="J39" s="120">
        <f>+(112.29*12)/1.005-65</f>
        <v>1275.7761194029852</v>
      </c>
      <c r="K39" s="116">
        <v>45690</v>
      </c>
      <c r="L39" s="118" t="s">
        <v>1672</v>
      </c>
      <c r="M39" s="118"/>
      <c r="N39" s="118"/>
      <c r="O39" s="121" t="s">
        <v>1676</v>
      </c>
    </row>
    <row r="40" spans="1:15" x14ac:dyDescent="0.35">
      <c r="A40" s="110">
        <v>45324</v>
      </c>
      <c r="B40" s="111" t="s">
        <v>137</v>
      </c>
      <c r="C40" s="111" t="s">
        <v>1669</v>
      </c>
      <c r="D40" s="111" t="s">
        <v>66</v>
      </c>
      <c r="E40" s="112" t="s">
        <v>13</v>
      </c>
      <c r="F40" s="112"/>
      <c r="G40" s="112"/>
      <c r="H40" s="112" t="s">
        <v>3</v>
      </c>
      <c r="I40" s="113">
        <f t="shared" si="0"/>
        <v>50</v>
      </c>
      <c r="J40" s="114">
        <v>600</v>
      </c>
      <c r="K40" s="110">
        <v>45690</v>
      </c>
      <c r="L40" s="112" t="s">
        <v>1671</v>
      </c>
      <c r="M40" s="112" t="s">
        <v>74</v>
      </c>
      <c r="N40" s="112" t="s">
        <v>74</v>
      </c>
      <c r="O40" s="115"/>
    </row>
    <row r="41" spans="1:15" x14ac:dyDescent="0.35">
      <c r="A41" s="116">
        <v>45324</v>
      </c>
      <c r="B41" s="117" t="s">
        <v>137</v>
      </c>
      <c r="C41" s="111" t="s">
        <v>1669</v>
      </c>
      <c r="D41" s="117" t="s">
        <v>66</v>
      </c>
      <c r="E41" s="118" t="s">
        <v>145</v>
      </c>
      <c r="F41" s="118"/>
      <c r="G41" s="118" t="s">
        <v>146</v>
      </c>
      <c r="H41" s="118" t="s">
        <v>148</v>
      </c>
      <c r="I41" s="113">
        <f t="shared" si="0"/>
        <v>348.60999999999996</v>
      </c>
      <c r="J41" s="120">
        <f>348.61*12</f>
        <v>4183.32</v>
      </c>
      <c r="K41" s="110">
        <v>45690</v>
      </c>
      <c r="L41" s="118" t="s">
        <v>1672</v>
      </c>
      <c r="M41" s="118"/>
      <c r="N41" s="118"/>
      <c r="O41" s="121" t="s">
        <v>1676</v>
      </c>
    </row>
    <row r="42" spans="1:15" x14ac:dyDescent="0.35">
      <c r="A42" s="110">
        <v>45324</v>
      </c>
      <c r="B42" s="111" t="s">
        <v>137</v>
      </c>
      <c r="C42" s="111" t="s">
        <v>1669</v>
      </c>
      <c r="D42" s="111" t="s">
        <v>66</v>
      </c>
      <c r="E42" s="112" t="s">
        <v>19</v>
      </c>
      <c r="F42" s="112" t="s">
        <v>150</v>
      </c>
      <c r="G42" s="112" t="s">
        <v>151</v>
      </c>
      <c r="H42" s="112" t="s">
        <v>3</v>
      </c>
      <c r="I42" s="113">
        <f t="shared" si="0"/>
        <v>18.294776119402986</v>
      </c>
      <c r="J42" s="114">
        <f>+(23.83*12)/1.005-65</f>
        <v>219.53731343283584</v>
      </c>
      <c r="K42" s="110">
        <v>45690</v>
      </c>
      <c r="L42" s="112" t="s">
        <v>1671</v>
      </c>
      <c r="M42" s="112" t="s">
        <v>74</v>
      </c>
      <c r="N42" s="112" t="s">
        <v>74</v>
      </c>
      <c r="O42" s="115"/>
    </row>
    <row r="43" spans="1:15" x14ac:dyDescent="0.35">
      <c r="A43" s="116">
        <v>45324</v>
      </c>
      <c r="B43" s="117" t="s">
        <v>137</v>
      </c>
      <c r="C43" s="111" t="s">
        <v>1669</v>
      </c>
      <c r="D43" s="117" t="s">
        <v>66</v>
      </c>
      <c r="E43" s="118" t="s">
        <v>19</v>
      </c>
      <c r="F43" s="118">
        <v>15872</v>
      </c>
      <c r="G43" s="118" t="s">
        <v>151</v>
      </c>
      <c r="H43" s="118" t="s">
        <v>5</v>
      </c>
      <c r="I43" s="113">
        <f t="shared" si="0"/>
        <v>63.710613598673298</v>
      </c>
      <c r="J43" s="122">
        <f>153.67*5/(1.005)</f>
        <v>764.5273631840796</v>
      </c>
      <c r="K43" s="110">
        <v>45690</v>
      </c>
      <c r="L43" s="118" t="s">
        <v>1672</v>
      </c>
      <c r="M43" s="118"/>
      <c r="N43" s="118"/>
      <c r="O43" s="121" t="s">
        <v>1676</v>
      </c>
    </row>
    <row r="44" spans="1:15" x14ac:dyDescent="0.35">
      <c r="A44" s="110">
        <v>45327</v>
      </c>
      <c r="B44" s="111" t="s">
        <v>137</v>
      </c>
      <c r="C44" s="111" t="s">
        <v>1669</v>
      </c>
      <c r="D44" s="111" t="s">
        <v>52</v>
      </c>
      <c r="E44" s="112" t="s">
        <v>155</v>
      </c>
      <c r="F44" s="112">
        <v>4185108</v>
      </c>
      <c r="G44" s="112" t="s">
        <v>156</v>
      </c>
      <c r="H44" s="112" t="s">
        <v>6</v>
      </c>
      <c r="I44" s="113">
        <f t="shared" si="0"/>
        <v>337.52</v>
      </c>
      <c r="J44" s="114">
        <v>4050.24</v>
      </c>
      <c r="K44" s="110">
        <v>45693</v>
      </c>
      <c r="L44" s="112" t="s">
        <v>1671</v>
      </c>
      <c r="M44" s="112" t="s">
        <v>74</v>
      </c>
      <c r="N44" s="112" t="s">
        <v>74</v>
      </c>
      <c r="O44" s="115"/>
    </row>
    <row r="45" spans="1:15" x14ac:dyDescent="0.35">
      <c r="A45" s="116">
        <v>45327</v>
      </c>
      <c r="B45" s="117" t="s">
        <v>137</v>
      </c>
      <c r="C45" s="111" t="s">
        <v>1669</v>
      </c>
      <c r="D45" s="117" t="s">
        <v>52</v>
      </c>
      <c r="E45" s="118" t="s">
        <v>98</v>
      </c>
      <c r="F45" s="118">
        <v>4185110</v>
      </c>
      <c r="G45" s="118" t="s">
        <v>153</v>
      </c>
      <c r="H45" s="118" t="s">
        <v>6</v>
      </c>
      <c r="I45" s="113">
        <f t="shared" si="0"/>
        <v>125.05</v>
      </c>
      <c r="J45" s="120">
        <v>1500.6</v>
      </c>
      <c r="K45" s="116">
        <v>45693</v>
      </c>
      <c r="L45" s="118" t="s">
        <v>1672</v>
      </c>
      <c r="M45" s="118"/>
      <c r="N45" s="118"/>
      <c r="O45" s="121" t="s">
        <v>1676</v>
      </c>
    </row>
    <row r="46" spans="1:15" x14ac:dyDescent="0.35">
      <c r="A46" s="110">
        <v>45328</v>
      </c>
      <c r="B46" s="111" t="s">
        <v>137</v>
      </c>
      <c r="C46" s="111" t="s">
        <v>1669</v>
      </c>
      <c r="D46" s="111" t="s">
        <v>66</v>
      </c>
      <c r="E46" s="112" t="s">
        <v>158</v>
      </c>
      <c r="F46" s="112" t="s">
        <v>159</v>
      </c>
      <c r="G46" s="112" t="s">
        <v>160</v>
      </c>
      <c r="H46" s="112" t="s">
        <v>3</v>
      </c>
      <c r="I46" s="113">
        <f t="shared" si="0"/>
        <v>47.389303482587074</v>
      </c>
      <c r="J46" s="114">
        <f>+(53.07*12)/1.005-65</f>
        <v>568.67164179104486</v>
      </c>
      <c r="K46" s="110">
        <v>45694</v>
      </c>
      <c r="L46" s="112" t="s">
        <v>1671</v>
      </c>
      <c r="M46" s="112" t="s">
        <v>74</v>
      </c>
      <c r="N46" s="112" t="s">
        <v>74</v>
      </c>
      <c r="O46" s="115"/>
    </row>
    <row r="47" spans="1:15" x14ac:dyDescent="0.35">
      <c r="A47" s="116">
        <v>45329</v>
      </c>
      <c r="B47" s="117" t="s">
        <v>137</v>
      </c>
      <c r="C47" s="111" t="s">
        <v>1669</v>
      </c>
      <c r="D47" s="117" t="s">
        <v>52</v>
      </c>
      <c r="E47" s="118" t="s">
        <v>118</v>
      </c>
      <c r="F47" s="118">
        <v>4185273</v>
      </c>
      <c r="G47" s="118" t="s">
        <v>162</v>
      </c>
      <c r="H47" s="118" t="s">
        <v>6</v>
      </c>
      <c r="I47" s="113">
        <f t="shared" si="0"/>
        <v>57.539166666666667</v>
      </c>
      <c r="J47" s="120">
        <v>690.47</v>
      </c>
      <c r="K47" s="116">
        <v>45695</v>
      </c>
      <c r="L47" s="118" t="s">
        <v>1672</v>
      </c>
      <c r="M47" s="118"/>
      <c r="N47" s="118"/>
      <c r="O47" s="121" t="s">
        <v>1676</v>
      </c>
    </row>
    <row r="48" spans="1:15" x14ac:dyDescent="0.35">
      <c r="A48" s="110">
        <v>45329</v>
      </c>
      <c r="B48" s="111" t="s">
        <v>137</v>
      </c>
      <c r="C48" s="111" t="s">
        <v>1669</v>
      </c>
      <c r="D48" s="111" t="s">
        <v>52</v>
      </c>
      <c r="E48" s="112" t="s">
        <v>75</v>
      </c>
      <c r="F48" s="112">
        <v>4185244</v>
      </c>
      <c r="G48" s="112" t="s">
        <v>163</v>
      </c>
      <c r="H48" s="112" t="s">
        <v>6</v>
      </c>
      <c r="I48" s="113">
        <f t="shared" si="0"/>
        <v>274.36916666666667</v>
      </c>
      <c r="J48" s="114">
        <v>3292.43</v>
      </c>
      <c r="K48" s="110">
        <v>45695</v>
      </c>
      <c r="L48" s="112" t="s">
        <v>1671</v>
      </c>
      <c r="M48" s="112" t="s">
        <v>74</v>
      </c>
      <c r="N48" s="112" t="s">
        <v>74</v>
      </c>
      <c r="O48" s="115"/>
    </row>
    <row r="49" spans="1:15" x14ac:dyDescent="0.35">
      <c r="A49" s="116">
        <v>45329</v>
      </c>
      <c r="B49" s="117" t="s">
        <v>137</v>
      </c>
      <c r="C49" s="111" t="s">
        <v>1669</v>
      </c>
      <c r="D49" s="117" t="s">
        <v>52</v>
      </c>
      <c r="E49" s="118" t="s">
        <v>75</v>
      </c>
      <c r="F49" s="118">
        <v>4185127</v>
      </c>
      <c r="G49" s="118" t="s">
        <v>164</v>
      </c>
      <c r="H49" s="118" t="s">
        <v>6</v>
      </c>
      <c r="I49" s="113">
        <f t="shared" si="0"/>
        <v>169.745</v>
      </c>
      <c r="J49" s="120">
        <v>2036.94</v>
      </c>
      <c r="K49" s="116">
        <v>45695</v>
      </c>
      <c r="L49" s="118" t="s">
        <v>1671</v>
      </c>
      <c r="M49" s="112" t="s">
        <v>74</v>
      </c>
      <c r="N49" s="112" t="s">
        <v>74</v>
      </c>
      <c r="O49" s="121"/>
    </row>
    <row r="50" spans="1:15" x14ac:dyDescent="0.35">
      <c r="A50" s="110">
        <v>45330</v>
      </c>
      <c r="B50" s="111" t="s">
        <v>137</v>
      </c>
      <c r="C50" s="111" t="s">
        <v>1669</v>
      </c>
      <c r="D50" s="111" t="s">
        <v>52</v>
      </c>
      <c r="E50" s="112" t="s">
        <v>60</v>
      </c>
      <c r="F50" s="112">
        <v>4185337</v>
      </c>
      <c r="G50" s="112" t="s">
        <v>165</v>
      </c>
      <c r="H50" s="112" t="s">
        <v>6</v>
      </c>
      <c r="I50" s="113">
        <f t="shared" si="0"/>
        <v>276.5983333333333</v>
      </c>
      <c r="J50" s="114">
        <v>3319.18</v>
      </c>
      <c r="K50" s="110">
        <v>45696</v>
      </c>
      <c r="L50" s="112" t="s">
        <v>1671</v>
      </c>
      <c r="M50" s="112" t="s">
        <v>74</v>
      </c>
      <c r="N50" s="112" t="s">
        <v>74</v>
      </c>
      <c r="O50" s="115"/>
    </row>
    <row r="51" spans="1:15" x14ac:dyDescent="0.35">
      <c r="A51" s="116">
        <v>45330</v>
      </c>
      <c r="B51" s="117" t="s">
        <v>137</v>
      </c>
      <c r="C51" s="111" t="s">
        <v>1669</v>
      </c>
      <c r="D51" s="117" t="s">
        <v>66</v>
      </c>
      <c r="E51" s="118" t="s">
        <v>166</v>
      </c>
      <c r="F51" s="118">
        <v>15891</v>
      </c>
      <c r="G51" s="118" t="s">
        <v>167</v>
      </c>
      <c r="H51" s="118" t="s">
        <v>5</v>
      </c>
      <c r="I51" s="113">
        <f t="shared" si="0"/>
        <v>150.33830845771146</v>
      </c>
      <c r="J51" s="122">
        <f>151.09*12/(1.005)</f>
        <v>1804.0597014925374</v>
      </c>
      <c r="K51" s="116">
        <v>45696</v>
      </c>
      <c r="L51" s="118" t="s">
        <v>1671</v>
      </c>
      <c r="M51" s="112" t="s">
        <v>74</v>
      </c>
      <c r="N51" s="112" t="s">
        <v>74</v>
      </c>
      <c r="O51" s="121"/>
    </row>
    <row r="52" spans="1:15" x14ac:dyDescent="0.35">
      <c r="A52" s="110">
        <v>45331</v>
      </c>
      <c r="B52" s="111" t="s">
        <v>137</v>
      </c>
      <c r="C52" s="111" t="s">
        <v>1669</v>
      </c>
      <c r="D52" s="111" t="s">
        <v>52</v>
      </c>
      <c r="E52" s="112" t="s">
        <v>75</v>
      </c>
      <c r="F52" s="112">
        <v>4185388</v>
      </c>
      <c r="G52" s="112" t="s">
        <v>170</v>
      </c>
      <c r="H52" s="112" t="s">
        <v>6</v>
      </c>
      <c r="I52" s="113">
        <f t="shared" si="0"/>
        <v>80.085833333333326</v>
      </c>
      <c r="J52" s="114">
        <v>961.03</v>
      </c>
      <c r="K52" s="110">
        <v>45697</v>
      </c>
      <c r="L52" s="112" t="s">
        <v>1672</v>
      </c>
      <c r="M52" s="112"/>
      <c r="N52" s="112"/>
      <c r="O52" s="115" t="s">
        <v>1676</v>
      </c>
    </row>
    <row r="53" spans="1:15" x14ac:dyDescent="0.35">
      <c r="A53" s="116">
        <v>45331</v>
      </c>
      <c r="B53" s="117" t="s">
        <v>137</v>
      </c>
      <c r="C53" s="111" t="s">
        <v>1669</v>
      </c>
      <c r="D53" s="117" t="s">
        <v>66</v>
      </c>
      <c r="E53" s="118" t="s">
        <v>15</v>
      </c>
      <c r="F53" s="118">
        <v>4185429</v>
      </c>
      <c r="G53" s="118" t="s">
        <v>172</v>
      </c>
      <c r="H53" s="118" t="s">
        <v>6</v>
      </c>
      <c r="I53" s="113">
        <f t="shared" si="0"/>
        <v>135.88</v>
      </c>
      <c r="J53" s="120">
        <f>135.88*12</f>
        <v>1630.56</v>
      </c>
      <c r="K53" s="116">
        <v>45697</v>
      </c>
      <c r="L53" s="118" t="s">
        <v>1672</v>
      </c>
      <c r="M53" s="118"/>
      <c r="N53" s="118"/>
      <c r="O53" s="121" t="s">
        <v>1673</v>
      </c>
    </row>
    <row r="54" spans="1:15" x14ac:dyDescent="0.35">
      <c r="A54" s="110">
        <v>45336</v>
      </c>
      <c r="B54" s="111" t="s">
        <v>137</v>
      </c>
      <c r="C54" s="111" t="s">
        <v>1669</v>
      </c>
      <c r="D54" s="111" t="s">
        <v>66</v>
      </c>
      <c r="E54" s="112" t="s">
        <v>175</v>
      </c>
      <c r="F54" s="112"/>
      <c r="G54" s="112" t="s">
        <v>176</v>
      </c>
      <c r="H54" s="112" t="s">
        <v>5</v>
      </c>
      <c r="I54" s="113">
        <f t="shared" si="0"/>
        <v>161.07462686567166</v>
      </c>
      <c r="J54" s="122">
        <f>161.88*12/(1.005)</f>
        <v>1932.8955223880598</v>
      </c>
      <c r="K54" s="110">
        <v>45702</v>
      </c>
      <c r="L54" s="112" t="s">
        <v>1672</v>
      </c>
      <c r="M54" s="112"/>
      <c r="N54" s="112"/>
      <c r="O54" s="115" t="s">
        <v>1673</v>
      </c>
    </row>
    <row r="55" spans="1:15" x14ac:dyDescent="0.35">
      <c r="A55" s="116">
        <v>45338</v>
      </c>
      <c r="B55" s="117" t="s">
        <v>137</v>
      </c>
      <c r="C55" s="111" t="s">
        <v>1669</v>
      </c>
      <c r="D55" s="117" t="s">
        <v>52</v>
      </c>
      <c r="E55" s="118" t="s">
        <v>75</v>
      </c>
      <c r="F55" s="118">
        <v>4184616</v>
      </c>
      <c r="G55" s="118" t="s">
        <v>178</v>
      </c>
      <c r="H55" s="118" t="s">
        <v>6</v>
      </c>
      <c r="I55" s="113">
        <f t="shared" si="0"/>
        <v>285.32416666666666</v>
      </c>
      <c r="J55" s="120">
        <v>3423.89</v>
      </c>
      <c r="K55" s="116">
        <v>45704</v>
      </c>
      <c r="L55" s="118" t="s">
        <v>1671</v>
      </c>
      <c r="M55" s="112" t="s">
        <v>74</v>
      </c>
      <c r="N55" s="112" t="s">
        <v>74</v>
      </c>
      <c r="O55" s="121"/>
    </row>
    <row r="56" spans="1:15" x14ac:dyDescent="0.35">
      <c r="A56" s="110">
        <v>45338</v>
      </c>
      <c r="B56" s="111" t="s">
        <v>137</v>
      </c>
      <c r="C56" s="111" t="s">
        <v>1669</v>
      </c>
      <c r="D56" s="111" t="s">
        <v>52</v>
      </c>
      <c r="E56" s="112" t="s">
        <v>60</v>
      </c>
      <c r="F56" s="112">
        <v>4185536</v>
      </c>
      <c r="G56" s="112" t="s">
        <v>179</v>
      </c>
      <c r="H56" s="112" t="s">
        <v>6</v>
      </c>
      <c r="I56" s="113">
        <f t="shared" si="0"/>
        <v>147.905</v>
      </c>
      <c r="J56" s="114">
        <v>1774.86</v>
      </c>
      <c r="K56" s="110">
        <v>45704</v>
      </c>
      <c r="L56" s="112" t="s">
        <v>1671</v>
      </c>
      <c r="M56" s="112" t="s">
        <v>74</v>
      </c>
      <c r="N56" s="112" t="s">
        <v>74</v>
      </c>
      <c r="O56" s="115"/>
    </row>
    <row r="57" spans="1:15" x14ac:dyDescent="0.35">
      <c r="A57" s="116">
        <v>45338</v>
      </c>
      <c r="B57" s="117" t="s">
        <v>137</v>
      </c>
      <c r="C57" s="111" t="s">
        <v>1669</v>
      </c>
      <c r="D57" s="117" t="s">
        <v>66</v>
      </c>
      <c r="E57" s="118" t="s">
        <v>14</v>
      </c>
      <c r="F57" s="118" t="s">
        <v>181</v>
      </c>
      <c r="G57" s="118" t="s">
        <v>182</v>
      </c>
      <c r="H57" s="118" t="s">
        <v>3</v>
      </c>
      <c r="I57" s="113">
        <f t="shared" si="0"/>
        <v>22.861940298507466</v>
      </c>
      <c r="J57" s="120">
        <f>+(28.42*12)/1.005-65</f>
        <v>274.34328358208961</v>
      </c>
      <c r="K57" s="116">
        <v>45704</v>
      </c>
      <c r="L57" s="118" t="s">
        <v>1671</v>
      </c>
      <c r="M57" s="112" t="s">
        <v>74</v>
      </c>
      <c r="N57" s="112" t="s">
        <v>74</v>
      </c>
      <c r="O57" s="121"/>
    </row>
    <row r="58" spans="1:15" x14ac:dyDescent="0.35">
      <c r="A58" s="110">
        <v>45338</v>
      </c>
      <c r="B58" s="111" t="s">
        <v>137</v>
      </c>
      <c r="C58" s="111" t="s">
        <v>1669</v>
      </c>
      <c r="D58" s="111" t="s">
        <v>66</v>
      </c>
      <c r="E58" s="112" t="s">
        <v>14</v>
      </c>
      <c r="F58" s="112"/>
      <c r="G58" s="112" t="s">
        <v>182</v>
      </c>
      <c r="H58" s="112" t="s">
        <v>5</v>
      </c>
      <c r="I58" s="113">
        <f t="shared" si="0"/>
        <v>104.11940298507464</v>
      </c>
      <c r="J58" s="122">
        <f>104.64*12/(1.005)</f>
        <v>1249.4328358208957</v>
      </c>
      <c r="K58" s="110">
        <v>45704</v>
      </c>
      <c r="L58" s="112" t="s">
        <v>1671</v>
      </c>
      <c r="M58" s="112" t="s">
        <v>74</v>
      </c>
      <c r="N58" s="112" t="s">
        <v>74</v>
      </c>
      <c r="O58" s="115"/>
    </row>
    <row r="59" spans="1:15" x14ac:dyDescent="0.35">
      <c r="A59" s="116">
        <v>45341</v>
      </c>
      <c r="B59" s="117" t="s">
        <v>137</v>
      </c>
      <c r="C59" s="111" t="s">
        <v>1669</v>
      </c>
      <c r="D59" s="117" t="s">
        <v>66</v>
      </c>
      <c r="E59" s="118" t="s">
        <v>13</v>
      </c>
      <c r="F59" s="118"/>
      <c r="G59" s="118" t="s">
        <v>187</v>
      </c>
      <c r="H59" s="118" t="s">
        <v>188</v>
      </c>
      <c r="I59" s="113">
        <f t="shared" si="0"/>
        <v>158.85572139303486</v>
      </c>
      <c r="J59" s="122">
        <f>159.65*12/(1.005)</f>
        <v>1906.2686567164183</v>
      </c>
      <c r="K59" s="116">
        <v>45707</v>
      </c>
      <c r="L59" s="118" t="s">
        <v>1671</v>
      </c>
      <c r="M59" s="112" t="s">
        <v>74</v>
      </c>
      <c r="N59" s="112" t="s">
        <v>74</v>
      </c>
      <c r="O59" s="121"/>
    </row>
    <row r="60" spans="1:15" x14ac:dyDescent="0.35">
      <c r="A60" s="110">
        <v>45342</v>
      </c>
      <c r="B60" s="111" t="s">
        <v>137</v>
      </c>
      <c r="C60" s="111" t="s">
        <v>1669</v>
      </c>
      <c r="D60" s="111" t="s">
        <v>52</v>
      </c>
      <c r="E60" s="112" t="s">
        <v>155</v>
      </c>
      <c r="F60" s="112">
        <v>4185775</v>
      </c>
      <c r="G60" s="112" t="s">
        <v>191</v>
      </c>
      <c r="H60" s="112" t="s">
        <v>6</v>
      </c>
      <c r="I60" s="113">
        <f t="shared" si="0"/>
        <v>83.707499999999996</v>
      </c>
      <c r="J60" s="114">
        <v>1004.49</v>
      </c>
      <c r="K60" s="110">
        <v>45708</v>
      </c>
      <c r="L60" s="112" t="s">
        <v>1671</v>
      </c>
      <c r="M60" s="112" t="s">
        <v>74</v>
      </c>
      <c r="N60" s="112" t="s">
        <v>74</v>
      </c>
      <c r="O60" s="115"/>
    </row>
    <row r="61" spans="1:15" x14ac:dyDescent="0.35">
      <c r="A61" s="116">
        <v>45342</v>
      </c>
      <c r="B61" s="117" t="s">
        <v>137</v>
      </c>
      <c r="C61" s="111" t="s">
        <v>1669</v>
      </c>
      <c r="D61" s="117" t="s">
        <v>52</v>
      </c>
      <c r="E61" s="118" t="s">
        <v>155</v>
      </c>
      <c r="F61" s="118">
        <v>4185801</v>
      </c>
      <c r="G61" s="118" t="s">
        <v>192</v>
      </c>
      <c r="H61" s="118" t="s">
        <v>6</v>
      </c>
      <c r="I61" s="113">
        <f t="shared" si="0"/>
        <v>83.707499999999996</v>
      </c>
      <c r="J61" s="120">
        <v>1004.49</v>
      </c>
      <c r="K61" s="116">
        <v>45708</v>
      </c>
      <c r="L61" s="118" t="s">
        <v>1671</v>
      </c>
      <c r="M61" s="112" t="s">
        <v>74</v>
      </c>
      <c r="N61" s="112" t="s">
        <v>74</v>
      </c>
      <c r="O61" s="121"/>
    </row>
    <row r="62" spans="1:15" x14ac:dyDescent="0.35">
      <c r="A62" s="110">
        <v>45342</v>
      </c>
      <c r="B62" s="111" t="s">
        <v>137</v>
      </c>
      <c r="C62" s="111" t="s">
        <v>1669</v>
      </c>
      <c r="D62" s="111" t="s">
        <v>52</v>
      </c>
      <c r="E62" s="112" t="s">
        <v>155</v>
      </c>
      <c r="F62" s="112">
        <v>4185803</v>
      </c>
      <c r="G62" s="112" t="s">
        <v>194</v>
      </c>
      <c r="H62" s="112" t="s">
        <v>6</v>
      </c>
      <c r="I62" s="113">
        <f t="shared" si="0"/>
        <v>83.707499999999996</v>
      </c>
      <c r="J62" s="114">
        <v>1004.49</v>
      </c>
      <c r="K62" s="110">
        <v>45708</v>
      </c>
      <c r="L62" s="112" t="s">
        <v>1671</v>
      </c>
      <c r="M62" s="112" t="s">
        <v>74</v>
      </c>
      <c r="N62" s="112" t="s">
        <v>74</v>
      </c>
      <c r="O62" s="115"/>
    </row>
    <row r="63" spans="1:15" x14ac:dyDescent="0.35">
      <c r="A63" s="116">
        <v>45342</v>
      </c>
      <c r="B63" s="117" t="s">
        <v>137</v>
      </c>
      <c r="C63" s="111" t="s">
        <v>1669</v>
      </c>
      <c r="D63" s="117" t="s">
        <v>52</v>
      </c>
      <c r="E63" s="118" t="s">
        <v>90</v>
      </c>
      <c r="F63" s="118">
        <v>4185772</v>
      </c>
      <c r="G63" s="118" t="s">
        <v>190</v>
      </c>
      <c r="H63" s="118" t="s">
        <v>6</v>
      </c>
      <c r="I63" s="113">
        <f t="shared" si="0"/>
        <v>81.985833333333332</v>
      </c>
      <c r="J63" s="120">
        <v>983.83</v>
      </c>
      <c r="K63" s="116">
        <v>45708</v>
      </c>
      <c r="L63" s="118" t="s">
        <v>1671</v>
      </c>
      <c r="M63" s="112" t="s">
        <v>74</v>
      </c>
      <c r="N63" s="112" t="s">
        <v>74</v>
      </c>
      <c r="O63" s="121"/>
    </row>
    <row r="64" spans="1:15" x14ac:dyDescent="0.35">
      <c r="A64" s="110">
        <v>45342</v>
      </c>
      <c r="B64" s="111" t="s">
        <v>137</v>
      </c>
      <c r="C64" s="111" t="s">
        <v>1669</v>
      </c>
      <c r="D64" s="111" t="s">
        <v>66</v>
      </c>
      <c r="E64" s="112" t="s">
        <v>13</v>
      </c>
      <c r="F64" s="112" t="s">
        <v>196</v>
      </c>
      <c r="G64" s="112" t="s">
        <v>197</v>
      </c>
      <c r="H64" s="112" t="s">
        <v>3</v>
      </c>
      <c r="I64" s="113">
        <f t="shared" si="0"/>
        <v>48.314676616915428</v>
      </c>
      <c r="J64" s="114">
        <f>+(54*12)/1.005-65</f>
        <v>579.77611940298516</v>
      </c>
      <c r="K64" s="116">
        <v>45708</v>
      </c>
      <c r="L64" s="112" t="s">
        <v>1671</v>
      </c>
      <c r="M64" s="112" t="s">
        <v>74</v>
      </c>
      <c r="N64" s="112" t="s">
        <v>74</v>
      </c>
      <c r="O64" s="115"/>
    </row>
    <row r="65" spans="1:15" x14ac:dyDescent="0.35">
      <c r="A65" s="116">
        <v>45342</v>
      </c>
      <c r="B65" s="117" t="s">
        <v>137</v>
      </c>
      <c r="C65" s="111" t="s">
        <v>1669</v>
      </c>
      <c r="D65" s="117" t="s">
        <v>66</v>
      </c>
      <c r="E65" s="118" t="s">
        <v>13</v>
      </c>
      <c r="F65" s="118"/>
      <c r="G65" s="118"/>
      <c r="H65" s="118" t="s">
        <v>702</v>
      </c>
      <c r="I65" s="113">
        <f t="shared" si="0"/>
        <v>100</v>
      </c>
      <c r="J65" s="120">
        <v>1200</v>
      </c>
      <c r="K65" s="116">
        <v>45708</v>
      </c>
      <c r="L65" s="118" t="s">
        <v>1671</v>
      </c>
      <c r="M65" s="112" t="s">
        <v>74</v>
      </c>
      <c r="N65" s="112" t="s">
        <v>74</v>
      </c>
      <c r="O65" s="121"/>
    </row>
    <row r="66" spans="1:15" x14ac:dyDescent="0.35">
      <c r="A66" s="110">
        <v>45342</v>
      </c>
      <c r="B66" s="111" t="s">
        <v>137</v>
      </c>
      <c r="C66" s="111" t="s">
        <v>1669</v>
      </c>
      <c r="D66" s="111" t="s">
        <v>66</v>
      </c>
      <c r="E66" s="112" t="s">
        <v>17</v>
      </c>
      <c r="F66" s="112"/>
      <c r="G66" s="112" t="s">
        <v>198</v>
      </c>
      <c r="H66" s="112" t="s">
        <v>2</v>
      </c>
      <c r="I66" s="113">
        <f t="shared" si="0"/>
        <v>68.666015715813458</v>
      </c>
      <c r="J66" s="114">
        <f>73.84*12/(1.005)/1.07</f>
        <v>823.99218858976155</v>
      </c>
      <c r="K66" s="116">
        <v>45708</v>
      </c>
      <c r="L66" s="112" t="s">
        <v>1671</v>
      </c>
      <c r="M66" s="112" t="s">
        <v>74</v>
      </c>
      <c r="N66" s="112" t="s">
        <v>74</v>
      </c>
      <c r="O66" s="115"/>
    </row>
    <row r="67" spans="1:15" x14ac:dyDescent="0.35">
      <c r="A67" s="116">
        <v>45343</v>
      </c>
      <c r="B67" s="117" t="s">
        <v>137</v>
      </c>
      <c r="C67" s="111" t="s">
        <v>1669</v>
      </c>
      <c r="D67" s="117" t="s">
        <v>52</v>
      </c>
      <c r="E67" s="118" t="s">
        <v>78</v>
      </c>
      <c r="F67" s="118">
        <v>4185868</v>
      </c>
      <c r="G67" s="118" t="s">
        <v>202</v>
      </c>
      <c r="H67" s="118" t="s">
        <v>6</v>
      </c>
      <c r="I67" s="113">
        <f t="shared" si="0"/>
        <v>142.81083333333333</v>
      </c>
      <c r="J67" s="120">
        <v>1713.73</v>
      </c>
      <c r="K67" s="116">
        <v>45709</v>
      </c>
      <c r="L67" s="118" t="s">
        <v>1671</v>
      </c>
      <c r="M67" s="112" t="s">
        <v>74</v>
      </c>
      <c r="N67" s="112" t="s">
        <v>74</v>
      </c>
      <c r="O67" s="121"/>
    </row>
    <row r="68" spans="1:15" x14ac:dyDescent="0.35">
      <c r="A68" s="110">
        <v>45344</v>
      </c>
      <c r="B68" s="111" t="s">
        <v>137</v>
      </c>
      <c r="C68" s="111" t="s">
        <v>1669</v>
      </c>
      <c r="D68" s="111" t="s">
        <v>66</v>
      </c>
      <c r="E68" s="112" t="s">
        <v>18</v>
      </c>
      <c r="F68" s="112">
        <v>4185936</v>
      </c>
      <c r="G68" s="112" t="s">
        <v>204</v>
      </c>
      <c r="H68" s="112" t="s">
        <v>6</v>
      </c>
      <c r="I68" s="113">
        <f t="shared" si="0"/>
        <v>75.34</v>
      </c>
      <c r="J68" s="114">
        <f>75.34*12</f>
        <v>904.08</v>
      </c>
      <c r="K68" s="110">
        <v>45710</v>
      </c>
      <c r="L68" s="112" t="s">
        <v>1671</v>
      </c>
      <c r="M68" s="112" t="s">
        <v>74</v>
      </c>
      <c r="N68" s="112" t="s">
        <v>74</v>
      </c>
      <c r="O68" s="115"/>
    </row>
    <row r="69" spans="1:15" x14ac:dyDescent="0.35">
      <c r="A69" s="116">
        <v>45344</v>
      </c>
      <c r="B69" s="117" t="s">
        <v>137</v>
      </c>
      <c r="C69" s="111" t="s">
        <v>1669</v>
      </c>
      <c r="D69" s="117" t="s">
        <v>66</v>
      </c>
      <c r="E69" s="118" t="s">
        <v>18</v>
      </c>
      <c r="F69" s="118" t="s">
        <v>206</v>
      </c>
      <c r="G69" s="118" t="s">
        <v>207</v>
      </c>
      <c r="H69" s="118" t="s">
        <v>3</v>
      </c>
      <c r="I69" s="113">
        <f t="shared" ref="I69:I132" si="1">J69/12</f>
        <v>74.61666666666666</v>
      </c>
      <c r="J69" s="120">
        <v>895.4</v>
      </c>
      <c r="K69" s="116">
        <v>45710</v>
      </c>
      <c r="L69" s="118" t="s">
        <v>1671</v>
      </c>
      <c r="M69" s="112" t="s">
        <v>74</v>
      </c>
      <c r="N69" s="112" t="s">
        <v>74</v>
      </c>
      <c r="O69" s="121"/>
    </row>
    <row r="70" spans="1:15" x14ac:dyDescent="0.35">
      <c r="A70" s="110">
        <v>45345</v>
      </c>
      <c r="B70" s="111" t="s">
        <v>137</v>
      </c>
      <c r="C70" s="111" t="s">
        <v>1669</v>
      </c>
      <c r="D70" s="111" t="s">
        <v>52</v>
      </c>
      <c r="E70" s="112" t="s">
        <v>129</v>
      </c>
      <c r="F70" s="112">
        <v>4186005</v>
      </c>
      <c r="G70" s="112" t="s">
        <v>211</v>
      </c>
      <c r="H70" s="112" t="s">
        <v>6</v>
      </c>
      <c r="I70" s="113">
        <f t="shared" si="1"/>
        <v>83.22</v>
      </c>
      <c r="J70" s="114">
        <v>998.64</v>
      </c>
      <c r="K70" s="110">
        <v>45711</v>
      </c>
      <c r="L70" s="112" t="s">
        <v>1672</v>
      </c>
      <c r="M70" s="112"/>
      <c r="N70" s="112"/>
      <c r="O70" s="115" t="s">
        <v>1673</v>
      </c>
    </row>
    <row r="71" spans="1:15" x14ac:dyDescent="0.35">
      <c r="A71" s="116">
        <v>45345</v>
      </c>
      <c r="B71" s="117" t="s">
        <v>137</v>
      </c>
      <c r="C71" s="111" t="s">
        <v>1669</v>
      </c>
      <c r="D71" s="117" t="s">
        <v>52</v>
      </c>
      <c r="E71" s="118" t="s">
        <v>129</v>
      </c>
      <c r="F71" s="118">
        <v>4186041</v>
      </c>
      <c r="G71" s="118" t="s">
        <v>212</v>
      </c>
      <c r="H71" s="118" t="s">
        <v>6</v>
      </c>
      <c r="I71" s="113">
        <f t="shared" si="1"/>
        <v>110.15499999999999</v>
      </c>
      <c r="J71" s="120">
        <v>1321.86</v>
      </c>
      <c r="K71" s="116">
        <v>45711</v>
      </c>
      <c r="L71" s="118" t="s">
        <v>1672</v>
      </c>
      <c r="M71" s="118"/>
      <c r="N71" s="118"/>
      <c r="O71" s="121" t="s">
        <v>1673</v>
      </c>
    </row>
    <row r="72" spans="1:15" x14ac:dyDescent="0.35">
      <c r="A72" s="110">
        <v>45345</v>
      </c>
      <c r="B72" s="111" t="s">
        <v>137</v>
      </c>
      <c r="C72" s="111" t="s">
        <v>1669</v>
      </c>
      <c r="D72" s="111" t="s">
        <v>52</v>
      </c>
      <c r="E72" s="112" t="s">
        <v>75</v>
      </c>
      <c r="F72" s="112"/>
      <c r="G72" s="112" t="s">
        <v>214</v>
      </c>
      <c r="H72" s="112" t="s">
        <v>55</v>
      </c>
      <c r="I72" s="113">
        <f t="shared" si="1"/>
        <v>502.06666666666666</v>
      </c>
      <c r="J72" s="114">
        <v>6024.8</v>
      </c>
      <c r="K72" s="110">
        <v>45711</v>
      </c>
      <c r="L72" s="112" t="s">
        <v>1672</v>
      </c>
      <c r="M72" s="112"/>
      <c r="N72" s="112"/>
      <c r="O72" s="115" t="s">
        <v>1675</v>
      </c>
    </row>
    <row r="73" spans="1:15" x14ac:dyDescent="0.35">
      <c r="A73" s="116">
        <v>45345</v>
      </c>
      <c r="B73" s="117" t="s">
        <v>137</v>
      </c>
      <c r="C73" s="111" t="s">
        <v>1669</v>
      </c>
      <c r="D73" s="117" t="s">
        <v>52</v>
      </c>
      <c r="E73" s="118" t="s">
        <v>60</v>
      </c>
      <c r="F73" s="118">
        <v>4185858</v>
      </c>
      <c r="G73" s="118" t="s">
        <v>210</v>
      </c>
      <c r="H73" s="118" t="s">
        <v>6</v>
      </c>
      <c r="I73" s="113">
        <f t="shared" si="1"/>
        <v>204.70916666666668</v>
      </c>
      <c r="J73" s="120">
        <v>2456.5100000000002</v>
      </c>
      <c r="K73" s="110">
        <v>45711</v>
      </c>
      <c r="L73" s="118" t="s">
        <v>1671</v>
      </c>
      <c r="M73" s="112" t="s">
        <v>74</v>
      </c>
      <c r="N73" s="112" t="s">
        <v>74</v>
      </c>
      <c r="O73" s="121"/>
    </row>
    <row r="74" spans="1:15" x14ac:dyDescent="0.35">
      <c r="A74" s="110">
        <v>45345</v>
      </c>
      <c r="B74" s="111" t="s">
        <v>137</v>
      </c>
      <c r="C74" s="111" t="s">
        <v>1669</v>
      </c>
      <c r="D74" s="111" t="s">
        <v>66</v>
      </c>
      <c r="E74" s="112" t="s">
        <v>18</v>
      </c>
      <c r="F74" s="112" t="s">
        <v>216</v>
      </c>
      <c r="G74" s="112" t="s">
        <v>217</v>
      </c>
      <c r="H74" s="112" t="s">
        <v>3</v>
      </c>
      <c r="I74" s="113">
        <f t="shared" si="1"/>
        <v>25.080845771144279</v>
      </c>
      <c r="J74" s="114">
        <f>+(30.65*12)/1.005-65</f>
        <v>300.97014925373134</v>
      </c>
      <c r="K74" s="110">
        <v>45711</v>
      </c>
      <c r="L74" s="112" t="s">
        <v>1672</v>
      </c>
      <c r="M74" s="112"/>
      <c r="N74" s="112"/>
      <c r="O74" s="115" t="s">
        <v>1675</v>
      </c>
    </row>
    <row r="75" spans="1:15" x14ac:dyDescent="0.35">
      <c r="A75" s="116">
        <v>45348</v>
      </c>
      <c r="B75" s="117" t="s">
        <v>137</v>
      </c>
      <c r="C75" s="111" t="s">
        <v>1669</v>
      </c>
      <c r="D75" s="117" t="s">
        <v>66</v>
      </c>
      <c r="E75" s="118" t="s">
        <v>218</v>
      </c>
      <c r="F75" s="118"/>
      <c r="G75" s="118" t="s">
        <v>219</v>
      </c>
      <c r="H75" s="118" t="s">
        <v>2</v>
      </c>
      <c r="I75" s="113">
        <f t="shared" si="1"/>
        <v>212.90742548937556</v>
      </c>
      <c r="J75" s="120">
        <f>228.95*12/(1.005)/1.07</f>
        <v>2554.8891058725067</v>
      </c>
      <c r="K75" s="116">
        <v>45714</v>
      </c>
      <c r="L75" s="118" t="s">
        <v>1671</v>
      </c>
      <c r="M75" s="112" t="s">
        <v>74</v>
      </c>
      <c r="N75" s="112" t="s">
        <v>74</v>
      </c>
      <c r="O75" s="121"/>
    </row>
    <row r="76" spans="1:15" x14ac:dyDescent="0.35">
      <c r="A76" s="110">
        <v>45348</v>
      </c>
      <c r="B76" s="111" t="s">
        <v>137</v>
      </c>
      <c r="C76" s="111" t="s">
        <v>1669</v>
      </c>
      <c r="D76" s="111" t="s">
        <v>66</v>
      </c>
      <c r="E76" s="112" t="s">
        <v>175</v>
      </c>
      <c r="F76" s="112"/>
      <c r="G76" s="112" t="s">
        <v>221</v>
      </c>
      <c r="H76" s="112" t="s">
        <v>3</v>
      </c>
      <c r="I76" s="113">
        <f t="shared" si="1"/>
        <v>102.90174129353234</v>
      </c>
      <c r="J76" s="114">
        <f>+(108.86*12)/1.005-65</f>
        <v>1234.8208955223881</v>
      </c>
      <c r="K76" s="110">
        <v>45714</v>
      </c>
      <c r="L76" s="112" t="s">
        <v>1672</v>
      </c>
      <c r="M76" s="112"/>
      <c r="N76" s="112"/>
      <c r="O76" s="115" t="s">
        <v>1675</v>
      </c>
    </row>
    <row r="77" spans="1:15" x14ac:dyDescent="0.35">
      <c r="A77" s="116">
        <v>45349</v>
      </c>
      <c r="B77" s="117" t="s">
        <v>137</v>
      </c>
      <c r="C77" s="111" t="s">
        <v>1669</v>
      </c>
      <c r="D77" s="117" t="s">
        <v>52</v>
      </c>
      <c r="E77" s="118" t="s">
        <v>129</v>
      </c>
      <c r="F77" s="118">
        <v>4186009</v>
      </c>
      <c r="G77" s="118" t="s">
        <v>224</v>
      </c>
      <c r="H77" s="118" t="s">
        <v>6</v>
      </c>
      <c r="I77" s="113">
        <f t="shared" si="1"/>
        <v>169.94416666666666</v>
      </c>
      <c r="J77" s="120">
        <v>2039.33</v>
      </c>
      <c r="K77" s="116">
        <v>45715</v>
      </c>
      <c r="L77" s="118" t="s">
        <v>1671</v>
      </c>
      <c r="M77" s="112" t="s">
        <v>74</v>
      </c>
      <c r="N77" s="112" t="s">
        <v>74</v>
      </c>
      <c r="O77" s="121"/>
    </row>
    <row r="78" spans="1:15" x14ac:dyDescent="0.35">
      <c r="A78" s="110">
        <v>45349</v>
      </c>
      <c r="B78" s="111" t="s">
        <v>137</v>
      </c>
      <c r="C78" s="111" t="s">
        <v>1669</v>
      </c>
      <c r="D78" s="111" t="s">
        <v>52</v>
      </c>
      <c r="E78" s="112" t="s">
        <v>129</v>
      </c>
      <c r="F78" s="112"/>
      <c r="G78" s="112" t="s">
        <v>226</v>
      </c>
      <c r="H78" s="112" t="s">
        <v>399</v>
      </c>
      <c r="I78" s="113">
        <f t="shared" si="1"/>
        <v>65.625</v>
      </c>
      <c r="J78" s="114">
        <v>787.5</v>
      </c>
      <c r="K78" s="110">
        <v>45715</v>
      </c>
      <c r="L78" s="112" t="s">
        <v>1672</v>
      </c>
      <c r="M78" s="112"/>
      <c r="N78" s="112"/>
      <c r="O78" s="115" t="s">
        <v>1675</v>
      </c>
    </row>
    <row r="79" spans="1:15" x14ac:dyDescent="0.35">
      <c r="A79" s="116">
        <v>45349</v>
      </c>
      <c r="B79" s="117" t="s">
        <v>137</v>
      </c>
      <c r="C79" s="111" t="s">
        <v>1669</v>
      </c>
      <c r="D79" s="117" t="s">
        <v>52</v>
      </c>
      <c r="E79" s="118" t="s">
        <v>90</v>
      </c>
      <c r="F79" s="118">
        <v>4186159</v>
      </c>
      <c r="G79" s="118" t="s">
        <v>223</v>
      </c>
      <c r="H79" s="118" t="s">
        <v>6</v>
      </c>
      <c r="I79" s="113">
        <f t="shared" si="1"/>
        <v>152.59166666666667</v>
      </c>
      <c r="J79" s="120">
        <v>1831.1</v>
      </c>
      <c r="K79" s="116">
        <v>45715</v>
      </c>
      <c r="L79" s="118" t="s">
        <v>1671</v>
      </c>
      <c r="M79" s="112" t="s">
        <v>74</v>
      </c>
      <c r="N79" s="112" t="s">
        <v>74</v>
      </c>
      <c r="O79" s="121"/>
    </row>
    <row r="80" spans="1:15" x14ac:dyDescent="0.35">
      <c r="A80" s="110">
        <v>45349</v>
      </c>
      <c r="B80" s="111" t="s">
        <v>137</v>
      </c>
      <c r="C80" s="111" t="s">
        <v>1669</v>
      </c>
      <c r="D80" s="111" t="s">
        <v>52</v>
      </c>
      <c r="E80" s="112" t="s">
        <v>60</v>
      </c>
      <c r="F80" s="112">
        <v>4186107</v>
      </c>
      <c r="G80" s="112" t="s">
        <v>228</v>
      </c>
      <c r="H80" s="112" t="s">
        <v>6</v>
      </c>
      <c r="I80" s="113">
        <f t="shared" si="1"/>
        <v>176.07333333333335</v>
      </c>
      <c r="J80" s="114">
        <v>2112.88</v>
      </c>
      <c r="K80" s="110">
        <v>45715</v>
      </c>
      <c r="L80" s="112" t="s">
        <v>1671</v>
      </c>
      <c r="M80" s="112" t="s">
        <v>74</v>
      </c>
      <c r="N80" s="112" t="s">
        <v>74</v>
      </c>
      <c r="O80" s="115"/>
    </row>
    <row r="81" spans="1:15" x14ac:dyDescent="0.35">
      <c r="A81" s="116">
        <v>45349</v>
      </c>
      <c r="B81" s="117" t="s">
        <v>137</v>
      </c>
      <c r="C81" s="111" t="s">
        <v>1669</v>
      </c>
      <c r="D81" s="117" t="s">
        <v>66</v>
      </c>
      <c r="E81" s="118" t="s">
        <v>13</v>
      </c>
      <c r="F81" s="118"/>
      <c r="G81" s="118" t="s">
        <v>231</v>
      </c>
      <c r="H81" s="118" t="s">
        <v>5</v>
      </c>
      <c r="I81" s="113">
        <f t="shared" si="1"/>
        <v>84.407960199004989</v>
      </c>
      <c r="J81" s="120">
        <f>84.83*12/(1.005)</f>
        <v>1012.8955223880598</v>
      </c>
      <c r="K81" s="116">
        <v>45715</v>
      </c>
      <c r="L81" s="118" t="s">
        <v>1671</v>
      </c>
      <c r="M81" s="112" t="s">
        <v>74</v>
      </c>
      <c r="N81" s="112" t="s">
        <v>74</v>
      </c>
      <c r="O81" s="121"/>
    </row>
    <row r="82" spans="1:15" x14ac:dyDescent="0.35">
      <c r="A82" s="110">
        <v>45349</v>
      </c>
      <c r="B82" s="111" t="s">
        <v>137</v>
      </c>
      <c r="C82" s="111" t="s">
        <v>1669</v>
      </c>
      <c r="D82" s="111" t="s">
        <v>66</v>
      </c>
      <c r="E82" s="112" t="s">
        <v>15</v>
      </c>
      <c r="F82" s="112"/>
      <c r="G82" s="112" t="s">
        <v>233</v>
      </c>
      <c r="H82" s="112" t="s">
        <v>6</v>
      </c>
      <c r="I82" s="113">
        <f t="shared" si="1"/>
        <v>153.82</v>
      </c>
      <c r="J82" s="114">
        <f>153.82*12</f>
        <v>1845.84</v>
      </c>
      <c r="K82" s="110">
        <v>45715</v>
      </c>
      <c r="L82" s="112" t="s">
        <v>1671</v>
      </c>
      <c r="M82" s="112" t="s">
        <v>74</v>
      </c>
      <c r="N82" s="112" t="s">
        <v>74</v>
      </c>
      <c r="O82" s="115"/>
    </row>
    <row r="83" spans="1:15" x14ac:dyDescent="0.35">
      <c r="A83" s="116">
        <v>45349</v>
      </c>
      <c r="B83" s="117" t="s">
        <v>137</v>
      </c>
      <c r="C83" s="111" t="s">
        <v>1669</v>
      </c>
      <c r="D83" s="117" t="s">
        <v>66</v>
      </c>
      <c r="E83" s="118" t="s">
        <v>17</v>
      </c>
      <c r="F83" s="118"/>
      <c r="G83" s="118" t="s">
        <v>230</v>
      </c>
      <c r="H83" s="118" t="s">
        <v>2</v>
      </c>
      <c r="I83" s="113">
        <f t="shared" si="1"/>
        <v>72.822801878458179</v>
      </c>
      <c r="J83" s="120">
        <f>78.31*12/(1.005)/1.07</f>
        <v>873.87362254149821</v>
      </c>
      <c r="K83" s="116">
        <v>45715</v>
      </c>
      <c r="L83" s="118" t="s">
        <v>1672</v>
      </c>
      <c r="M83" s="118"/>
      <c r="N83" s="118"/>
      <c r="O83" s="121" t="s">
        <v>1675</v>
      </c>
    </row>
    <row r="84" spans="1:15" x14ac:dyDescent="0.35">
      <c r="A84" s="110">
        <v>45350</v>
      </c>
      <c r="B84" s="111" t="s">
        <v>137</v>
      </c>
      <c r="C84" s="111" t="s">
        <v>1669</v>
      </c>
      <c r="D84" s="111" t="s">
        <v>66</v>
      </c>
      <c r="E84" s="112" t="s">
        <v>18</v>
      </c>
      <c r="F84" s="112" t="s">
        <v>234</v>
      </c>
      <c r="G84" s="112" t="s">
        <v>235</v>
      </c>
      <c r="H84" s="112" t="s">
        <v>3</v>
      </c>
      <c r="I84" s="113">
        <f t="shared" si="1"/>
        <v>25.080845771144279</v>
      </c>
      <c r="J84" s="114">
        <f>+(30.65*12)/1.005-65</f>
        <v>300.97014925373134</v>
      </c>
      <c r="K84" s="110">
        <v>45716</v>
      </c>
      <c r="L84" s="112" t="s">
        <v>1672</v>
      </c>
      <c r="M84" s="112"/>
      <c r="N84" s="112"/>
      <c r="O84" s="115" t="s">
        <v>1673</v>
      </c>
    </row>
    <row r="85" spans="1:15" x14ac:dyDescent="0.35">
      <c r="A85" s="116">
        <v>45351</v>
      </c>
      <c r="B85" s="117" t="s">
        <v>137</v>
      </c>
      <c r="C85" s="111" t="s">
        <v>1669</v>
      </c>
      <c r="D85" s="117" t="s">
        <v>66</v>
      </c>
      <c r="E85" s="118" t="s">
        <v>14</v>
      </c>
      <c r="F85" s="118"/>
      <c r="G85" s="118" t="s">
        <v>238</v>
      </c>
      <c r="H85" s="118" t="s">
        <v>5</v>
      </c>
      <c r="I85" s="113">
        <f t="shared" si="1"/>
        <v>56.208955223880601</v>
      </c>
      <c r="J85" s="120">
        <f>56.49*12/(1.005)</f>
        <v>674.50746268656724</v>
      </c>
      <c r="K85" s="116" t="s">
        <v>1670</v>
      </c>
      <c r="L85" s="118" t="s">
        <v>1672</v>
      </c>
      <c r="M85" s="118"/>
      <c r="N85" s="118"/>
      <c r="O85" s="121" t="s">
        <v>1673</v>
      </c>
    </row>
    <row r="86" spans="1:15" x14ac:dyDescent="0.35">
      <c r="A86" s="110">
        <v>45351</v>
      </c>
      <c r="B86" s="111" t="s">
        <v>137</v>
      </c>
      <c r="C86" s="111" t="s">
        <v>1669</v>
      </c>
      <c r="D86" s="111" t="s">
        <v>66</v>
      </c>
      <c r="E86" s="112" t="s">
        <v>240</v>
      </c>
      <c r="F86" s="112"/>
      <c r="G86" s="112" t="s">
        <v>241</v>
      </c>
      <c r="H86" s="112" t="s">
        <v>399</v>
      </c>
      <c r="I86" s="113">
        <f t="shared" si="1"/>
        <v>158.75</v>
      </c>
      <c r="J86" s="113">
        <v>1905</v>
      </c>
      <c r="K86" s="110" t="s">
        <v>1670</v>
      </c>
      <c r="L86" s="112" t="s">
        <v>1672</v>
      </c>
      <c r="M86" s="112"/>
      <c r="N86" s="112"/>
      <c r="O86" s="115" t="s">
        <v>1673</v>
      </c>
    </row>
    <row r="87" spans="1:15" x14ac:dyDescent="0.35">
      <c r="A87" s="116">
        <v>45352</v>
      </c>
      <c r="B87" s="117" t="s">
        <v>242</v>
      </c>
      <c r="C87" s="111" t="s">
        <v>1669</v>
      </c>
      <c r="D87" s="117" t="s">
        <v>52</v>
      </c>
      <c r="E87" s="118" t="s">
        <v>155</v>
      </c>
      <c r="F87" s="118" t="s">
        <v>244</v>
      </c>
      <c r="G87" s="118" t="s">
        <v>245</v>
      </c>
      <c r="H87" s="118" t="s">
        <v>3</v>
      </c>
      <c r="I87" s="113">
        <f t="shared" si="1"/>
        <v>147.27416666666667</v>
      </c>
      <c r="J87" s="120">
        <v>1767.29</v>
      </c>
      <c r="K87" s="116">
        <v>45717</v>
      </c>
      <c r="L87" s="118" t="s">
        <v>1672</v>
      </c>
      <c r="M87" s="118"/>
      <c r="N87" s="118"/>
      <c r="O87" s="121" t="s">
        <v>1673</v>
      </c>
    </row>
    <row r="88" spans="1:15" x14ac:dyDescent="0.35">
      <c r="A88" s="110">
        <v>45352</v>
      </c>
      <c r="B88" s="111" t="s">
        <v>242</v>
      </c>
      <c r="C88" s="111" t="s">
        <v>1669</v>
      </c>
      <c r="D88" s="111" t="s">
        <v>52</v>
      </c>
      <c r="E88" s="112" t="s">
        <v>98</v>
      </c>
      <c r="F88" s="112">
        <v>4186645</v>
      </c>
      <c r="G88" s="112" t="s">
        <v>243</v>
      </c>
      <c r="H88" s="112" t="s">
        <v>6</v>
      </c>
      <c r="I88" s="113">
        <f t="shared" si="1"/>
        <v>104.15499999999999</v>
      </c>
      <c r="J88" s="114">
        <v>1249.8599999999999</v>
      </c>
      <c r="K88" s="110">
        <v>45717</v>
      </c>
      <c r="L88" s="112" t="s">
        <v>1671</v>
      </c>
      <c r="M88" s="112" t="s">
        <v>74</v>
      </c>
      <c r="N88" s="112" t="s">
        <v>74</v>
      </c>
      <c r="O88" s="115"/>
    </row>
    <row r="89" spans="1:15" x14ac:dyDescent="0.35">
      <c r="A89" s="116">
        <v>45352</v>
      </c>
      <c r="B89" s="117" t="s">
        <v>242</v>
      </c>
      <c r="C89" s="111" t="s">
        <v>1669</v>
      </c>
      <c r="D89" s="117" t="s">
        <v>52</v>
      </c>
      <c r="E89" s="118" t="s">
        <v>118</v>
      </c>
      <c r="F89" s="118">
        <v>4186656</v>
      </c>
      <c r="G89" s="118" t="s">
        <v>246</v>
      </c>
      <c r="H89" s="118" t="s">
        <v>6</v>
      </c>
      <c r="I89" s="113">
        <f t="shared" si="1"/>
        <v>69.05083333333333</v>
      </c>
      <c r="J89" s="120">
        <v>828.61</v>
      </c>
      <c r="K89" s="116">
        <v>45717</v>
      </c>
      <c r="L89" s="118" t="s">
        <v>1671</v>
      </c>
      <c r="M89" s="112" t="s">
        <v>74</v>
      </c>
      <c r="N89" s="112" t="s">
        <v>74</v>
      </c>
      <c r="O89" s="121"/>
    </row>
    <row r="90" spans="1:15" x14ac:dyDescent="0.35">
      <c r="A90" s="110">
        <v>45352</v>
      </c>
      <c r="B90" s="111" t="s">
        <v>242</v>
      </c>
      <c r="C90" s="111" t="s">
        <v>1669</v>
      </c>
      <c r="D90" s="111" t="s">
        <v>52</v>
      </c>
      <c r="E90" s="112" t="s">
        <v>75</v>
      </c>
      <c r="F90" s="112">
        <v>4186688</v>
      </c>
      <c r="G90" s="112" t="s">
        <v>251</v>
      </c>
      <c r="H90" s="112" t="s">
        <v>6</v>
      </c>
      <c r="I90" s="113">
        <f t="shared" si="1"/>
        <v>93.518333333333331</v>
      </c>
      <c r="J90" s="114">
        <v>1122.22</v>
      </c>
      <c r="K90" s="110">
        <v>45717</v>
      </c>
      <c r="L90" s="112" t="s">
        <v>1672</v>
      </c>
      <c r="M90" s="112"/>
      <c r="N90" s="112"/>
      <c r="O90" s="115" t="s">
        <v>1673</v>
      </c>
    </row>
    <row r="91" spans="1:15" x14ac:dyDescent="0.35">
      <c r="A91" s="116">
        <v>45352</v>
      </c>
      <c r="B91" s="117" t="s">
        <v>242</v>
      </c>
      <c r="C91" s="111" t="s">
        <v>1669</v>
      </c>
      <c r="D91" s="117" t="s">
        <v>52</v>
      </c>
      <c r="E91" s="118" t="s">
        <v>75</v>
      </c>
      <c r="F91" s="118">
        <v>4186711</v>
      </c>
      <c r="G91" s="118" t="s">
        <v>254</v>
      </c>
      <c r="H91" s="118" t="s">
        <v>6</v>
      </c>
      <c r="I91" s="113">
        <f t="shared" si="1"/>
        <v>69.05083333333333</v>
      </c>
      <c r="J91" s="120">
        <v>828.61</v>
      </c>
      <c r="K91" s="116">
        <v>45717</v>
      </c>
      <c r="L91" s="118" t="s">
        <v>1671</v>
      </c>
      <c r="M91" s="112" t="s">
        <v>74</v>
      </c>
      <c r="N91" s="112" t="s">
        <v>74</v>
      </c>
      <c r="O91" s="121"/>
    </row>
    <row r="92" spans="1:15" x14ac:dyDescent="0.35">
      <c r="A92" s="110">
        <v>45352</v>
      </c>
      <c r="B92" s="111" t="s">
        <v>242</v>
      </c>
      <c r="C92" s="111" t="s">
        <v>1669</v>
      </c>
      <c r="D92" s="111" t="s">
        <v>52</v>
      </c>
      <c r="E92" s="112" t="s">
        <v>60</v>
      </c>
      <c r="F92" s="112"/>
      <c r="G92" s="112" t="s">
        <v>247</v>
      </c>
      <c r="H92" s="112" t="s">
        <v>55</v>
      </c>
      <c r="I92" s="113">
        <f t="shared" si="1"/>
        <v>75.112499999999997</v>
      </c>
      <c r="J92" s="114">
        <v>901.35</v>
      </c>
      <c r="K92" s="110">
        <v>45717</v>
      </c>
      <c r="L92" s="112" t="s">
        <v>1672</v>
      </c>
      <c r="M92" s="112"/>
      <c r="N92" s="112"/>
      <c r="O92" s="115" t="s">
        <v>1673</v>
      </c>
    </row>
    <row r="93" spans="1:15" x14ac:dyDescent="0.35">
      <c r="A93" s="116">
        <v>45352</v>
      </c>
      <c r="B93" s="117" t="s">
        <v>242</v>
      </c>
      <c r="C93" s="111" t="s">
        <v>1669</v>
      </c>
      <c r="D93" s="117" t="s">
        <v>52</v>
      </c>
      <c r="E93" s="118" t="s">
        <v>60</v>
      </c>
      <c r="F93" s="118" t="s">
        <v>249</v>
      </c>
      <c r="G93" s="118" t="s">
        <v>250</v>
      </c>
      <c r="H93" s="118" t="s">
        <v>399</v>
      </c>
      <c r="I93" s="113">
        <f t="shared" si="1"/>
        <v>373.74250000000001</v>
      </c>
      <c r="J93" s="120">
        <v>4484.91</v>
      </c>
      <c r="K93" s="116">
        <v>45717</v>
      </c>
      <c r="L93" s="118" t="s">
        <v>1671</v>
      </c>
      <c r="M93" s="112" t="s">
        <v>74</v>
      </c>
      <c r="N93" s="112" t="s">
        <v>74</v>
      </c>
      <c r="O93" s="121"/>
    </row>
    <row r="94" spans="1:15" x14ac:dyDescent="0.35">
      <c r="A94" s="110">
        <v>45352</v>
      </c>
      <c r="B94" s="111" t="s">
        <v>242</v>
      </c>
      <c r="C94" s="111" t="s">
        <v>1669</v>
      </c>
      <c r="D94" s="111" t="s">
        <v>52</v>
      </c>
      <c r="E94" s="112" t="s">
        <v>60</v>
      </c>
      <c r="F94" s="112">
        <v>4186080</v>
      </c>
      <c r="G94" s="112" t="s">
        <v>253</v>
      </c>
      <c r="H94" s="112" t="s">
        <v>6</v>
      </c>
      <c r="I94" s="113">
        <f t="shared" si="1"/>
        <v>176.27250000000001</v>
      </c>
      <c r="J94" s="114">
        <v>2115.27</v>
      </c>
      <c r="K94" s="110">
        <v>45717</v>
      </c>
      <c r="L94" s="112" t="s">
        <v>1672</v>
      </c>
      <c r="M94" s="112"/>
      <c r="N94" s="112"/>
      <c r="O94" s="115" t="s">
        <v>1673</v>
      </c>
    </row>
    <row r="95" spans="1:15" x14ac:dyDescent="0.35">
      <c r="A95" s="116">
        <v>45355</v>
      </c>
      <c r="B95" s="117" t="s">
        <v>242</v>
      </c>
      <c r="C95" s="111" t="s">
        <v>1669</v>
      </c>
      <c r="D95" s="117" t="s">
        <v>52</v>
      </c>
      <c r="E95" s="118" t="s">
        <v>257</v>
      </c>
      <c r="F95" s="118">
        <v>292205</v>
      </c>
      <c r="G95" s="118" t="s">
        <v>258</v>
      </c>
      <c r="H95" s="118" t="s">
        <v>55</v>
      </c>
      <c r="I95" s="113">
        <f t="shared" si="1"/>
        <v>354.10945273631842</v>
      </c>
      <c r="J95" s="120">
        <f>355.88*12/(1.005)</f>
        <v>4249.313432835821</v>
      </c>
      <c r="K95" s="116">
        <v>45720</v>
      </c>
      <c r="L95" s="118" t="s">
        <v>1672</v>
      </c>
      <c r="M95" s="118"/>
      <c r="N95" s="118"/>
      <c r="O95" s="121" t="s">
        <v>1673</v>
      </c>
    </row>
    <row r="96" spans="1:15" x14ac:dyDescent="0.35">
      <c r="A96" s="110">
        <v>45355</v>
      </c>
      <c r="B96" s="111" t="s">
        <v>242</v>
      </c>
      <c r="C96" s="111" t="s">
        <v>1669</v>
      </c>
      <c r="D96" s="111" t="s">
        <v>52</v>
      </c>
      <c r="E96" s="112" t="s">
        <v>57</v>
      </c>
      <c r="F96" s="112">
        <v>4186643</v>
      </c>
      <c r="G96" s="112" t="s">
        <v>255</v>
      </c>
      <c r="H96" s="112" t="s">
        <v>6</v>
      </c>
      <c r="I96" s="113">
        <f t="shared" si="1"/>
        <v>114.15666666666668</v>
      </c>
      <c r="J96" s="114">
        <v>1369.88</v>
      </c>
      <c r="K96" s="116">
        <v>45720</v>
      </c>
      <c r="L96" s="112" t="s">
        <v>1671</v>
      </c>
      <c r="M96" s="112" t="s">
        <v>74</v>
      </c>
      <c r="N96" s="112" t="s">
        <v>74</v>
      </c>
      <c r="O96" s="115"/>
    </row>
    <row r="97" spans="1:15" x14ac:dyDescent="0.35">
      <c r="A97" s="116">
        <v>45355</v>
      </c>
      <c r="B97" s="117" t="s">
        <v>242</v>
      </c>
      <c r="C97" s="111" t="s">
        <v>1669</v>
      </c>
      <c r="D97" s="117" t="s">
        <v>52</v>
      </c>
      <c r="E97" s="118" t="s">
        <v>129</v>
      </c>
      <c r="F97" s="118" t="s">
        <v>259</v>
      </c>
      <c r="G97" s="118" t="s">
        <v>260</v>
      </c>
      <c r="H97" s="118" t="s">
        <v>399</v>
      </c>
      <c r="I97" s="113">
        <f t="shared" si="1"/>
        <v>44.791666666666664</v>
      </c>
      <c r="J97" s="120">
        <v>537.5</v>
      </c>
      <c r="K97" s="116">
        <v>45720</v>
      </c>
      <c r="L97" s="118" t="s">
        <v>1672</v>
      </c>
      <c r="M97" s="118"/>
      <c r="N97" s="118"/>
      <c r="O97" s="121" t="s">
        <v>1673</v>
      </c>
    </row>
    <row r="98" spans="1:15" x14ac:dyDescent="0.35">
      <c r="A98" s="110">
        <v>45355</v>
      </c>
      <c r="B98" s="111" t="s">
        <v>242</v>
      </c>
      <c r="C98" s="111" t="s">
        <v>1669</v>
      </c>
      <c r="D98" s="111" t="s">
        <v>52</v>
      </c>
      <c r="E98" s="112" t="s">
        <v>60</v>
      </c>
      <c r="F98" s="112">
        <v>4186739</v>
      </c>
      <c r="G98" s="112" t="s">
        <v>256</v>
      </c>
      <c r="H98" s="112" t="s">
        <v>6</v>
      </c>
      <c r="I98" s="113">
        <f t="shared" si="1"/>
        <v>113.87583333333333</v>
      </c>
      <c r="J98" s="114">
        <v>1366.51</v>
      </c>
      <c r="K98" s="116">
        <v>45720</v>
      </c>
      <c r="L98" s="112" t="s">
        <v>1671</v>
      </c>
      <c r="M98" s="112" t="s">
        <v>74</v>
      </c>
      <c r="N98" s="112" t="s">
        <v>74</v>
      </c>
      <c r="O98" s="115"/>
    </row>
    <row r="99" spans="1:15" x14ac:dyDescent="0.35">
      <c r="A99" s="116">
        <v>45355</v>
      </c>
      <c r="B99" s="117" t="s">
        <v>242</v>
      </c>
      <c r="C99" s="111" t="s">
        <v>1669</v>
      </c>
      <c r="D99" s="117" t="s">
        <v>66</v>
      </c>
      <c r="E99" s="118" t="s">
        <v>262</v>
      </c>
      <c r="F99" s="118"/>
      <c r="G99" s="118" t="s">
        <v>263</v>
      </c>
      <c r="H99" s="118" t="s">
        <v>5</v>
      </c>
      <c r="I99" s="113">
        <f t="shared" si="1"/>
        <v>122.11940298507464</v>
      </c>
      <c r="J99" s="120">
        <f>122.73*12/(1.005)</f>
        <v>1465.4328358208957</v>
      </c>
      <c r="K99" s="116">
        <v>45720</v>
      </c>
      <c r="L99" s="118" t="s">
        <v>1671</v>
      </c>
      <c r="M99" s="112" t="s">
        <v>74</v>
      </c>
      <c r="N99" s="112" t="s">
        <v>74</v>
      </c>
      <c r="O99" s="121"/>
    </row>
    <row r="100" spans="1:15" x14ac:dyDescent="0.35">
      <c r="A100" s="110">
        <v>45356</v>
      </c>
      <c r="B100" s="111" t="s">
        <v>242</v>
      </c>
      <c r="C100" s="111" t="s">
        <v>1669</v>
      </c>
      <c r="D100" s="111" t="s">
        <v>52</v>
      </c>
      <c r="E100" s="112" t="s">
        <v>57</v>
      </c>
      <c r="F100" s="112">
        <v>4186798</v>
      </c>
      <c r="G100" s="112" t="s">
        <v>264</v>
      </c>
      <c r="H100" s="112" t="s">
        <v>6</v>
      </c>
      <c r="I100" s="113">
        <f t="shared" si="1"/>
        <v>102.86166666666666</v>
      </c>
      <c r="J100" s="114">
        <v>1234.3399999999999</v>
      </c>
      <c r="K100" s="110">
        <v>45721</v>
      </c>
      <c r="L100" s="112" t="s">
        <v>1671</v>
      </c>
      <c r="M100" s="112" t="s">
        <v>74</v>
      </c>
      <c r="N100" s="112" t="s">
        <v>74</v>
      </c>
      <c r="O100" s="115"/>
    </row>
    <row r="101" spans="1:15" x14ac:dyDescent="0.35">
      <c r="A101" s="116">
        <v>45356</v>
      </c>
      <c r="B101" s="117" t="s">
        <v>242</v>
      </c>
      <c r="C101" s="111" t="s">
        <v>1669</v>
      </c>
      <c r="D101" s="117" t="s">
        <v>52</v>
      </c>
      <c r="E101" s="118" t="s">
        <v>155</v>
      </c>
      <c r="F101" s="118"/>
      <c r="G101" s="118" t="s">
        <v>267</v>
      </c>
      <c r="H101" s="118" t="s">
        <v>399</v>
      </c>
      <c r="I101" s="113">
        <f t="shared" si="1"/>
        <v>164.33333333333334</v>
      </c>
      <c r="J101" s="120">
        <v>1972</v>
      </c>
      <c r="K101" s="116">
        <v>45721</v>
      </c>
      <c r="L101" s="118" t="s">
        <v>1672</v>
      </c>
      <c r="M101" s="118"/>
      <c r="N101" s="118"/>
      <c r="O101" s="121" t="s">
        <v>1673</v>
      </c>
    </row>
    <row r="102" spans="1:15" x14ac:dyDescent="0.35">
      <c r="A102" s="110">
        <v>45356</v>
      </c>
      <c r="B102" s="111" t="s">
        <v>242</v>
      </c>
      <c r="C102" s="111" t="s">
        <v>1669</v>
      </c>
      <c r="D102" s="111" t="s">
        <v>52</v>
      </c>
      <c r="E102" s="112" t="s">
        <v>155</v>
      </c>
      <c r="F102" s="112"/>
      <c r="G102" s="112" t="s">
        <v>269</v>
      </c>
      <c r="H102" s="112" t="s">
        <v>399</v>
      </c>
      <c r="I102" s="113">
        <f t="shared" si="1"/>
        <v>130.75</v>
      </c>
      <c r="J102" s="114">
        <v>1569</v>
      </c>
      <c r="K102" s="110">
        <v>45721</v>
      </c>
      <c r="L102" s="112" t="s">
        <v>1671</v>
      </c>
      <c r="M102" s="112" t="s">
        <v>74</v>
      </c>
      <c r="N102" s="112" t="s">
        <v>74</v>
      </c>
      <c r="O102" s="115"/>
    </row>
    <row r="103" spans="1:15" x14ac:dyDescent="0.35">
      <c r="A103" s="116">
        <v>45356</v>
      </c>
      <c r="B103" s="117" t="s">
        <v>242</v>
      </c>
      <c r="C103" s="111" t="s">
        <v>1669</v>
      </c>
      <c r="D103" s="117" t="s">
        <v>52</v>
      </c>
      <c r="E103" s="118" t="s">
        <v>78</v>
      </c>
      <c r="F103" s="118">
        <v>28478</v>
      </c>
      <c r="G103" s="118" t="s">
        <v>266</v>
      </c>
      <c r="H103" s="118" t="s">
        <v>2</v>
      </c>
      <c r="I103" s="113">
        <f t="shared" si="1"/>
        <v>118.70166666666667</v>
      </c>
      <c r="J103" s="120">
        <v>1424.42</v>
      </c>
      <c r="K103" s="116">
        <v>45721</v>
      </c>
      <c r="L103" s="118" t="s">
        <v>1672</v>
      </c>
      <c r="M103" s="118"/>
      <c r="N103" s="118"/>
      <c r="O103" s="121" t="s">
        <v>1673</v>
      </c>
    </row>
    <row r="104" spans="1:15" x14ac:dyDescent="0.35">
      <c r="A104" s="110">
        <v>45356</v>
      </c>
      <c r="B104" s="111" t="s">
        <v>242</v>
      </c>
      <c r="C104" s="111" t="s">
        <v>1669</v>
      </c>
      <c r="D104" s="111" t="s">
        <v>52</v>
      </c>
      <c r="E104" s="112" t="s">
        <v>90</v>
      </c>
      <c r="F104" s="112">
        <v>4186833</v>
      </c>
      <c r="G104" s="112" t="s">
        <v>270</v>
      </c>
      <c r="H104" s="112" t="s">
        <v>6</v>
      </c>
      <c r="I104" s="113">
        <f t="shared" si="1"/>
        <v>93.945833333333326</v>
      </c>
      <c r="J104" s="114">
        <v>1127.3499999999999</v>
      </c>
      <c r="K104" s="110">
        <v>45721</v>
      </c>
      <c r="L104" s="112" t="s">
        <v>1671</v>
      </c>
      <c r="M104" s="112" t="s">
        <v>74</v>
      </c>
      <c r="N104" s="112" t="s">
        <v>74</v>
      </c>
      <c r="O104" s="115"/>
    </row>
    <row r="105" spans="1:15" x14ac:dyDescent="0.35">
      <c r="A105" s="116">
        <v>45356</v>
      </c>
      <c r="B105" s="117" t="s">
        <v>242</v>
      </c>
      <c r="C105" s="111" t="s">
        <v>1669</v>
      </c>
      <c r="D105" s="117" t="s">
        <v>66</v>
      </c>
      <c r="E105" s="118" t="s">
        <v>240</v>
      </c>
      <c r="F105" s="118" t="s">
        <v>271</v>
      </c>
      <c r="G105" s="118" t="s">
        <v>272</v>
      </c>
      <c r="H105" s="118" t="s">
        <v>3</v>
      </c>
      <c r="I105" s="113">
        <f t="shared" si="1"/>
        <v>214.89179104477614</v>
      </c>
      <c r="J105" s="120">
        <f>+(221.41*12)/1.005-65</f>
        <v>2578.7014925373137</v>
      </c>
      <c r="K105" s="116">
        <v>45721</v>
      </c>
      <c r="L105" s="118" t="s">
        <v>1671</v>
      </c>
      <c r="M105" s="112" t="s">
        <v>74</v>
      </c>
      <c r="N105" s="112" t="s">
        <v>74</v>
      </c>
      <c r="O105" s="121"/>
    </row>
    <row r="106" spans="1:15" x14ac:dyDescent="0.35">
      <c r="A106" s="110">
        <v>45357</v>
      </c>
      <c r="B106" s="111" t="s">
        <v>242</v>
      </c>
      <c r="C106" s="111" t="s">
        <v>1669</v>
      </c>
      <c r="D106" s="111" t="s">
        <v>66</v>
      </c>
      <c r="E106" s="112" t="s">
        <v>275</v>
      </c>
      <c r="F106" s="112"/>
      <c r="G106" s="112" t="s">
        <v>276</v>
      </c>
      <c r="H106" s="112" t="s">
        <v>6</v>
      </c>
      <c r="I106" s="113">
        <f t="shared" si="1"/>
        <v>105.75</v>
      </c>
      <c r="J106" s="114">
        <f>105.75*12</f>
        <v>1269</v>
      </c>
      <c r="K106" s="110">
        <v>45722</v>
      </c>
      <c r="L106" s="112" t="s">
        <v>1671</v>
      </c>
      <c r="M106" s="112" t="s">
        <v>74</v>
      </c>
      <c r="N106" s="112" t="s">
        <v>74</v>
      </c>
      <c r="O106" s="115"/>
    </row>
    <row r="107" spans="1:15" x14ac:dyDescent="0.35">
      <c r="A107" s="116">
        <v>45358</v>
      </c>
      <c r="B107" s="117" t="s">
        <v>242</v>
      </c>
      <c r="C107" s="111" t="s">
        <v>1669</v>
      </c>
      <c r="D107" s="117" t="s">
        <v>52</v>
      </c>
      <c r="E107" s="118" t="s">
        <v>60</v>
      </c>
      <c r="F107" s="118">
        <v>43528</v>
      </c>
      <c r="G107" s="118" t="s">
        <v>278</v>
      </c>
      <c r="H107" s="118" t="s">
        <v>148</v>
      </c>
      <c r="I107" s="113">
        <f t="shared" si="1"/>
        <v>117.60916666666667</v>
      </c>
      <c r="J107" s="120">
        <v>1411.31</v>
      </c>
      <c r="K107" s="116">
        <v>45723</v>
      </c>
      <c r="L107" s="118" t="s">
        <v>1672</v>
      </c>
      <c r="M107" s="118"/>
      <c r="N107" s="118"/>
      <c r="O107" s="121" t="s">
        <v>1673</v>
      </c>
    </row>
    <row r="108" spans="1:15" x14ac:dyDescent="0.35">
      <c r="A108" s="110">
        <v>45358</v>
      </c>
      <c r="B108" s="111" t="s">
        <v>242</v>
      </c>
      <c r="C108" s="111" t="s">
        <v>1669</v>
      </c>
      <c r="D108" s="111" t="s">
        <v>66</v>
      </c>
      <c r="E108" s="112" t="s">
        <v>11</v>
      </c>
      <c r="F108" s="112"/>
      <c r="G108" s="112" t="s">
        <v>280</v>
      </c>
      <c r="H108" s="112" t="s">
        <v>2</v>
      </c>
      <c r="I108" s="113">
        <f t="shared" si="1"/>
        <v>95.91295857162784</v>
      </c>
      <c r="J108" s="114">
        <f>103.14*12/(1.005)/1.07</f>
        <v>1150.9555028595341</v>
      </c>
      <c r="K108" s="110">
        <v>45723</v>
      </c>
      <c r="L108" s="112" t="s">
        <v>1672</v>
      </c>
      <c r="M108" s="112"/>
      <c r="N108" s="112"/>
      <c r="O108" s="115" t="s">
        <v>1673</v>
      </c>
    </row>
    <row r="109" spans="1:15" x14ac:dyDescent="0.35">
      <c r="A109" s="116">
        <v>45358</v>
      </c>
      <c r="B109" s="117" t="s">
        <v>242</v>
      </c>
      <c r="C109" s="111" t="s">
        <v>1669</v>
      </c>
      <c r="D109" s="117" t="s">
        <v>66</v>
      </c>
      <c r="E109" s="118" t="s">
        <v>175</v>
      </c>
      <c r="F109" s="118" t="s">
        <v>282</v>
      </c>
      <c r="G109" s="118" t="s">
        <v>283</v>
      </c>
      <c r="H109" s="118" t="s">
        <v>3</v>
      </c>
      <c r="I109" s="113">
        <f t="shared" si="1"/>
        <v>46.842039800995032</v>
      </c>
      <c r="J109" s="120">
        <f>+(52.52*12)/1.005-65</f>
        <v>562.10447761194041</v>
      </c>
      <c r="K109" s="116">
        <v>45723</v>
      </c>
      <c r="L109" s="118" t="s">
        <v>1671</v>
      </c>
      <c r="M109" s="112" t="s">
        <v>74</v>
      </c>
      <c r="N109" s="112" t="s">
        <v>74</v>
      </c>
      <c r="O109" s="121"/>
    </row>
    <row r="110" spans="1:15" x14ac:dyDescent="0.35">
      <c r="A110" s="110">
        <v>45359</v>
      </c>
      <c r="B110" s="111" t="s">
        <v>242</v>
      </c>
      <c r="C110" s="111" t="s">
        <v>1669</v>
      </c>
      <c r="D110" s="111" t="s">
        <v>52</v>
      </c>
      <c r="E110" s="112" t="s">
        <v>78</v>
      </c>
      <c r="F110" s="112">
        <v>19232</v>
      </c>
      <c r="G110" s="112" t="s">
        <v>266</v>
      </c>
      <c r="H110" s="112" t="s">
        <v>2</v>
      </c>
      <c r="I110" s="113">
        <f t="shared" si="1"/>
        <v>60.294999999999995</v>
      </c>
      <c r="J110" s="114">
        <v>723.54</v>
      </c>
      <c r="K110" s="110">
        <v>45724</v>
      </c>
      <c r="L110" s="112" t="s">
        <v>1671</v>
      </c>
      <c r="M110" s="112" t="s">
        <v>74</v>
      </c>
      <c r="N110" s="112" t="s">
        <v>74</v>
      </c>
      <c r="O110" s="115"/>
    </row>
    <row r="111" spans="1:15" x14ac:dyDescent="0.35">
      <c r="A111" s="116">
        <v>45359</v>
      </c>
      <c r="B111" s="117" t="s">
        <v>242</v>
      </c>
      <c r="C111" s="111" t="s">
        <v>1669</v>
      </c>
      <c r="D111" s="117" t="s">
        <v>52</v>
      </c>
      <c r="E111" s="118" t="s">
        <v>118</v>
      </c>
      <c r="F111" s="118">
        <v>4187018</v>
      </c>
      <c r="G111" s="118" t="s">
        <v>284</v>
      </c>
      <c r="H111" s="118" t="s">
        <v>6</v>
      </c>
      <c r="I111" s="113">
        <f t="shared" si="1"/>
        <v>83.707499999999996</v>
      </c>
      <c r="J111" s="120">
        <v>1004.49</v>
      </c>
      <c r="K111" s="116">
        <v>45724</v>
      </c>
      <c r="L111" s="118" t="s">
        <v>1672</v>
      </c>
      <c r="M111" s="118"/>
      <c r="N111" s="118"/>
      <c r="O111" s="121" t="s">
        <v>1673</v>
      </c>
    </row>
    <row r="112" spans="1:15" x14ac:dyDescent="0.35">
      <c r="A112" s="110">
        <v>45359</v>
      </c>
      <c r="B112" s="111" t="s">
        <v>242</v>
      </c>
      <c r="C112" s="111" t="s">
        <v>1669</v>
      </c>
      <c r="D112" s="111" t="s">
        <v>66</v>
      </c>
      <c r="E112" s="112" t="s">
        <v>158</v>
      </c>
      <c r="F112" s="112">
        <v>4187063</v>
      </c>
      <c r="G112" s="112" t="s">
        <v>285</v>
      </c>
      <c r="H112" s="112" t="s">
        <v>6</v>
      </c>
      <c r="I112" s="113">
        <f t="shared" si="1"/>
        <v>16.27</v>
      </c>
      <c r="J112" s="114">
        <f>16.27*12</f>
        <v>195.24</v>
      </c>
      <c r="K112" s="110">
        <v>45724</v>
      </c>
      <c r="L112" s="112" t="s">
        <v>1672</v>
      </c>
      <c r="M112" s="112"/>
      <c r="N112" s="112"/>
      <c r="O112" s="115" t="s">
        <v>1673</v>
      </c>
    </row>
    <row r="113" spans="1:15" x14ac:dyDescent="0.35">
      <c r="A113" s="116">
        <v>45359</v>
      </c>
      <c r="B113" s="117" t="s">
        <v>242</v>
      </c>
      <c r="C113" s="111" t="s">
        <v>1669</v>
      </c>
      <c r="D113" s="117" t="s">
        <v>66</v>
      </c>
      <c r="E113" s="118" t="s">
        <v>158</v>
      </c>
      <c r="F113" s="118">
        <v>4187056</v>
      </c>
      <c r="G113" s="118" t="s">
        <v>160</v>
      </c>
      <c r="H113" s="118" t="s">
        <v>6</v>
      </c>
      <c r="I113" s="113">
        <f t="shared" si="1"/>
        <v>27.2</v>
      </c>
      <c r="J113" s="120">
        <f>27.2*12</f>
        <v>326.39999999999998</v>
      </c>
      <c r="K113" s="116">
        <v>45724</v>
      </c>
      <c r="L113" s="118" t="s">
        <v>1672</v>
      </c>
      <c r="M113" s="118"/>
      <c r="N113" s="118"/>
      <c r="O113" s="121" t="s">
        <v>1673</v>
      </c>
    </row>
    <row r="114" spans="1:15" x14ac:dyDescent="0.35">
      <c r="A114" s="110">
        <v>45362</v>
      </c>
      <c r="B114" s="111" t="s">
        <v>242</v>
      </c>
      <c r="C114" s="111" t="s">
        <v>1669</v>
      </c>
      <c r="D114" s="111" t="s">
        <v>66</v>
      </c>
      <c r="E114" s="112" t="s">
        <v>18</v>
      </c>
      <c r="F114" s="112"/>
      <c r="G114" s="112" t="s">
        <v>287</v>
      </c>
      <c r="H114" s="112" t="s">
        <v>5</v>
      </c>
      <c r="I114" s="113">
        <f t="shared" si="1"/>
        <v>377.52238805970154</v>
      </c>
      <c r="J114" s="114">
        <f>379.41*12/(1.005)</f>
        <v>4530.2686567164183</v>
      </c>
      <c r="K114" s="110">
        <v>45727</v>
      </c>
      <c r="L114" s="112" t="s">
        <v>1671</v>
      </c>
      <c r="M114" s="112" t="s">
        <v>74</v>
      </c>
      <c r="N114" s="112" t="s">
        <v>74</v>
      </c>
      <c r="O114" s="115"/>
    </row>
    <row r="115" spans="1:15" x14ac:dyDescent="0.35">
      <c r="A115" s="116">
        <v>45363</v>
      </c>
      <c r="B115" s="117" t="s">
        <v>242</v>
      </c>
      <c r="C115" s="111" t="s">
        <v>1669</v>
      </c>
      <c r="D115" s="117" t="s">
        <v>52</v>
      </c>
      <c r="E115" s="118" t="s">
        <v>155</v>
      </c>
      <c r="F115" s="118">
        <v>4187143</v>
      </c>
      <c r="G115" s="118" t="s">
        <v>288</v>
      </c>
      <c r="H115" s="118" t="s">
        <v>6</v>
      </c>
      <c r="I115" s="113">
        <f t="shared" si="1"/>
        <v>69.588333333333324</v>
      </c>
      <c r="J115" s="120">
        <v>835.06</v>
      </c>
      <c r="K115" s="116">
        <v>45728</v>
      </c>
      <c r="L115" s="118" t="s">
        <v>1671</v>
      </c>
      <c r="M115" s="112" t="s">
        <v>74</v>
      </c>
      <c r="N115" s="112" t="s">
        <v>74</v>
      </c>
      <c r="O115" s="121"/>
    </row>
    <row r="116" spans="1:15" x14ac:dyDescent="0.35">
      <c r="A116" s="110">
        <v>45363</v>
      </c>
      <c r="B116" s="111" t="s">
        <v>242</v>
      </c>
      <c r="C116" s="111" t="s">
        <v>1669</v>
      </c>
      <c r="D116" s="111" t="s">
        <v>52</v>
      </c>
      <c r="E116" s="112" t="s">
        <v>155</v>
      </c>
      <c r="F116" s="112">
        <v>467098</v>
      </c>
      <c r="G116" s="112" t="s">
        <v>290</v>
      </c>
      <c r="H116" s="112" t="s">
        <v>6</v>
      </c>
      <c r="I116" s="113">
        <f t="shared" si="1"/>
        <v>136.26750000000001</v>
      </c>
      <c r="J116" s="114">
        <v>1635.21</v>
      </c>
      <c r="K116" s="110">
        <v>45728</v>
      </c>
      <c r="L116" s="112" t="s">
        <v>1671</v>
      </c>
      <c r="M116" s="112" t="s">
        <v>74</v>
      </c>
      <c r="N116" s="112" t="s">
        <v>74</v>
      </c>
      <c r="O116" s="115"/>
    </row>
    <row r="117" spans="1:15" x14ac:dyDescent="0.35">
      <c r="A117" s="116">
        <v>45363</v>
      </c>
      <c r="B117" s="117" t="s">
        <v>242</v>
      </c>
      <c r="C117" s="111" t="s">
        <v>1669</v>
      </c>
      <c r="D117" s="117" t="s">
        <v>52</v>
      </c>
      <c r="E117" s="118" t="s">
        <v>155</v>
      </c>
      <c r="F117" s="118">
        <v>4187149</v>
      </c>
      <c r="G117" s="118" t="s">
        <v>291</v>
      </c>
      <c r="H117" s="118" t="s">
        <v>6</v>
      </c>
      <c r="I117" s="113">
        <f t="shared" si="1"/>
        <v>83.647499999999994</v>
      </c>
      <c r="J117" s="120">
        <v>1003.77</v>
      </c>
      <c r="K117" s="116">
        <v>45728</v>
      </c>
      <c r="L117" s="118" t="s">
        <v>1671</v>
      </c>
      <c r="M117" s="112" t="s">
        <v>74</v>
      </c>
      <c r="N117" s="112" t="s">
        <v>74</v>
      </c>
      <c r="O117" s="121"/>
    </row>
    <row r="118" spans="1:15" x14ac:dyDescent="0.35">
      <c r="A118" s="110">
        <v>45363</v>
      </c>
      <c r="B118" s="111" t="s">
        <v>242</v>
      </c>
      <c r="C118" s="111" t="s">
        <v>1669</v>
      </c>
      <c r="D118" s="111" t="s">
        <v>66</v>
      </c>
      <c r="E118" s="112" t="s">
        <v>218</v>
      </c>
      <c r="F118" s="112"/>
      <c r="G118" s="112" t="s">
        <v>293</v>
      </c>
      <c r="H118" s="112" t="s">
        <v>5</v>
      </c>
      <c r="I118" s="113">
        <f t="shared" si="1"/>
        <v>204.00000000000003</v>
      </c>
      <c r="J118" s="114">
        <f>205.02*12/(1.005)</f>
        <v>2448.0000000000005</v>
      </c>
      <c r="K118" s="110">
        <v>45728</v>
      </c>
      <c r="L118" s="112" t="s">
        <v>1671</v>
      </c>
      <c r="M118" s="112" t="s">
        <v>74</v>
      </c>
      <c r="N118" s="112" t="s">
        <v>74</v>
      </c>
      <c r="O118" s="115"/>
    </row>
    <row r="119" spans="1:15" x14ac:dyDescent="0.35">
      <c r="A119" s="116">
        <v>45363</v>
      </c>
      <c r="B119" s="117" t="s">
        <v>242</v>
      </c>
      <c r="C119" s="111" t="s">
        <v>1669</v>
      </c>
      <c r="D119" s="117" t="s">
        <v>66</v>
      </c>
      <c r="E119" s="118" t="s">
        <v>18</v>
      </c>
      <c r="F119" s="118">
        <v>4187199</v>
      </c>
      <c r="G119" s="118" t="s">
        <v>292</v>
      </c>
      <c r="H119" s="118" t="s">
        <v>6</v>
      </c>
      <c r="I119" s="113">
        <f t="shared" si="1"/>
        <v>272.39</v>
      </c>
      <c r="J119" s="120">
        <f>272.39*12</f>
        <v>3268.68</v>
      </c>
      <c r="K119" s="116">
        <v>45728</v>
      </c>
      <c r="L119" s="118" t="s">
        <v>1671</v>
      </c>
      <c r="M119" s="112" t="s">
        <v>74</v>
      </c>
      <c r="N119" s="112" t="s">
        <v>74</v>
      </c>
      <c r="O119" s="121"/>
    </row>
    <row r="120" spans="1:15" x14ac:dyDescent="0.35">
      <c r="A120" s="110">
        <v>45364</v>
      </c>
      <c r="B120" s="111" t="s">
        <v>242</v>
      </c>
      <c r="C120" s="111" t="s">
        <v>1669</v>
      </c>
      <c r="D120" s="111" t="s">
        <v>52</v>
      </c>
      <c r="E120" s="112" t="s">
        <v>155</v>
      </c>
      <c r="F120" s="112"/>
      <c r="G120" s="112" t="s">
        <v>296</v>
      </c>
      <c r="H120" s="112" t="s">
        <v>55</v>
      </c>
      <c r="I120" s="113">
        <f t="shared" si="1"/>
        <v>183.05999999999997</v>
      </c>
      <c r="J120" s="114">
        <v>2196.7199999999998</v>
      </c>
      <c r="K120" s="110">
        <v>45729</v>
      </c>
      <c r="L120" s="112" t="s">
        <v>1671</v>
      </c>
      <c r="M120" s="112" t="s">
        <v>74</v>
      </c>
      <c r="N120" s="112" t="s">
        <v>74</v>
      </c>
      <c r="O120" s="115"/>
    </row>
    <row r="121" spans="1:15" x14ac:dyDescent="0.35">
      <c r="A121" s="116">
        <v>45364</v>
      </c>
      <c r="B121" s="117" t="s">
        <v>242</v>
      </c>
      <c r="C121" s="111" t="s">
        <v>1669</v>
      </c>
      <c r="D121" s="117" t="s">
        <v>52</v>
      </c>
      <c r="E121" s="118" t="s">
        <v>155</v>
      </c>
      <c r="F121" s="118">
        <v>4187221</v>
      </c>
      <c r="G121" s="118" t="s">
        <v>297</v>
      </c>
      <c r="H121" s="118" t="s">
        <v>6</v>
      </c>
      <c r="I121" s="113">
        <f t="shared" si="1"/>
        <v>176.27250000000001</v>
      </c>
      <c r="J121" s="120">
        <v>2115.27</v>
      </c>
      <c r="K121" s="116">
        <v>45729</v>
      </c>
      <c r="L121" s="118" t="s">
        <v>1671</v>
      </c>
      <c r="M121" s="112" t="s">
        <v>74</v>
      </c>
      <c r="N121" s="112" t="s">
        <v>74</v>
      </c>
      <c r="O121" s="121"/>
    </row>
    <row r="122" spans="1:15" x14ac:dyDescent="0.35">
      <c r="A122" s="110">
        <v>45365</v>
      </c>
      <c r="B122" s="111" t="s">
        <v>242</v>
      </c>
      <c r="C122" s="111" t="s">
        <v>1669</v>
      </c>
      <c r="D122" s="111" t="s">
        <v>52</v>
      </c>
      <c r="E122" s="112" t="s">
        <v>155</v>
      </c>
      <c r="F122" s="112">
        <v>4187260</v>
      </c>
      <c r="G122" s="112" t="s">
        <v>298</v>
      </c>
      <c r="H122" s="112" t="s">
        <v>6</v>
      </c>
      <c r="I122" s="113">
        <f t="shared" si="1"/>
        <v>83.618333333333325</v>
      </c>
      <c r="J122" s="114">
        <v>1003.42</v>
      </c>
      <c r="K122" s="110">
        <v>45730</v>
      </c>
      <c r="L122" s="112" t="s">
        <v>1672</v>
      </c>
      <c r="M122" s="112"/>
      <c r="N122" s="112"/>
      <c r="O122" s="115" t="s">
        <v>1673</v>
      </c>
    </row>
    <row r="123" spans="1:15" x14ac:dyDescent="0.35">
      <c r="A123" s="116">
        <v>45365</v>
      </c>
      <c r="B123" s="117" t="s">
        <v>242</v>
      </c>
      <c r="C123" s="111" t="s">
        <v>1669</v>
      </c>
      <c r="D123" s="117" t="s">
        <v>52</v>
      </c>
      <c r="E123" s="118" t="s">
        <v>98</v>
      </c>
      <c r="F123" s="118">
        <v>4187225</v>
      </c>
      <c r="G123" s="118" t="s">
        <v>299</v>
      </c>
      <c r="H123" s="118" t="s">
        <v>6</v>
      </c>
      <c r="I123" s="113">
        <f t="shared" si="1"/>
        <v>182.56083333333333</v>
      </c>
      <c r="J123" s="120">
        <v>2190.73</v>
      </c>
      <c r="K123" s="116">
        <v>45730</v>
      </c>
      <c r="L123" s="118" t="s">
        <v>1672</v>
      </c>
      <c r="M123" s="118"/>
      <c r="N123" s="118"/>
      <c r="O123" s="121" t="s">
        <v>1673</v>
      </c>
    </row>
    <row r="124" spans="1:15" x14ac:dyDescent="0.35">
      <c r="A124" s="110">
        <v>45365</v>
      </c>
      <c r="B124" s="111" t="s">
        <v>242</v>
      </c>
      <c r="C124" s="111" t="s">
        <v>1669</v>
      </c>
      <c r="D124" s="111" t="s">
        <v>52</v>
      </c>
      <c r="E124" s="112" t="s">
        <v>98</v>
      </c>
      <c r="F124" s="112">
        <v>4187262</v>
      </c>
      <c r="G124" s="112" t="s">
        <v>300</v>
      </c>
      <c r="H124" s="112" t="s">
        <v>6</v>
      </c>
      <c r="I124" s="113">
        <f t="shared" si="1"/>
        <v>25.340833333333332</v>
      </c>
      <c r="J124" s="114">
        <v>304.08999999999997</v>
      </c>
      <c r="K124" s="110">
        <v>45730</v>
      </c>
      <c r="L124" s="112" t="s">
        <v>1672</v>
      </c>
      <c r="M124" s="112"/>
      <c r="N124" s="112"/>
      <c r="O124" s="115" t="s">
        <v>1676</v>
      </c>
    </row>
    <row r="125" spans="1:15" x14ac:dyDescent="0.35">
      <c r="A125" s="116">
        <v>45366</v>
      </c>
      <c r="B125" s="117" t="s">
        <v>242</v>
      </c>
      <c r="C125" s="111" t="s">
        <v>1669</v>
      </c>
      <c r="D125" s="117" t="s">
        <v>52</v>
      </c>
      <c r="E125" s="118" t="s">
        <v>129</v>
      </c>
      <c r="F125" s="118">
        <v>4187365</v>
      </c>
      <c r="G125" s="118" t="s">
        <v>302</v>
      </c>
      <c r="H125" s="118" t="s">
        <v>6</v>
      </c>
      <c r="I125" s="113">
        <f t="shared" si="1"/>
        <v>123.4375</v>
      </c>
      <c r="J125" s="120">
        <v>1481.25</v>
      </c>
      <c r="K125" s="116">
        <v>45731</v>
      </c>
      <c r="L125" s="118" t="s">
        <v>1671</v>
      </c>
      <c r="M125" s="112" t="s">
        <v>74</v>
      </c>
      <c r="N125" s="112" t="s">
        <v>74</v>
      </c>
      <c r="O125" s="121"/>
    </row>
    <row r="126" spans="1:15" x14ac:dyDescent="0.35">
      <c r="A126" s="110">
        <v>45366</v>
      </c>
      <c r="B126" s="111" t="s">
        <v>242</v>
      </c>
      <c r="C126" s="111" t="s">
        <v>1669</v>
      </c>
      <c r="D126" s="111" t="s">
        <v>52</v>
      </c>
      <c r="E126" s="112" t="s">
        <v>78</v>
      </c>
      <c r="F126" s="112">
        <v>4187367</v>
      </c>
      <c r="G126" s="112" t="s">
        <v>304</v>
      </c>
      <c r="H126" s="112" t="s">
        <v>6</v>
      </c>
      <c r="I126" s="113">
        <f t="shared" si="1"/>
        <v>121.13916666666667</v>
      </c>
      <c r="J126" s="114">
        <v>1453.67</v>
      </c>
      <c r="K126" s="116">
        <v>45731</v>
      </c>
      <c r="L126" s="112" t="s">
        <v>1672</v>
      </c>
      <c r="M126" s="112"/>
      <c r="N126" s="112"/>
      <c r="O126" s="115" t="s">
        <v>1673</v>
      </c>
    </row>
    <row r="127" spans="1:15" x14ac:dyDescent="0.35">
      <c r="A127" s="116">
        <v>45366</v>
      </c>
      <c r="B127" s="117" t="s">
        <v>242</v>
      </c>
      <c r="C127" s="111" t="s">
        <v>1669</v>
      </c>
      <c r="D127" s="117" t="s">
        <v>52</v>
      </c>
      <c r="E127" s="118" t="s">
        <v>78</v>
      </c>
      <c r="F127" s="118"/>
      <c r="G127" s="118" t="s">
        <v>306</v>
      </c>
      <c r="H127" s="118" t="s">
        <v>307</v>
      </c>
      <c r="I127" s="113">
        <f t="shared" si="1"/>
        <v>59.500833333333333</v>
      </c>
      <c r="J127" s="120">
        <v>714.01</v>
      </c>
      <c r="K127" s="116">
        <v>45731</v>
      </c>
      <c r="L127" s="118" t="s">
        <v>1671</v>
      </c>
      <c r="M127" s="112" t="s">
        <v>74</v>
      </c>
      <c r="N127" s="112" t="s">
        <v>74</v>
      </c>
      <c r="O127" s="121"/>
    </row>
    <row r="128" spans="1:15" x14ac:dyDescent="0.35">
      <c r="A128" s="110">
        <v>45366</v>
      </c>
      <c r="B128" s="111" t="s">
        <v>242</v>
      </c>
      <c r="C128" s="111" t="s">
        <v>1669</v>
      </c>
      <c r="D128" s="111" t="s">
        <v>52</v>
      </c>
      <c r="E128" s="112" t="s">
        <v>118</v>
      </c>
      <c r="F128" s="112">
        <v>4187355</v>
      </c>
      <c r="G128" s="112" t="s">
        <v>301</v>
      </c>
      <c r="H128" s="112" t="s">
        <v>6</v>
      </c>
      <c r="I128" s="113">
        <f t="shared" si="1"/>
        <v>75.339166666666671</v>
      </c>
      <c r="J128" s="114">
        <v>904.07</v>
      </c>
      <c r="K128" s="116">
        <v>45731</v>
      </c>
      <c r="L128" s="112" t="s">
        <v>1672</v>
      </c>
      <c r="M128" s="112"/>
      <c r="N128" s="112"/>
      <c r="O128" s="115" t="s">
        <v>1676</v>
      </c>
    </row>
    <row r="129" spans="1:15" x14ac:dyDescent="0.35">
      <c r="A129" s="116">
        <v>45369</v>
      </c>
      <c r="B129" s="117" t="s">
        <v>242</v>
      </c>
      <c r="C129" s="111" t="s">
        <v>1669</v>
      </c>
      <c r="D129" s="117" t="s">
        <v>52</v>
      </c>
      <c r="E129" s="118" t="s">
        <v>155</v>
      </c>
      <c r="F129" s="118">
        <v>4187373</v>
      </c>
      <c r="G129" s="118" t="s">
        <v>309</v>
      </c>
      <c r="H129" s="118" t="s">
        <v>6</v>
      </c>
      <c r="I129" s="113">
        <f t="shared" si="1"/>
        <v>263.03666666666669</v>
      </c>
      <c r="J129" s="120">
        <v>3156.44</v>
      </c>
      <c r="K129" s="116">
        <v>45734</v>
      </c>
      <c r="L129" s="118" t="s">
        <v>1671</v>
      </c>
      <c r="M129" s="112" t="s">
        <v>74</v>
      </c>
      <c r="N129" s="112" t="s">
        <v>74</v>
      </c>
      <c r="O129" s="121"/>
    </row>
    <row r="130" spans="1:15" x14ac:dyDescent="0.35">
      <c r="A130" s="110">
        <v>45369</v>
      </c>
      <c r="B130" s="111" t="s">
        <v>242</v>
      </c>
      <c r="C130" s="111" t="s">
        <v>1669</v>
      </c>
      <c r="D130" s="111" t="s">
        <v>52</v>
      </c>
      <c r="E130" s="112" t="s">
        <v>129</v>
      </c>
      <c r="F130" s="112">
        <v>4187453</v>
      </c>
      <c r="G130" s="112" t="s">
        <v>311</v>
      </c>
      <c r="H130" s="112" t="s">
        <v>6</v>
      </c>
      <c r="I130" s="113">
        <f t="shared" si="1"/>
        <v>145.71583333333334</v>
      </c>
      <c r="J130" s="114">
        <v>1748.59</v>
      </c>
      <c r="K130" s="116">
        <v>45734</v>
      </c>
      <c r="L130" s="112" t="s">
        <v>1672</v>
      </c>
      <c r="M130" s="112"/>
      <c r="N130" s="112"/>
      <c r="O130" s="115" t="s">
        <v>1676</v>
      </c>
    </row>
    <row r="131" spans="1:15" x14ac:dyDescent="0.35">
      <c r="A131" s="116">
        <v>45369</v>
      </c>
      <c r="B131" s="117" t="s">
        <v>242</v>
      </c>
      <c r="C131" s="111" t="s">
        <v>1669</v>
      </c>
      <c r="D131" s="117" t="s">
        <v>52</v>
      </c>
      <c r="E131" s="118" t="s">
        <v>98</v>
      </c>
      <c r="F131" s="118">
        <v>4187419</v>
      </c>
      <c r="G131" s="118" t="s">
        <v>312</v>
      </c>
      <c r="H131" s="118" t="s">
        <v>6</v>
      </c>
      <c r="I131" s="113">
        <f t="shared" si="1"/>
        <v>117.75666666666666</v>
      </c>
      <c r="J131" s="120">
        <v>1413.08</v>
      </c>
      <c r="K131" s="116">
        <v>45734</v>
      </c>
      <c r="L131" s="118" t="s">
        <v>1672</v>
      </c>
      <c r="M131" s="118"/>
      <c r="N131" s="118"/>
      <c r="O131" s="121" t="s">
        <v>1676</v>
      </c>
    </row>
    <row r="132" spans="1:15" x14ac:dyDescent="0.35">
      <c r="A132" s="110">
        <v>45369</v>
      </c>
      <c r="B132" s="111" t="s">
        <v>242</v>
      </c>
      <c r="C132" s="111" t="s">
        <v>1669</v>
      </c>
      <c r="D132" s="111" t="s">
        <v>52</v>
      </c>
      <c r="E132" s="112" t="s">
        <v>118</v>
      </c>
      <c r="F132" s="112">
        <v>4187444</v>
      </c>
      <c r="G132" s="112" t="s">
        <v>310</v>
      </c>
      <c r="H132" s="112" t="s">
        <v>6</v>
      </c>
      <c r="I132" s="113">
        <f t="shared" si="1"/>
        <v>123.4375</v>
      </c>
      <c r="J132" s="114">
        <v>1481.25</v>
      </c>
      <c r="K132" s="116">
        <v>45734</v>
      </c>
      <c r="L132" s="112" t="s">
        <v>1672</v>
      </c>
      <c r="M132" s="112"/>
      <c r="N132" s="112"/>
      <c r="O132" s="115" t="s">
        <v>1676</v>
      </c>
    </row>
    <row r="133" spans="1:15" x14ac:dyDescent="0.35">
      <c r="A133" s="116">
        <v>45369</v>
      </c>
      <c r="B133" s="117" t="s">
        <v>242</v>
      </c>
      <c r="C133" s="111" t="s">
        <v>1669</v>
      </c>
      <c r="D133" s="117" t="s">
        <v>66</v>
      </c>
      <c r="E133" s="118" t="s">
        <v>15</v>
      </c>
      <c r="F133" s="118">
        <v>4187507</v>
      </c>
      <c r="G133" s="118" t="s">
        <v>315</v>
      </c>
      <c r="H133" s="118" t="s">
        <v>6</v>
      </c>
      <c r="I133" s="113">
        <f t="shared" ref="I133:I196" si="2">J133/12</f>
        <v>501.85000000000008</v>
      </c>
      <c r="J133" s="120">
        <f>501.85*12</f>
        <v>6022.2000000000007</v>
      </c>
      <c r="K133" s="116">
        <v>45734</v>
      </c>
      <c r="L133" s="118" t="s">
        <v>1671</v>
      </c>
      <c r="M133" s="112" t="s">
        <v>74</v>
      </c>
      <c r="N133" s="112" t="s">
        <v>74</v>
      </c>
      <c r="O133" s="121"/>
    </row>
    <row r="134" spans="1:15" x14ac:dyDescent="0.35">
      <c r="A134" s="110">
        <v>45369</v>
      </c>
      <c r="B134" s="111" t="s">
        <v>242</v>
      </c>
      <c r="C134" s="111" t="s">
        <v>1669</v>
      </c>
      <c r="D134" s="111" t="s">
        <v>66</v>
      </c>
      <c r="E134" s="112" t="s">
        <v>15</v>
      </c>
      <c r="F134" s="112">
        <v>4187593</v>
      </c>
      <c r="G134" s="112" t="s">
        <v>316</v>
      </c>
      <c r="H134" s="112" t="s">
        <v>6</v>
      </c>
      <c r="I134" s="113">
        <f t="shared" si="2"/>
        <v>241.67</v>
      </c>
      <c r="J134" s="114">
        <f>241.67*12</f>
        <v>2900.04</v>
      </c>
      <c r="K134" s="116">
        <v>45734</v>
      </c>
      <c r="L134" s="112" t="s">
        <v>1671</v>
      </c>
      <c r="M134" s="112" t="s">
        <v>74</v>
      </c>
      <c r="N134" s="112" t="s">
        <v>74</v>
      </c>
      <c r="O134" s="115"/>
    </row>
    <row r="135" spans="1:15" x14ac:dyDescent="0.35">
      <c r="A135" s="116">
        <v>45369</v>
      </c>
      <c r="B135" s="117" t="s">
        <v>242</v>
      </c>
      <c r="C135" s="111" t="s">
        <v>1669</v>
      </c>
      <c r="D135" s="117" t="s">
        <v>66</v>
      </c>
      <c r="E135" s="118" t="s">
        <v>18</v>
      </c>
      <c r="F135" s="118">
        <v>4187440</v>
      </c>
      <c r="G135" s="118" t="s">
        <v>313</v>
      </c>
      <c r="H135" s="118" t="s">
        <v>6</v>
      </c>
      <c r="I135" s="113">
        <f t="shared" si="2"/>
        <v>47.26</v>
      </c>
      <c r="J135" s="120">
        <f>47.26*12</f>
        <v>567.12</v>
      </c>
      <c r="K135" s="116">
        <v>45734</v>
      </c>
      <c r="L135" s="118" t="s">
        <v>1671</v>
      </c>
      <c r="M135" s="112" t="s">
        <v>74</v>
      </c>
      <c r="N135" s="112" t="s">
        <v>74</v>
      </c>
      <c r="O135" s="121"/>
    </row>
    <row r="136" spans="1:15" x14ac:dyDescent="0.35">
      <c r="A136" s="110">
        <v>45369</v>
      </c>
      <c r="B136" s="111" t="s">
        <v>242</v>
      </c>
      <c r="C136" s="111" t="s">
        <v>1669</v>
      </c>
      <c r="D136" s="111" t="s">
        <v>66</v>
      </c>
      <c r="E136" s="112" t="s">
        <v>20</v>
      </c>
      <c r="F136" s="112"/>
      <c r="G136" s="112" t="s">
        <v>317</v>
      </c>
      <c r="H136" s="112" t="s">
        <v>5</v>
      </c>
      <c r="I136" s="113">
        <f t="shared" si="2"/>
        <v>77.144278606965187</v>
      </c>
      <c r="J136" s="114">
        <f>77.53*12/(1.005)</f>
        <v>925.73134328358219</v>
      </c>
      <c r="K136" s="116">
        <v>45734</v>
      </c>
      <c r="L136" s="112" t="s">
        <v>1671</v>
      </c>
      <c r="M136" s="112" t="s">
        <v>74</v>
      </c>
      <c r="N136" s="112" t="s">
        <v>74</v>
      </c>
      <c r="O136" s="115"/>
    </row>
    <row r="137" spans="1:15" x14ac:dyDescent="0.35">
      <c r="A137" s="116">
        <v>45370</v>
      </c>
      <c r="B137" s="117" t="s">
        <v>242</v>
      </c>
      <c r="C137" s="111" t="s">
        <v>1669</v>
      </c>
      <c r="D137" s="117" t="s">
        <v>52</v>
      </c>
      <c r="E137" s="118" t="s">
        <v>57</v>
      </c>
      <c r="F137" s="118">
        <v>4187541</v>
      </c>
      <c r="G137" s="118" t="s">
        <v>319</v>
      </c>
      <c r="H137" s="118" t="s">
        <v>6</v>
      </c>
      <c r="I137" s="113">
        <f t="shared" si="2"/>
        <v>91.240000000000009</v>
      </c>
      <c r="J137" s="120">
        <v>1094.8800000000001</v>
      </c>
      <c r="K137" s="116">
        <v>45735</v>
      </c>
      <c r="L137" s="118" t="s">
        <v>1671</v>
      </c>
      <c r="M137" s="112" t="s">
        <v>74</v>
      </c>
      <c r="N137" s="112" t="s">
        <v>74</v>
      </c>
      <c r="O137" s="121"/>
    </row>
    <row r="138" spans="1:15" x14ac:dyDescent="0.35">
      <c r="A138" s="110">
        <v>45371</v>
      </c>
      <c r="B138" s="111" t="s">
        <v>242</v>
      </c>
      <c r="C138" s="111" t="s">
        <v>1669</v>
      </c>
      <c r="D138" s="111" t="s">
        <v>52</v>
      </c>
      <c r="E138" s="112" t="s">
        <v>98</v>
      </c>
      <c r="F138" s="112">
        <v>4187582</v>
      </c>
      <c r="G138" s="112" t="s">
        <v>321</v>
      </c>
      <c r="H138" s="112" t="s">
        <v>6</v>
      </c>
      <c r="I138" s="113">
        <f t="shared" si="2"/>
        <v>69.05083333333333</v>
      </c>
      <c r="J138" s="114">
        <v>828.61</v>
      </c>
      <c r="K138" s="110">
        <v>45736</v>
      </c>
      <c r="L138" s="112" t="s">
        <v>1671</v>
      </c>
      <c r="M138" s="112" t="s">
        <v>74</v>
      </c>
      <c r="N138" s="112" t="s">
        <v>74</v>
      </c>
      <c r="O138" s="115"/>
    </row>
    <row r="139" spans="1:15" x14ac:dyDescent="0.35">
      <c r="A139" s="116">
        <v>45371</v>
      </c>
      <c r="B139" s="117" t="s">
        <v>242</v>
      </c>
      <c r="C139" s="111" t="s">
        <v>1669</v>
      </c>
      <c r="D139" s="117" t="s">
        <v>52</v>
      </c>
      <c r="E139" s="118" t="s">
        <v>78</v>
      </c>
      <c r="F139" s="118">
        <v>4180443</v>
      </c>
      <c r="G139" s="118" t="s">
        <v>79</v>
      </c>
      <c r="H139" s="118" t="s">
        <v>6</v>
      </c>
      <c r="I139" s="113">
        <f t="shared" si="2"/>
        <v>121.02</v>
      </c>
      <c r="J139" s="120">
        <v>1452.24</v>
      </c>
      <c r="K139" s="116">
        <v>45736</v>
      </c>
      <c r="L139" s="118" t="s">
        <v>1671</v>
      </c>
      <c r="M139" s="112" t="s">
        <v>74</v>
      </c>
      <c r="N139" s="112" t="s">
        <v>74</v>
      </c>
      <c r="O139" s="121"/>
    </row>
    <row r="140" spans="1:15" x14ac:dyDescent="0.35">
      <c r="A140" s="110">
        <v>45371</v>
      </c>
      <c r="B140" s="111" t="s">
        <v>242</v>
      </c>
      <c r="C140" s="111" t="s">
        <v>1669</v>
      </c>
      <c r="D140" s="111" t="s">
        <v>66</v>
      </c>
      <c r="E140" s="112" t="s">
        <v>11</v>
      </c>
      <c r="F140" s="112" t="s">
        <v>324</v>
      </c>
      <c r="G140" s="112" t="s">
        <v>325</v>
      </c>
      <c r="H140" s="112" t="s">
        <v>3</v>
      </c>
      <c r="I140" s="113">
        <f t="shared" si="2"/>
        <v>52.672885572139315</v>
      </c>
      <c r="J140" s="114">
        <f>+(58.38*12)/1.005-65</f>
        <v>632.0746268656718</v>
      </c>
      <c r="K140" s="110">
        <v>45736</v>
      </c>
      <c r="L140" s="112" t="s">
        <v>1671</v>
      </c>
      <c r="M140" s="112" t="s">
        <v>74</v>
      </c>
      <c r="N140" s="112" t="s">
        <v>74</v>
      </c>
      <c r="O140" s="115"/>
    </row>
    <row r="141" spans="1:15" x14ac:dyDescent="0.35">
      <c r="A141" s="116">
        <v>45371</v>
      </c>
      <c r="B141" s="117" t="s">
        <v>242</v>
      </c>
      <c r="C141" s="111" t="s">
        <v>1669</v>
      </c>
      <c r="D141" s="117" t="s">
        <v>66</v>
      </c>
      <c r="E141" s="118" t="s">
        <v>11</v>
      </c>
      <c r="F141" s="118"/>
      <c r="G141" s="118" t="s">
        <v>325</v>
      </c>
      <c r="H141" s="118" t="s">
        <v>5</v>
      </c>
      <c r="I141" s="113">
        <f t="shared" si="2"/>
        <v>122</v>
      </c>
      <c r="J141" s="120">
        <f>122.61*12/(1.005)</f>
        <v>1464</v>
      </c>
      <c r="K141" s="110">
        <v>45736</v>
      </c>
      <c r="L141" s="118" t="s">
        <v>1671</v>
      </c>
      <c r="M141" s="112" t="s">
        <v>74</v>
      </c>
      <c r="N141" s="112" t="s">
        <v>74</v>
      </c>
      <c r="O141" s="121"/>
    </row>
    <row r="142" spans="1:15" x14ac:dyDescent="0.35">
      <c r="A142" s="110">
        <v>45371</v>
      </c>
      <c r="B142" s="111" t="s">
        <v>242</v>
      </c>
      <c r="C142" s="111" t="s">
        <v>1669</v>
      </c>
      <c r="D142" s="111" t="s">
        <v>66</v>
      </c>
      <c r="E142" s="112" t="s">
        <v>11</v>
      </c>
      <c r="F142" s="112"/>
      <c r="G142" s="112" t="s">
        <v>325</v>
      </c>
      <c r="H142" s="112" t="s">
        <v>2</v>
      </c>
      <c r="I142" s="113">
        <f t="shared" si="2"/>
        <v>133.12874877946714</v>
      </c>
      <c r="J142" s="114">
        <f>143.16*12/(1.005)/1.07</f>
        <v>1597.5449853536059</v>
      </c>
      <c r="K142" s="110">
        <v>45736</v>
      </c>
      <c r="L142" s="112" t="s">
        <v>1672</v>
      </c>
      <c r="M142" s="112"/>
      <c r="N142" s="112"/>
      <c r="O142" s="115" t="s">
        <v>1676</v>
      </c>
    </row>
    <row r="143" spans="1:15" x14ac:dyDescent="0.35">
      <c r="A143" s="116">
        <v>45372</v>
      </c>
      <c r="B143" s="117" t="s">
        <v>242</v>
      </c>
      <c r="C143" s="111" t="s">
        <v>1669</v>
      </c>
      <c r="D143" s="117" t="s">
        <v>52</v>
      </c>
      <c r="E143" s="118" t="s">
        <v>113</v>
      </c>
      <c r="F143" s="118"/>
      <c r="G143" s="118" t="s">
        <v>326</v>
      </c>
      <c r="H143" s="118" t="s">
        <v>307</v>
      </c>
      <c r="I143" s="113">
        <f t="shared" si="2"/>
        <v>63.520833333333336</v>
      </c>
      <c r="J143" s="120">
        <v>762.25</v>
      </c>
      <c r="K143" s="116">
        <v>45737</v>
      </c>
      <c r="L143" s="118" t="s">
        <v>1672</v>
      </c>
      <c r="M143" s="118"/>
      <c r="N143" s="118"/>
      <c r="O143" s="121" t="s">
        <v>1673</v>
      </c>
    </row>
    <row r="144" spans="1:15" x14ac:dyDescent="0.35">
      <c r="A144" s="110">
        <v>45372</v>
      </c>
      <c r="B144" s="111" t="s">
        <v>242</v>
      </c>
      <c r="C144" s="111" t="s">
        <v>1669</v>
      </c>
      <c r="D144" s="111" t="s">
        <v>66</v>
      </c>
      <c r="E144" s="112" t="s">
        <v>11</v>
      </c>
      <c r="F144" s="112" t="s">
        <v>328</v>
      </c>
      <c r="G144" s="112" t="s">
        <v>329</v>
      </c>
      <c r="H144" s="112" t="s">
        <v>3</v>
      </c>
      <c r="I144" s="113">
        <f t="shared" si="2"/>
        <v>283.02114427860698</v>
      </c>
      <c r="J144" s="114">
        <f>+(289.88*12)/1.005-65</f>
        <v>3396.253731343284</v>
      </c>
      <c r="K144" s="116">
        <v>45737</v>
      </c>
      <c r="L144" s="112" t="s">
        <v>1672</v>
      </c>
      <c r="M144" s="112"/>
      <c r="N144" s="112"/>
      <c r="O144" s="115" t="s">
        <v>1674</v>
      </c>
    </row>
    <row r="145" spans="1:15" x14ac:dyDescent="0.35">
      <c r="A145" s="116">
        <v>45372</v>
      </c>
      <c r="B145" s="117" t="s">
        <v>242</v>
      </c>
      <c r="C145" s="111" t="s">
        <v>1669</v>
      </c>
      <c r="D145" s="117" t="s">
        <v>66</v>
      </c>
      <c r="E145" s="118" t="s">
        <v>218</v>
      </c>
      <c r="F145" s="118"/>
      <c r="G145" s="118" t="s">
        <v>332</v>
      </c>
      <c r="H145" s="118" t="s">
        <v>5</v>
      </c>
      <c r="I145" s="113">
        <f t="shared" si="2"/>
        <v>78.587064676616919</v>
      </c>
      <c r="J145" s="120">
        <f>78.98*12/(1.005)</f>
        <v>943.04477611940308</v>
      </c>
      <c r="K145" s="116">
        <v>45737</v>
      </c>
      <c r="L145" s="118" t="s">
        <v>1671</v>
      </c>
      <c r="M145" s="112" t="s">
        <v>74</v>
      </c>
      <c r="N145" s="112" t="s">
        <v>74</v>
      </c>
      <c r="O145" s="121"/>
    </row>
    <row r="146" spans="1:15" x14ac:dyDescent="0.35">
      <c r="A146" s="110">
        <v>45372</v>
      </c>
      <c r="B146" s="111" t="s">
        <v>242</v>
      </c>
      <c r="C146" s="111" t="s">
        <v>1669</v>
      </c>
      <c r="D146" s="111" t="s">
        <v>66</v>
      </c>
      <c r="E146" s="112" t="s">
        <v>218</v>
      </c>
      <c r="F146" s="112"/>
      <c r="G146" s="112" t="s">
        <v>333</v>
      </c>
      <c r="H146" s="112" t="s">
        <v>5</v>
      </c>
      <c r="I146" s="113">
        <f t="shared" si="2"/>
        <v>167.67164179104478</v>
      </c>
      <c r="J146" s="114">
        <f>168.51*12/(1.005)</f>
        <v>2012.0597014925374</v>
      </c>
      <c r="K146" s="116">
        <v>45737</v>
      </c>
      <c r="L146" s="112" t="s">
        <v>1672</v>
      </c>
      <c r="M146" s="112"/>
      <c r="N146" s="112"/>
      <c r="O146" s="115" t="s">
        <v>1674</v>
      </c>
    </row>
    <row r="147" spans="1:15" x14ac:dyDescent="0.35">
      <c r="A147" s="116">
        <v>45372</v>
      </c>
      <c r="B147" s="117" t="s">
        <v>242</v>
      </c>
      <c r="C147" s="111" t="s">
        <v>1669</v>
      </c>
      <c r="D147" s="117" t="s">
        <v>66</v>
      </c>
      <c r="E147" s="118" t="s">
        <v>330</v>
      </c>
      <c r="F147" s="118"/>
      <c r="G147" s="118" t="s">
        <v>331</v>
      </c>
      <c r="H147" s="118" t="s">
        <v>5</v>
      </c>
      <c r="I147" s="113">
        <f t="shared" si="2"/>
        <v>102.1990049751244</v>
      </c>
      <c r="J147" s="120">
        <f>102.71*12/(1.005)</f>
        <v>1226.3880597014927</v>
      </c>
      <c r="K147" s="116">
        <v>45737</v>
      </c>
      <c r="L147" s="118" t="s">
        <v>1671</v>
      </c>
      <c r="M147" s="112" t="s">
        <v>74</v>
      </c>
      <c r="N147" s="112" t="s">
        <v>74</v>
      </c>
      <c r="O147" s="121"/>
    </row>
    <row r="148" spans="1:15" x14ac:dyDescent="0.35">
      <c r="A148" s="110">
        <v>45373</v>
      </c>
      <c r="B148" s="111" t="s">
        <v>242</v>
      </c>
      <c r="C148" s="111" t="s">
        <v>1669</v>
      </c>
      <c r="D148" s="111" t="s">
        <v>52</v>
      </c>
      <c r="E148" s="112" t="s">
        <v>118</v>
      </c>
      <c r="F148" s="112">
        <v>4187797</v>
      </c>
      <c r="G148" s="112" t="s">
        <v>334</v>
      </c>
      <c r="H148" s="112" t="s">
        <v>6</v>
      </c>
      <c r="I148" s="113">
        <f t="shared" si="2"/>
        <v>64.832499999999996</v>
      </c>
      <c r="J148" s="114">
        <v>777.99</v>
      </c>
      <c r="K148" s="110">
        <v>45738</v>
      </c>
      <c r="L148" s="112" t="s">
        <v>1671</v>
      </c>
      <c r="M148" s="112" t="s">
        <v>74</v>
      </c>
      <c r="N148" s="112" t="s">
        <v>74</v>
      </c>
      <c r="O148" s="115"/>
    </row>
    <row r="149" spans="1:15" x14ac:dyDescent="0.35">
      <c r="A149" s="116">
        <v>45373</v>
      </c>
      <c r="B149" s="117" t="s">
        <v>242</v>
      </c>
      <c r="C149" s="111" t="s">
        <v>1669</v>
      </c>
      <c r="D149" s="117" t="s">
        <v>52</v>
      </c>
      <c r="E149" s="118" t="s">
        <v>60</v>
      </c>
      <c r="F149" s="118">
        <v>4187800</v>
      </c>
      <c r="G149" s="118" t="s">
        <v>336</v>
      </c>
      <c r="H149" s="118" t="s">
        <v>6</v>
      </c>
      <c r="I149" s="113">
        <f t="shared" si="2"/>
        <v>66.961666666666659</v>
      </c>
      <c r="J149" s="120">
        <v>803.54</v>
      </c>
      <c r="K149" s="110">
        <v>45738</v>
      </c>
      <c r="L149" s="118" t="s">
        <v>1671</v>
      </c>
      <c r="M149" s="112" t="s">
        <v>74</v>
      </c>
      <c r="N149" s="112" t="s">
        <v>74</v>
      </c>
      <c r="O149" s="121"/>
    </row>
    <row r="150" spans="1:15" x14ac:dyDescent="0.35">
      <c r="A150" s="110">
        <v>45373</v>
      </c>
      <c r="B150" s="111" t="s">
        <v>242</v>
      </c>
      <c r="C150" s="111" t="s">
        <v>1669</v>
      </c>
      <c r="D150" s="111" t="s">
        <v>52</v>
      </c>
      <c r="E150" s="112" t="s">
        <v>60</v>
      </c>
      <c r="F150" s="112">
        <v>4187803</v>
      </c>
      <c r="G150" s="112" t="s">
        <v>337</v>
      </c>
      <c r="H150" s="112" t="s">
        <v>6</v>
      </c>
      <c r="I150" s="113">
        <f t="shared" si="2"/>
        <v>56.384999999999998</v>
      </c>
      <c r="J150" s="114">
        <v>676.62</v>
      </c>
      <c r="K150" s="110">
        <v>45738</v>
      </c>
      <c r="L150" s="112" t="s">
        <v>1671</v>
      </c>
      <c r="M150" s="112" t="s">
        <v>74</v>
      </c>
      <c r="N150" s="112" t="s">
        <v>74</v>
      </c>
      <c r="O150" s="115"/>
    </row>
    <row r="151" spans="1:15" x14ac:dyDescent="0.35">
      <c r="A151" s="116">
        <v>45373</v>
      </c>
      <c r="B151" s="117" t="s">
        <v>242</v>
      </c>
      <c r="C151" s="111" t="s">
        <v>1669</v>
      </c>
      <c r="D151" s="117" t="s">
        <v>52</v>
      </c>
      <c r="E151" s="118" t="s">
        <v>60</v>
      </c>
      <c r="F151" s="118">
        <v>4187810</v>
      </c>
      <c r="G151" s="118" t="s">
        <v>338</v>
      </c>
      <c r="H151" s="118" t="s">
        <v>6</v>
      </c>
      <c r="I151" s="113">
        <f t="shared" si="2"/>
        <v>66.961666666666659</v>
      </c>
      <c r="J151" s="120">
        <v>803.54</v>
      </c>
      <c r="K151" s="110">
        <v>45738</v>
      </c>
      <c r="L151" s="118" t="s">
        <v>1671</v>
      </c>
      <c r="M151" s="112" t="s">
        <v>74</v>
      </c>
      <c r="N151" s="112" t="s">
        <v>74</v>
      </c>
      <c r="O151" s="121"/>
    </row>
    <row r="152" spans="1:15" x14ac:dyDescent="0.35">
      <c r="A152" s="110">
        <v>45373</v>
      </c>
      <c r="B152" s="111" t="s">
        <v>242</v>
      </c>
      <c r="C152" s="111" t="s">
        <v>1669</v>
      </c>
      <c r="D152" s="111" t="s">
        <v>52</v>
      </c>
      <c r="E152" s="112" t="s">
        <v>60</v>
      </c>
      <c r="F152" s="112">
        <v>4187812</v>
      </c>
      <c r="G152" s="112" t="s">
        <v>339</v>
      </c>
      <c r="H152" s="112" t="s">
        <v>6</v>
      </c>
      <c r="I152" s="113">
        <f t="shared" si="2"/>
        <v>56.384999999999998</v>
      </c>
      <c r="J152" s="114">
        <v>676.62</v>
      </c>
      <c r="K152" s="110">
        <v>45738</v>
      </c>
      <c r="L152" s="112" t="s">
        <v>1672</v>
      </c>
      <c r="M152" s="112"/>
      <c r="N152" s="112"/>
      <c r="O152" s="115" t="s">
        <v>1674</v>
      </c>
    </row>
    <row r="153" spans="1:15" x14ac:dyDescent="0.35">
      <c r="A153" s="116">
        <v>45373</v>
      </c>
      <c r="B153" s="117" t="s">
        <v>242</v>
      </c>
      <c r="C153" s="111" t="s">
        <v>1669</v>
      </c>
      <c r="D153" s="117" t="s">
        <v>52</v>
      </c>
      <c r="E153" s="118" t="s">
        <v>60</v>
      </c>
      <c r="F153" s="118">
        <v>4187814</v>
      </c>
      <c r="G153" s="118" t="s">
        <v>340</v>
      </c>
      <c r="H153" s="118" t="s">
        <v>6</v>
      </c>
      <c r="I153" s="113">
        <f t="shared" si="2"/>
        <v>67.668333333333337</v>
      </c>
      <c r="J153" s="120">
        <v>812.02</v>
      </c>
      <c r="K153" s="110">
        <v>45738</v>
      </c>
      <c r="L153" s="118" t="s">
        <v>1672</v>
      </c>
      <c r="M153" s="118"/>
      <c r="N153" s="118"/>
      <c r="O153" s="121" t="s">
        <v>1674</v>
      </c>
    </row>
    <row r="154" spans="1:15" x14ac:dyDescent="0.35">
      <c r="A154" s="110">
        <v>45373</v>
      </c>
      <c r="B154" s="111" t="s">
        <v>242</v>
      </c>
      <c r="C154" s="111" t="s">
        <v>1669</v>
      </c>
      <c r="D154" s="111" t="s">
        <v>52</v>
      </c>
      <c r="E154" s="112" t="s">
        <v>60</v>
      </c>
      <c r="F154" s="112">
        <v>4187817</v>
      </c>
      <c r="G154" s="112" t="s">
        <v>341</v>
      </c>
      <c r="H154" s="112" t="s">
        <v>6</v>
      </c>
      <c r="I154" s="113">
        <f t="shared" si="2"/>
        <v>46.305833333333332</v>
      </c>
      <c r="J154" s="114">
        <v>555.66999999999996</v>
      </c>
      <c r="K154" s="110">
        <v>45738</v>
      </c>
      <c r="L154" s="112" t="s">
        <v>1672</v>
      </c>
      <c r="M154" s="112"/>
      <c r="N154" s="112"/>
      <c r="O154" s="115" t="s">
        <v>1673</v>
      </c>
    </row>
    <row r="155" spans="1:15" x14ac:dyDescent="0.35">
      <c r="A155" s="116">
        <v>45373</v>
      </c>
      <c r="B155" s="117" t="s">
        <v>242</v>
      </c>
      <c r="C155" s="111" t="s">
        <v>1669</v>
      </c>
      <c r="D155" s="117" t="s">
        <v>52</v>
      </c>
      <c r="E155" s="118" t="s">
        <v>60</v>
      </c>
      <c r="F155" s="118">
        <v>4187821</v>
      </c>
      <c r="G155" s="118" t="s">
        <v>342</v>
      </c>
      <c r="H155" s="118" t="s">
        <v>6</v>
      </c>
      <c r="I155" s="113">
        <f t="shared" si="2"/>
        <v>66.961666666666659</v>
      </c>
      <c r="J155" s="120">
        <v>803.54</v>
      </c>
      <c r="K155" s="110">
        <v>45738</v>
      </c>
      <c r="L155" s="118" t="s">
        <v>1671</v>
      </c>
      <c r="M155" s="112" t="s">
        <v>74</v>
      </c>
      <c r="N155" s="112" t="s">
        <v>74</v>
      </c>
      <c r="O155" s="121"/>
    </row>
    <row r="156" spans="1:15" x14ac:dyDescent="0.35">
      <c r="A156" s="110">
        <v>45373</v>
      </c>
      <c r="B156" s="111" t="s">
        <v>242</v>
      </c>
      <c r="C156" s="111" t="s">
        <v>1669</v>
      </c>
      <c r="D156" s="111" t="s">
        <v>52</v>
      </c>
      <c r="E156" s="112" t="s">
        <v>60</v>
      </c>
      <c r="F156" s="112">
        <v>4187825</v>
      </c>
      <c r="G156" s="112" t="s">
        <v>343</v>
      </c>
      <c r="H156" s="112" t="s">
        <v>6</v>
      </c>
      <c r="I156" s="113">
        <f t="shared" si="2"/>
        <v>66.961666666666659</v>
      </c>
      <c r="J156" s="114">
        <v>803.54</v>
      </c>
      <c r="K156" s="110">
        <v>45738</v>
      </c>
      <c r="L156" s="112" t="s">
        <v>1672</v>
      </c>
      <c r="M156" s="112"/>
      <c r="N156" s="112"/>
      <c r="O156" s="115" t="s">
        <v>1674</v>
      </c>
    </row>
    <row r="157" spans="1:15" x14ac:dyDescent="0.35">
      <c r="A157" s="116">
        <v>45373</v>
      </c>
      <c r="B157" s="117" t="s">
        <v>242</v>
      </c>
      <c r="C157" s="111" t="s">
        <v>1669</v>
      </c>
      <c r="D157" s="117" t="s">
        <v>52</v>
      </c>
      <c r="E157" s="118" t="s">
        <v>60</v>
      </c>
      <c r="F157" s="118">
        <v>4187828</v>
      </c>
      <c r="G157" s="118" t="s">
        <v>344</v>
      </c>
      <c r="H157" s="118" t="s">
        <v>6</v>
      </c>
      <c r="I157" s="113">
        <f t="shared" si="2"/>
        <v>46.305833333333332</v>
      </c>
      <c r="J157" s="120">
        <v>555.66999999999996</v>
      </c>
      <c r="K157" s="110">
        <v>45738</v>
      </c>
      <c r="L157" s="118" t="s">
        <v>1671</v>
      </c>
      <c r="M157" s="112" t="s">
        <v>74</v>
      </c>
      <c r="N157" s="112" t="s">
        <v>74</v>
      </c>
      <c r="O157" s="121"/>
    </row>
    <row r="158" spans="1:15" x14ac:dyDescent="0.35">
      <c r="A158" s="110">
        <v>45373</v>
      </c>
      <c r="B158" s="111" t="s">
        <v>242</v>
      </c>
      <c r="C158" s="111" t="s">
        <v>1669</v>
      </c>
      <c r="D158" s="111" t="s">
        <v>52</v>
      </c>
      <c r="E158" s="112" t="s">
        <v>60</v>
      </c>
      <c r="F158" s="112">
        <v>4187816</v>
      </c>
      <c r="G158" s="112" t="s">
        <v>345</v>
      </c>
      <c r="H158" s="112" t="s">
        <v>6</v>
      </c>
      <c r="I158" s="113">
        <f t="shared" si="2"/>
        <v>67.668333333333337</v>
      </c>
      <c r="J158" s="114">
        <v>812.02</v>
      </c>
      <c r="K158" s="110">
        <v>45738</v>
      </c>
      <c r="L158" s="112" t="s">
        <v>1671</v>
      </c>
      <c r="M158" s="112" t="s">
        <v>74</v>
      </c>
      <c r="N158" s="112" t="s">
        <v>74</v>
      </c>
      <c r="O158" s="115"/>
    </row>
    <row r="159" spans="1:15" x14ac:dyDescent="0.35">
      <c r="A159" s="116">
        <v>45373</v>
      </c>
      <c r="B159" s="117" t="s">
        <v>242</v>
      </c>
      <c r="C159" s="111" t="s">
        <v>1669</v>
      </c>
      <c r="D159" s="117" t="s">
        <v>52</v>
      </c>
      <c r="E159" s="118" t="s">
        <v>60</v>
      </c>
      <c r="F159" s="118">
        <v>4187815</v>
      </c>
      <c r="G159" s="118" t="s">
        <v>346</v>
      </c>
      <c r="H159" s="118" t="s">
        <v>6</v>
      </c>
      <c r="I159" s="113">
        <f t="shared" si="2"/>
        <v>56.384999999999998</v>
      </c>
      <c r="J159" s="120">
        <v>676.62</v>
      </c>
      <c r="K159" s="110">
        <v>45738</v>
      </c>
      <c r="L159" s="118" t="s">
        <v>1671</v>
      </c>
      <c r="M159" s="112" t="s">
        <v>74</v>
      </c>
      <c r="N159" s="112" t="s">
        <v>74</v>
      </c>
      <c r="O159" s="121"/>
    </row>
    <row r="160" spans="1:15" x14ac:dyDescent="0.35">
      <c r="A160" s="110">
        <v>45373</v>
      </c>
      <c r="B160" s="111" t="s">
        <v>242</v>
      </c>
      <c r="C160" s="111" t="s">
        <v>1669</v>
      </c>
      <c r="D160" s="111" t="s">
        <v>52</v>
      </c>
      <c r="E160" s="112" t="s">
        <v>60</v>
      </c>
      <c r="F160" s="112">
        <v>4187827</v>
      </c>
      <c r="G160" s="112" t="s">
        <v>347</v>
      </c>
      <c r="H160" s="112" t="s">
        <v>6</v>
      </c>
      <c r="I160" s="113">
        <f t="shared" si="2"/>
        <v>56.384999999999998</v>
      </c>
      <c r="J160" s="114">
        <v>676.62</v>
      </c>
      <c r="K160" s="110">
        <v>45738</v>
      </c>
      <c r="L160" s="112" t="s">
        <v>1671</v>
      </c>
      <c r="M160" s="112" t="s">
        <v>74</v>
      </c>
      <c r="N160" s="112" t="s">
        <v>74</v>
      </c>
      <c r="O160" s="115"/>
    </row>
    <row r="161" spans="1:15" x14ac:dyDescent="0.35">
      <c r="A161" s="116">
        <v>45373</v>
      </c>
      <c r="B161" s="117" t="s">
        <v>242</v>
      </c>
      <c r="C161" s="111" t="s">
        <v>1669</v>
      </c>
      <c r="D161" s="117" t="s">
        <v>66</v>
      </c>
      <c r="E161" s="118" t="s">
        <v>18</v>
      </c>
      <c r="F161" s="118">
        <v>4187764</v>
      </c>
      <c r="G161" s="118" t="s">
        <v>348</v>
      </c>
      <c r="H161" s="118" t="s">
        <v>6</v>
      </c>
      <c r="I161" s="113">
        <f t="shared" si="2"/>
        <v>155.41</v>
      </c>
      <c r="J161" s="120">
        <f>155.41*12</f>
        <v>1864.92</v>
      </c>
      <c r="K161" s="110">
        <v>45738</v>
      </c>
      <c r="L161" s="118" t="s">
        <v>1671</v>
      </c>
      <c r="M161" s="112" t="s">
        <v>74</v>
      </c>
      <c r="N161" s="112" t="s">
        <v>74</v>
      </c>
      <c r="O161" s="121"/>
    </row>
    <row r="162" spans="1:15" x14ac:dyDescent="0.35">
      <c r="A162" s="110">
        <v>45373</v>
      </c>
      <c r="B162" s="111" t="s">
        <v>242</v>
      </c>
      <c r="C162" s="111" t="s">
        <v>1669</v>
      </c>
      <c r="D162" s="111" t="s">
        <v>66</v>
      </c>
      <c r="E162" s="112" t="s">
        <v>18</v>
      </c>
      <c r="F162" s="112"/>
      <c r="G162" s="112" t="s">
        <v>356</v>
      </c>
      <c r="H162" s="112" t="s">
        <v>2</v>
      </c>
      <c r="I162" s="113">
        <f t="shared" si="2"/>
        <v>29.469475054633378</v>
      </c>
      <c r="J162" s="114">
        <f>31.69*12/(1.005)/1.07</f>
        <v>353.63370065560053</v>
      </c>
      <c r="K162" s="110">
        <v>45738</v>
      </c>
      <c r="L162" s="112" t="s">
        <v>1671</v>
      </c>
      <c r="M162" s="112" t="s">
        <v>74</v>
      </c>
      <c r="N162" s="112" t="s">
        <v>74</v>
      </c>
      <c r="O162" s="115"/>
    </row>
    <row r="163" spans="1:15" x14ac:dyDescent="0.35">
      <c r="A163" s="116">
        <v>45373</v>
      </c>
      <c r="B163" s="117" t="s">
        <v>242</v>
      </c>
      <c r="C163" s="111" t="s">
        <v>1669</v>
      </c>
      <c r="D163" s="117" t="s">
        <v>66</v>
      </c>
      <c r="E163" s="118" t="s">
        <v>175</v>
      </c>
      <c r="F163" s="118"/>
      <c r="G163" s="118" t="s">
        <v>353</v>
      </c>
      <c r="H163" s="118" t="s">
        <v>5</v>
      </c>
      <c r="I163" s="113">
        <f t="shared" si="2"/>
        <v>100.7761194029851</v>
      </c>
      <c r="J163" s="120">
        <f>101.28*12/(1.005)</f>
        <v>1209.3134328358212</v>
      </c>
      <c r="K163" s="110">
        <v>45738</v>
      </c>
      <c r="L163" s="118" t="s">
        <v>1671</v>
      </c>
      <c r="M163" s="112" t="s">
        <v>74</v>
      </c>
      <c r="N163" s="112" t="s">
        <v>74</v>
      </c>
      <c r="O163" s="121"/>
    </row>
    <row r="164" spans="1:15" x14ac:dyDescent="0.35">
      <c r="A164" s="110">
        <v>45373</v>
      </c>
      <c r="B164" s="111" t="s">
        <v>242</v>
      </c>
      <c r="C164" s="111" t="s">
        <v>1669</v>
      </c>
      <c r="D164" s="111" t="s">
        <v>66</v>
      </c>
      <c r="E164" s="112" t="s">
        <v>84</v>
      </c>
      <c r="F164" s="112"/>
      <c r="G164" s="112" t="s">
        <v>351</v>
      </c>
      <c r="H164" s="112" t="s">
        <v>6</v>
      </c>
      <c r="I164" s="113">
        <f t="shared" si="2"/>
        <v>125.05</v>
      </c>
      <c r="J164" s="114">
        <f>125.05*12</f>
        <v>1500.6</v>
      </c>
      <c r="K164" s="110">
        <v>45738</v>
      </c>
      <c r="L164" s="112" t="s">
        <v>1671</v>
      </c>
      <c r="M164" s="112" t="s">
        <v>74</v>
      </c>
      <c r="N164" s="112" t="s">
        <v>74</v>
      </c>
      <c r="O164" s="115"/>
    </row>
    <row r="165" spans="1:15" x14ac:dyDescent="0.35">
      <c r="A165" s="116">
        <v>45377</v>
      </c>
      <c r="B165" s="117" t="s">
        <v>242</v>
      </c>
      <c r="C165" s="111" t="s">
        <v>1669</v>
      </c>
      <c r="D165" s="117" t="s">
        <v>66</v>
      </c>
      <c r="E165" s="118" t="s">
        <v>11</v>
      </c>
      <c r="F165" s="118"/>
      <c r="G165" s="118" t="s">
        <v>359</v>
      </c>
      <c r="H165" s="118" t="s">
        <v>3</v>
      </c>
      <c r="I165" s="113">
        <f t="shared" si="2"/>
        <v>28.085820895522392</v>
      </c>
      <c r="J165" s="120">
        <f>+(33.67*12)/1.005-65</f>
        <v>337.02985074626872</v>
      </c>
      <c r="K165" s="116">
        <v>45742</v>
      </c>
      <c r="L165" s="118" t="s">
        <v>1671</v>
      </c>
      <c r="M165" s="112" t="s">
        <v>74</v>
      </c>
      <c r="N165" s="112" t="s">
        <v>74</v>
      </c>
      <c r="O165" s="121"/>
    </row>
    <row r="166" spans="1:15" x14ac:dyDescent="0.35">
      <c r="A166" s="110">
        <v>45378</v>
      </c>
      <c r="B166" s="111" t="s">
        <v>242</v>
      </c>
      <c r="C166" s="111" t="s">
        <v>1669</v>
      </c>
      <c r="D166" s="111" t="s">
        <v>52</v>
      </c>
      <c r="E166" s="112" t="s">
        <v>155</v>
      </c>
      <c r="F166" s="112">
        <v>4188089</v>
      </c>
      <c r="G166" s="112" t="s">
        <v>361</v>
      </c>
      <c r="H166" s="112" t="s">
        <v>6</v>
      </c>
      <c r="I166" s="113">
        <f t="shared" si="2"/>
        <v>125.05</v>
      </c>
      <c r="J166" s="114">
        <f>125.05*12</f>
        <v>1500.6</v>
      </c>
      <c r="K166" s="110">
        <v>45743</v>
      </c>
      <c r="L166" s="112" t="s">
        <v>1671</v>
      </c>
      <c r="M166" s="112" t="s">
        <v>74</v>
      </c>
      <c r="N166" s="112" t="s">
        <v>74</v>
      </c>
      <c r="O166" s="115"/>
    </row>
    <row r="167" spans="1:15" x14ac:dyDescent="0.35">
      <c r="A167" s="116">
        <v>45379</v>
      </c>
      <c r="B167" s="117" t="s">
        <v>242</v>
      </c>
      <c r="C167" s="111" t="s">
        <v>1669</v>
      </c>
      <c r="D167" s="117" t="s">
        <v>52</v>
      </c>
      <c r="E167" s="118" t="s">
        <v>57</v>
      </c>
      <c r="F167" s="118">
        <v>4188433</v>
      </c>
      <c r="G167" s="118" t="s">
        <v>363</v>
      </c>
      <c r="H167" s="118" t="s">
        <v>6</v>
      </c>
      <c r="I167" s="113">
        <f t="shared" si="2"/>
        <v>65.479166666666671</v>
      </c>
      <c r="J167" s="120">
        <v>785.75</v>
      </c>
      <c r="K167" s="116">
        <v>45744</v>
      </c>
      <c r="L167" s="118" t="s">
        <v>1671</v>
      </c>
      <c r="M167" s="112" t="s">
        <v>74</v>
      </c>
      <c r="N167" s="112" t="s">
        <v>74</v>
      </c>
      <c r="O167" s="121"/>
    </row>
    <row r="168" spans="1:15" x14ac:dyDescent="0.35">
      <c r="A168" s="110">
        <v>45379</v>
      </c>
      <c r="B168" s="111" t="s">
        <v>242</v>
      </c>
      <c r="C168" s="111" t="s">
        <v>1669</v>
      </c>
      <c r="D168" s="111" t="s">
        <v>52</v>
      </c>
      <c r="E168" s="112" t="s">
        <v>57</v>
      </c>
      <c r="F168" s="112">
        <v>4188436</v>
      </c>
      <c r="G168" s="112" t="s">
        <v>363</v>
      </c>
      <c r="H168" s="112" t="s">
        <v>6</v>
      </c>
      <c r="I168" s="113">
        <f t="shared" si="2"/>
        <v>81.985833333333332</v>
      </c>
      <c r="J168" s="114">
        <v>983.83</v>
      </c>
      <c r="K168" s="110">
        <v>45744</v>
      </c>
      <c r="L168" s="112" t="s">
        <v>1671</v>
      </c>
      <c r="M168" s="112" t="s">
        <v>74</v>
      </c>
      <c r="N168" s="112" t="s">
        <v>74</v>
      </c>
      <c r="O168" s="115"/>
    </row>
    <row r="169" spans="1:15" x14ac:dyDescent="0.35">
      <c r="A169" s="116">
        <v>45379</v>
      </c>
      <c r="B169" s="117" t="s">
        <v>242</v>
      </c>
      <c r="C169" s="111" t="s">
        <v>1669</v>
      </c>
      <c r="D169" s="117" t="s">
        <v>66</v>
      </c>
      <c r="E169" s="118" t="s">
        <v>218</v>
      </c>
      <c r="F169" s="118"/>
      <c r="G169" s="118" t="s">
        <v>362</v>
      </c>
      <c r="H169" s="118" t="s">
        <v>2</v>
      </c>
      <c r="I169" s="113">
        <f t="shared" si="2"/>
        <v>73.101780815548423</v>
      </c>
      <c r="J169" s="120">
        <f>78.61*12/(1.005)/1.07</f>
        <v>877.22136978658102</v>
      </c>
      <c r="K169" s="116">
        <v>45744</v>
      </c>
      <c r="L169" s="118" t="s">
        <v>1671</v>
      </c>
      <c r="M169" s="112" t="s">
        <v>74</v>
      </c>
      <c r="N169" s="112" t="s">
        <v>74</v>
      </c>
      <c r="O169" s="121"/>
    </row>
    <row r="170" spans="1:15" x14ac:dyDescent="0.35">
      <c r="A170" s="110">
        <v>45383</v>
      </c>
      <c r="B170" s="111" t="s">
        <v>185</v>
      </c>
      <c r="C170" s="111" t="s">
        <v>1669</v>
      </c>
      <c r="D170" s="111" t="s">
        <v>52</v>
      </c>
      <c r="E170" s="112" t="s">
        <v>155</v>
      </c>
      <c r="F170" s="112">
        <v>4123165</v>
      </c>
      <c r="G170" s="112" t="s">
        <v>364</v>
      </c>
      <c r="H170" s="112" t="s">
        <v>6</v>
      </c>
      <c r="I170" s="113">
        <f t="shared" si="2"/>
        <v>143.24833333333333</v>
      </c>
      <c r="J170" s="120">
        <v>1718.98</v>
      </c>
      <c r="K170" s="110">
        <v>45748</v>
      </c>
      <c r="L170" s="112" t="s">
        <v>1671</v>
      </c>
      <c r="M170" s="112" t="s">
        <v>74</v>
      </c>
      <c r="N170" s="112" t="s">
        <v>74</v>
      </c>
      <c r="O170" s="115"/>
    </row>
    <row r="171" spans="1:15" x14ac:dyDescent="0.35">
      <c r="A171" s="116">
        <v>45383</v>
      </c>
      <c r="B171" s="117" t="s">
        <v>185</v>
      </c>
      <c r="C171" s="111" t="s">
        <v>1669</v>
      </c>
      <c r="D171" s="117" t="s">
        <v>52</v>
      </c>
      <c r="E171" s="118" t="s">
        <v>155</v>
      </c>
      <c r="F171" s="118" t="s">
        <v>367</v>
      </c>
      <c r="G171" s="118" t="s">
        <v>368</v>
      </c>
      <c r="H171" s="118" t="s">
        <v>3</v>
      </c>
      <c r="I171" s="113">
        <f t="shared" si="2"/>
        <v>130.41499999999999</v>
      </c>
      <c r="J171" s="120">
        <v>1564.98</v>
      </c>
      <c r="K171" s="110">
        <v>45748</v>
      </c>
      <c r="L171" s="118" t="s">
        <v>1671</v>
      </c>
      <c r="M171" s="112" t="s">
        <v>74</v>
      </c>
      <c r="N171" s="112" t="s">
        <v>74</v>
      </c>
      <c r="O171" s="121"/>
    </row>
    <row r="172" spans="1:15" x14ac:dyDescent="0.35">
      <c r="A172" s="110">
        <v>45383</v>
      </c>
      <c r="B172" s="111" t="s">
        <v>185</v>
      </c>
      <c r="C172" s="111" t="s">
        <v>1669</v>
      </c>
      <c r="D172" s="111" t="s">
        <v>52</v>
      </c>
      <c r="E172" s="112" t="s">
        <v>60</v>
      </c>
      <c r="F172" s="112">
        <v>4188146</v>
      </c>
      <c r="G172" s="112" t="s">
        <v>365</v>
      </c>
      <c r="H172" s="112" t="s">
        <v>6</v>
      </c>
      <c r="I172" s="113">
        <f t="shared" si="2"/>
        <v>75.339166666666671</v>
      </c>
      <c r="J172" s="114">
        <v>904.07</v>
      </c>
      <c r="K172" s="110">
        <v>45748</v>
      </c>
      <c r="L172" s="112" t="s">
        <v>1671</v>
      </c>
      <c r="M172" s="112" t="s">
        <v>74</v>
      </c>
      <c r="N172" s="112" t="s">
        <v>74</v>
      </c>
      <c r="O172" s="115"/>
    </row>
    <row r="173" spans="1:15" x14ac:dyDescent="0.35">
      <c r="A173" s="116">
        <v>45383</v>
      </c>
      <c r="B173" s="117" t="s">
        <v>185</v>
      </c>
      <c r="C173" s="111" t="s">
        <v>1669</v>
      </c>
      <c r="D173" s="117" t="s">
        <v>52</v>
      </c>
      <c r="E173" s="118" t="s">
        <v>60</v>
      </c>
      <c r="F173" s="118">
        <v>4188494</v>
      </c>
      <c r="G173" s="118" t="s">
        <v>366</v>
      </c>
      <c r="H173" s="118" t="s">
        <v>6</v>
      </c>
      <c r="I173" s="113">
        <f t="shared" si="2"/>
        <v>256.99666666666667</v>
      </c>
      <c r="J173" s="120">
        <v>3083.96</v>
      </c>
      <c r="K173" s="110">
        <v>45748</v>
      </c>
      <c r="L173" s="118" t="s">
        <v>1672</v>
      </c>
      <c r="M173" s="118"/>
      <c r="N173" s="118"/>
      <c r="O173" s="121" t="s">
        <v>1673</v>
      </c>
    </row>
    <row r="174" spans="1:15" x14ac:dyDescent="0.35">
      <c r="A174" s="110">
        <v>45383</v>
      </c>
      <c r="B174" s="111" t="s">
        <v>185</v>
      </c>
      <c r="C174" s="111" t="s">
        <v>1669</v>
      </c>
      <c r="D174" s="111" t="s">
        <v>66</v>
      </c>
      <c r="E174" s="112" t="s">
        <v>175</v>
      </c>
      <c r="F174" s="112"/>
      <c r="G174" s="112" t="s">
        <v>370</v>
      </c>
      <c r="H174" s="112" t="s">
        <v>5</v>
      </c>
      <c r="I174" s="113">
        <f t="shared" si="2"/>
        <v>71.263681592039816</v>
      </c>
      <c r="J174" s="114">
        <f>71.62*12/(1.005)</f>
        <v>855.16417910447774</v>
      </c>
      <c r="K174" s="110">
        <v>45748</v>
      </c>
      <c r="L174" s="112" t="s">
        <v>1672</v>
      </c>
      <c r="M174" s="112"/>
      <c r="N174" s="112"/>
      <c r="O174" s="115" t="s">
        <v>1674</v>
      </c>
    </row>
    <row r="175" spans="1:15" x14ac:dyDescent="0.35">
      <c r="A175" s="116">
        <v>45384</v>
      </c>
      <c r="B175" s="117" t="s">
        <v>185</v>
      </c>
      <c r="C175" s="111" t="s">
        <v>1669</v>
      </c>
      <c r="D175" s="117" t="s">
        <v>52</v>
      </c>
      <c r="E175" s="118" t="s">
        <v>75</v>
      </c>
      <c r="F175" s="118">
        <v>4188520</v>
      </c>
      <c r="G175" s="118" t="s">
        <v>372</v>
      </c>
      <c r="H175" s="118" t="s">
        <v>6</v>
      </c>
      <c r="I175" s="113">
        <f t="shared" si="2"/>
        <v>264.78333333333336</v>
      </c>
      <c r="J175" s="120">
        <v>3177.4</v>
      </c>
      <c r="K175" s="116">
        <v>45749</v>
      </c>
      <c r="L175" s="118" t="s">
        <v>1672</v>
      </c>
      <c r="M175" s="118"/>
      <c r="N175" s="118"/>
      <c r="O175" s="121" t="s">
        <v>1676</v>
      </c>
    </row>
    <row r="176" spans="1:15" x14ac:dyDescent="0.35">
      <c r="A176" s="110">
        <v>45384</v>
      </c>
      <c r="B176" s="111" t="s">
        <v>185</v>
      </c>
      <c r="C176" s="111" t="s">
        <v>1669</v>
      </c>
      <c r="D176" s="111" t="s">
        <v>66</v>
      </c>
      <c r="E176" s="112" t="s">
        <v>11</v>
      </c>
      <c r="F176" s="112"/>
      <c r="G176" s="112" t="s">
        <v>373</v>
      </c>
      <c r="H176" s="112" t="s">
        <v>5</v>
      </c>
      <c r="I176" s="113">
        <f t="shared" si="2"/>
        <v>111.16417910447761</v>
      </c>
      <c r="J176" s="114">
        <f>111.72*12/(1.005)</f>
        <v>1333.9701492537313</v>
      </c>
      <c r="K176" s="110">
        <v>45749</v>
      </c>
      <c r="L176" s="112" t="s">
        <v>1672</v>
      </c>
      <c r="M176" s="112"/>
      <c r="N176" s="112"/>
      <c r="O176" s="115" t="s">
        <v>1676</v>
      </c>
    </row>
    <row r="177" spans="1:15" x14ac:dyDescent="0.35">
      <c r="A177" s="116">
        <v>45385</v>
      </c>
      <c r="B177" s="117" t="s">
        <v>185</v>
      </c>
      <c r="C177" s="111" t="s">
        <v>1669</v>
      </c>
      <c r="D177" s="117" t="s">
        <v>52</v>
      </c>
      <c r="E177" s="118" t="s">
        <v>75</v>
      </c>
      <c r="F177" s="118">
        <v>4188471</v>
      </c>
      <c r="G177" s="118" t="s">
        <v>374</v>
      </c>
      <c r="H177" s="118" t="s">
        <v>6</v>
      </c>
      <c r="I177" s="113">
        <f t="shared" si="2"/>
        <v>94.672499999999999</v>
      </c>
      <c r="J177" s="120">
        <v>1136.07</v>
      </c>
      <c r="K177" s="116">
        <v>45750</v>
      </c>
      <c r="L177" s="118" t="s">
        <v>1672</v>
      </c>
      <c r="M177" s="118"/>
      <c r="N177" s="118"/>
      <c r="O177" s="121" t="s">
        <v>1676</v>
      </c>
    </row>
    <row r="178" spans="1:15" x14ac:dyDescent="0.35">
      <c r="A178" s="110">
        <v>45385</v>
      </c>
      <c r="B178" s="111" t="s">
        <v>185</v>
      </c>
      <c r="C178" s="111" t="s">
        <v>1669</v>
      </c>
      <c r="D178" s="111" t="s">
        <v>66</v>
      </c>
      <c r="E178" s="112" t="s">
        <v>240</v>
      </c>
      <c r="F178" s="112"/>
      <c r="G178" s="112" t="s">
        <v>375</v>
      </c>
      <c r="H178" s="112" t="s">
        <v>5</v>
      </c>
      <c r="I178" s="113">
        <f t="shared" si="2"/>
        <v>125.58208955223881</v>
      </c>
      <c r="J178" s="114">
        <f>126.21*12/(1.005)</f>
        <v>1506.9850746268658</v>
      </c>
      <c r="K178" s="110">
        <v>45750</v>
      </c>
      <c r="L178" s="112" t="s">
        <v>1672</v>
      </c>
      <c r="M178" s="112"/>
      <c r="N178" s="112"/>
      <c r="O178" s="115" t="s">
        <v>1675</v>
      </c>
    </row>
    <row r="179" spans="1:15" x14ac:dyDescent="0.35">
      <c r="A179" s="116">
        <v>45386</v>
      </c>
      <c r="B179" s="117" t="s">
        <v>185</v>
      </c>
      <c r="C179" s="111" t="s">
        <v>1669</v>
      </c>
      <c r="D179" s="117" t="s">
        <v>52</v>
      </c>
      <c r="E179" s="118" t="s">
        <v>377</v>
      </c>
      <c r="F179" s="118">
        <v>4188608</v>
      </c>
      <c r="G179" s="118" t="s">
        <v>378</v>
      </c>
      <c r="H179" s="118" t="s">
        <v>6</v>
      </c>
      <c r="I179" s="113">
        <f t="shared" si="2"/>
        <v>57.539166666666667</v>
      </c>
      <c r="J179" s="120">
        <v>690.47</v>
      </c>
      <c r="K179" s="116">
        <v>45751</v>
      </c>
      <c r="L179" s="118" t="s">
        <v>1672</v>
      </c>
      <c r="M179" s="118"/>
      <c r="N179" s="118"/>
      <c r="O179" s="121" t="s">
        <v>1675</v>
      </c>
    </row>
    <row r="180" spans="1:15" x14ac:dyDescent="0.35">
      <c r="A180" s="110">
        <v>45387</v>
      </c>
      <c r="B180" s="111" t="s">
        <v>185</v>
      </c>
      <c r="C180" s="111" t="s">
        <v>1669</v>
      </c>
      <c r="D180" s="111" t="s">
        <v>52</v>
      </c>
      <c r="E180" s="112" t="s">
        <v>57</v>
      </c>
      <c r="F180" s="112">
        <v>4188730</v>
      </c>
      <c r="G180" s="112" t="s">
        <v>383</v>
      </c>
      <c r="H180" s="112" t="s">
        <v>6</v>
      </c>
      <c r="I180" s="113">
        <f t="shared" si="2"/>
        <v>83.22</v>
      </c>
      <c r="J180" s="114">
        <v>998.64</v>
      </c>
      <c r="K180" s="110">
        <v>45752</v>
      </c>
      <c r="L180" s="112" t="s">
        <v>1671</v>
      </c>
      <c r="M180" s="112" t="s">
        <v>74</v>
      </c>
      <c r="N180" s="112" t="s">
        <v>74</v>
      </c>
      <c r="O180" s="115"/>
    </row>
    <row r="181" spans="1:15" x14ac:dyDescent="0.35">
      <c r="A181" s="116">
        <v>45387</v>
      </c>
      <c r="B181" s="117" t="s">
        <v>185</v>
      </c>
      <c r="C181" s="111" t="s">
        <v>1669</v>
      </c>
      <c r="D181" s="117" t="s">
        <v>52</v>
      </c>
      <c r="E181" s="118" t="s">
        <v>155</v>
      </c>
      <c r="F181" s="118">
        <v>4188707</v>
      </c>
      <c r="G181" s="118" t="s">
        <v>380</v>
      </c>
      <c r="H181" s="118" t="s">
        <v>6</v>
      </c>
      <c r="I181" s="113">
        <f t="shared" si="2"/>
        <v>113.61750000000001</v>
      </c>
      <c r="J181" s="120">
        <v>1363.41</v>
      </c>
      <c r="K181" s="110">
        <v>45752</v>
      </c>
      <c r="L181" s="118" t="s">
        <v>1672</v>
      </c>
      <c r="M181" s="118"/>
      <c r="N181" s="118"/>
      <c r="O181" s="121" t="s">
        <v>1676</v>
      </c>
    </row>
    <row r="182" spans="1:15" x14ac:dyDescent="0.35">
      <c r="A182" s="110">
        <v>45387</v>
      </c>
      <c r="B182" s="111" t="s">
        <v>185</v>
      </c>
      <c r="C182" s="111" t="s">
        <v>1669</v>
      </c>
      <c r="D182" s="111" t="s">
        <v>52</v>
      </c>
      <c r="E182" s="112" t="s">
        <v>155</v>
      </c>
      <c r="F182" s="112">
        <v>4188708</v>
      </c>
      <c r="G182" s="112" t="s">
        <v>381</v>
      </c>
      <c r="H182" s="112" t="s">
        <v>6</v>
      </c>
      <c r="I182" s="113">
        <f t="shared" si="2"/>
        <v>114.59249999999999</v>
      </c>
      <c r="J182" s="114">
        <v>1375.11</v>
      </c>
      <c r="K182" s="110">
        <v>45752</v>
      </c>
      <c r="L182" s="112" t="s">
        <v>1671</v>
      </c>
      <c r="M182" s="112" t="s">
        <v>74</v>
      </c>
      <c r="N182" s="112" t="s">
        <v>74</v>
      </c>
      <c r="O182" s="115"/>
    </row>
    <row r="183" spans="1:15" x14ac:dyDescent="0.35">
      <c r="A183" s="116">
        <v>45387</v>
      </c>
      <c r="B183" s="117" t="s">
        <v>185</v>
      </c>
      <c r="C183" s="111" t="s">
        <v>1669</v>
      </c>
      <c r="D183" s="117" t="s">
        <v>52</v>
      </c>
      <c r="E183" s="118" t="s">
        <v>155</v>
      </c>
      <c r="F183" s="118">
        <v>4188722</v>
      </c>
      <c r="G183" s="118" t="s">
        <v>384</v>
      </c>
      <c r="H183" s="118" t="s">
        <v>6</v>
      </c>
      <c r="I183" s="113">
        <f t="shared" si="2"/>
        <v>113.59750000000001</v>
      </c>
      <c r="J183" s="120">
        <v>1363.17</v>
      </c>
      <c r="K183" s="110">
        <v>45752</v>
      </c>
      <c r="L183" s="118" t="s">
        <v>1672</v>
      </c>
      <c r="M183" s="118"/>
      <c r="N183" s="118"/>
      <c r="O183" s="121" t="s">
        <v>1676</v>
      </c>
    </row>
    <row r="184" spans="1:15" x14ac:dyDescent="0.35">
      <c r="A184" s="110">
        <v>45387</v>
      </c>
      <c r="B184" s="111" t="s">
        <v>185</v>
      </c>
      <c r="C184" s="111" t="s">
        <v>1669</v>
      </c>
      <c r="D184" s="111" t="s">
        <v>52</v>
      </c>
      <c r="E184" s="112" t="s">
        <v>155</v>
      </c>
      <c r="F184" s="112">
        <v>4188749</v>
      </c>
      <c r="G184" s="112" t="s">
        <v>384</v>
      </c>
      <c r="H184" s="112" t="s">
        <v>6</v>
      </c>
      <c r="I184" s="113">
        <f t="shared" si="2"/>
        <v>43.778333333333336</v>
      </c>
      <c r="J184" s="114">
        <v>525.34</v>
      </c>
      <c r="K184" s="110">
        <v>45752</v>
      </c>
      <c r="L184" s="112" t="s">
        <v>1671</v>
      </c>
      <c r="M184" s="112" t="s">
        <v>74</v>
      </c>
      <c r="N184" s="112" t="s">
        <v>74</v>
      </c>
      <c r="O184" s="115"/>
    </row>
    <row r="185" spans="1:15" x14ac:dyDescent="0.35">
      <c r="A185" s="116">
        <v>45387</v>
      </c>
      <c r="B185" s="117" t="s">
        <v>185</v>
      </c>
      <c r="C185" s="111" t="s">
        <v>1669</v>
      </c>
      <c r="D185" s="117" t="s">
        <v>52</v>
      </c>
      <c r="E185" s="118" t="s">
        <v>98</v>
      </c>
      <c r="F185" s="118">
        <v>4188733</v>
      </c>
      <c r="G185" s="118" t="s">
        <v>382</v>
      </c>
      <c r="H185" s="118" t="s">
        <v>6</v>
      </c>
      <c r="I185" s="113">
        <f t="shared" si="2"/>
        <v>69.588333333333324</v>
      </c>
      <c r="J185" s="120">
        <v>835.06</v>
      </c>
      <c r="K185" s="110">
        <v>45752</v>
      </c>
      <c r="L185" s="118" t="s">
        <v>1672</v>
      </c>
      <c r="M185" s="118"/>
      <c r="N185" s="118"/>
      <c r="O185" s="121" t="s">
        <v>1673</v>
      </c>
    </row>
    <row r="186" spans="1:15" x14ac:dyDescent="0.35">
      <c r="A186" s="110">
        <v>45387</v>
      </c>
      <c r="B186" s="111" t="s">
        <v>185</v>
      </c>
      <c r="C186" s="111" t="s">
        <v>1669</v>
      </c>
      <c r="D186" s="111" t="s">
        <v>52</v>
      </c>
      <c r="E186" s="112" t="s">
        <v>78</v>
      </c>
      <c r="F186" s="112"/>
      <c r="G186" s="112" t="s">
        <v>385</v>
      </c>
      <c r="H186" s="112" t="s">
        <v>2</v>
      </c>
      <c r="I186" s="113">
        <f t="shared" si="2"/>
        <v>88.81</v>
      </c>
      <c r="J186" s="114">
        <v>1065.72</v>
      </c>
      <c r="K186" s="110">
        <v>45752</v>
      </c>
      <c r="L186" s="112" t="s">
        <v>1671</v>
      </c>
      <c r="M186" s="112" t="s">
        <v>74</v>
      </c>
      <c r="N186" s="112" t="s">
        <v>74</v>
      </c>
      <c r="O186" s="115"/>
    </row>
    <row r="187" spans="1:15" x14ac:dyDescent="0.35">
      <c r="A187" s="116">
        <v>45387</v>
      </c>
      <c r="B187" s="117" t="s">
        <v>185</v>
      </c>
      <c r="C187" s="111" t="s">
        <v>1669</v>
      </c>
      <c r="D187" s="117" t="s">
        <v>52</v>
      </c>
      <c r="E187" s="118" t="s">
        <v>118</v>
      </c>
      <c r="F187" s="118"/>
      <c r="G187" s="118" t="s">
        <v>386</v>
      </c>
      <c r="H187" s="118" t="s">
        <v>5</v>
      </c>
      <c r="I187" s="113">
        <f t="shared" si="2"/>
        <v>109.42</v>
      </c>
      <c r="J187" s="120">
        <v>1313.04</v>
      </c>
      <c r="K187" s="110">
        <v>45752</v>
      </c>
      <c r="L187" s="118" t="s">
        <v>1672</v>
      </c>
      <c r="M187" s="118"/>
      <c r="N187" s="118"/>
      <c r="O187" s="121" t="s">
        <v>1673</v>
      </c>
    </row>
    <row r="188" spans="1:15" x14ac:dyDescent="0.35">
      <c r="A188" s="110">
        <v>45387</v>
      </c>
      <c r="B188" s="111" t="s">
        <v>185</v>
      </c>
      <c r="C188" s="111" t="s">
        <v>1669</v>
      </c>
      <c r="D188" s="111" t="s">
        <v>52</v>
      </c>
      <c r="E188" s="112" t="s">
        <v>75</v>
      </c>
      <c r="F188" s="112">
        <v>4188777</v>
      </c>
      <c r="G188" s="112" t="s">
        <v>388</v>
      </c>
      <c r="H188" s="112" t="s">
        <v>6</v>
      </c>
      <c r="I188" s="113">
        <f t="shared" si="2"/>
        <v>35.19166666666667</v>
      </c>
      <c r="J188" s="114">
        <v>422.3</v>
      </c>
      <c r="K188" s="110">
        <v>45752</v>
      </c>
      <c r="L188" s="112" t="s">
        <v>1671</v>
      </c>
      <c r="M188" s="112" t="s">
        <v>74</v>
      </c>
      <c r="N188" s="112" t="s">
        <v>74</v>
      </c>
      <c r="O188" s="115"/>
    </row>
    <row r="189" spans="1:15" x14ac:dyDescent="0.35">
      <c r="A189" s="116">
        <v>45387</v>
      </c>
      <c r="B189" s="117" t="s">
        <v>185</v>
      </c>
      <c r="C189" s="111" t="s">
        <v>1669</v>
      </c>
      <c r="D189" s="117" t="s">
        <v>52</v>
      </c>
      <c r="E189" s="118" t="s">
        <v>60</v>
      </c>
      <c r="F189" s="118">
        <v>4188695</v>
      </c>
      <c r="G189" s="118" t="s">
        <v>379</v>
      </c>
      <c r="H189" s="118" t="s">
        <v>6</v>
      </c>
      <c r="I189" s="113">
        <f t="shared" si="2"/>
        <v>95.269166666666663</v>
      </c>
      <c r="J189" s="120">
        <v>1143.23</v>
      </c>
      <c r="K189" s="110">
        <v>45752</v>
      </c>
      <c r="L189" s="118" t="s">
        <v>1672</v>
      </c>
      <c r="M189" s="118"/>
      <c r="N189" s="118"/>
      <c r="O189" s="121" t="s">
        <v>1674</v>
      </c>
    </row>
    <row r="190" spans="1:15" x14ac:dyDescent="0.35">
      <c r="A190" s="110">
        <v>45391</v>
      </c>
      <c r="B190" s="111" t="s">
        <v>185</v>
      </c>
      <c r="C190" s="111" t="s">
        <v>1669</v>
      </c>
      <c r="D190" s="111" t="s">
        <v>52</v>
      </c>
      <c r="E190" s="112" t="s">
        <v>57</v>
      </c>
      <c r="F190" s="112"/>
      <c r="G190" s="112" t="s">
        <v>390</v>
      </c>
      <c r="H190" s="112" t="s">
        <v>5</v>
      </c>
      <c r="I190" s="113">
        <f t="shared" si="2"/>
        <v>68.276666666666671</v>
      </c>
      <c r="J190" s="114">
        <v>819.32</v>
      </c>
      <c r="K190" s="110">
        <v>45756</v>
      </c>
      <c r="L190" s="112" t="s">
        <v>1671</v>
      </c>
      <c r="M190" s="112" t="s">
        <v>74</v>
      </c>
      <c r="N190" s="112" t="s">
        <v>74</v>
      </c>
      <c r="O190" s="115"/>
    </row>
    <row r="191" spans="1:15" x14ac:dyDescent="0.35">
      <c r="A191" s="116">
        <v>45391</v>
      </c>
      <c r="B191" s="117" t="s">
        <v>185</v>
      </c>
      <c r="C191" s="111" t="s">
        <v>1669</v>
      </c>
      <c r="D191" s="117" t="s">
        <v>66</v>
      </c>
      <c r="E191" s="118" t="s">
        <v>13</v>
      </c>
      <c r="F191" s="118"/>
      <c r="G191" s="118" t="s">
        <v>392</v>
      </c>
      <c r="H191" s="118" t="s">
        <v>307</v>
      </c>
      <c r="I191" s="113">
        <f t="shared" si="2"/>
        <v>82.905472636815929</v>
      </c>
      <c r="J191" s="120">
        <f>83.32*12/(1.005)</f>
        <v>994.8656716417911</v>
      </c>
      <c r="K191" s="116">
        <v>45756</v>
      </c>
      <c r="L191" s="118" t="s">
        <v>1672</v>
      </c>
      <c r="M191" s="118"/>
      <c r="N191" s="118"/>
      <c r="O191" s="121" t="s">
        <v>1674</v>
      </c>
    </row>
    <row r="192" spans="1:15" x14ac:dyDescent="0.35">
      <c r="A192" s="110">
        <v>45392</v>
      </c>
      <c r="B192" s="111" t="s">
        <v>185</v>
      </c>
      <c r="C192" s="111" t="s">
        <v>1669</v>
      </c>
      <c r="D192" s="111" t="s">
        <v>52</v>
      </c>
      <c r="E192" s="112" t="s">
        <v>53</v>
      </c>
      <c r="F192" s="112">
        <v>4188773</v>
      </c>
      <c r="G192" s="112" t="s">
        <v>394</v>
      </c>
      <c r="H192" s="112" t="s">
        <v>395</v>
      </c>
      <c r="I192" s="113">
        <f t="shared" si="2"/>
        <v>88.075833333333335</v>
      </c>
      <c r="J192" s="114">
        <v>1056.9100000000001</v>
      </c>
      <c r="K192" s="110">
        <v>45757</v>
      </c>
      <c r="L192" s="112" t="s">
        <v>1671</v>
      </c>
      <c r="M192" s="112" t="s">
        <v>74</v>
      </c>
      <c r="N192" s="112" t="s">
        <v>74</v>
      </c>
      <c r="O192" s="115"/>
    </row>
    <row r="193" spans="1:15" x14ac:dyDescent="0.35">
      <c r="A193" s="116">
        <v>45392</v>
      </c>
      <c r="B193" s="117" t="s">
        <v>185</v>
      </c>
      <c r="C193" s="111" t="s">
        <v>1669</v>
      </c>
      <c r="D193" s="117" t="s">
        <v>52</v>
      </c>
      <c r="E193" s="118" t="s">
        <v>396</v>
      </c>
      <c r="F193" s="118">
        <v>15997</v>
      </c>
      <c r="G193" s="118" t="s">
        <v>397</v>
      </c>
      <c r="H193" s="118" t="s">
        <v>307</v>
      </c>
      <c r="I193" s="113">
        <f t="shared" si="2"/>
        <v>66.256666666666675</v>
      </c>
      <c r="J193" s="120">
        <v>795.08</v>
      </c>
      <c r="K193" s="116">
        <v>45757</v>
      </c>
      <c r="L193" s="118" t="s">
        <v>1671</v>
      </c>
      <c r="M193" s="112" t="s">
        <v>74</v>
      </c>
      <c r="N193" s="112" t="s">
        <v>74</v>
      </c>
      <c r="O193" s="121"/>
    </row>
    <row r="194" spans="1:15" x14ac:dyDescent="0.35">
      <c r="A194" s="110">
        <v>45392</v>
      </c>
      <c r="B194" s="111" t="s">
        <v>185</v>
      </c>
      <c r="C194" s="111" t="s">
        <v>1669</v>
      </c>
      <c r="D194" s="111" t="s">
        <v>66</v>
      </c>
      <c r="E194" s="112" t="s">
        <v>11</v>
      </c>
      <c r="F194" s="112"/>
      <c r="G194" s="112" t="s">
        <v>393</v>
      </c>
      <c r="H194" s="112" t="s">
        <v>4</v>
      </c>
      <c r="I194" s="113">
        <f t="shared" si="2"/>
        <v>90.875</v>
      </c>
      <c r="J194" s="113">
        <v>1090.5</v>
      </c>
      <c r="K194" s="110">
        <v>45757</v>
      </c>
      <c r="L194" s="112" t="s">
        <v>1671</v>
      </c>
      <c r="M194" s="112" t="s">
        <v>74</v>
      </c>
      <c r="N194" s="112" t="s">
        <v>74</v>
      </c>
      <c r="O194" s="115"/>
    </row>
    <row r="195" spans="1:15" x14ac:dyDescent="0.35">
      <c r="A195" s="116">
        <v>45392</v>
      </c>
      <c r="B195" s="117" t="s">
        <v>185</v>
      </c>
      <c r="C195" s="111" t="s">
        <v>1669</v>
      </c>
      <c r="D195" s="117" t="s">
        <v>66</v>
      </c>
      <c r="E195" s="118" t="s">
        <v>11</v>
      </c>
      <c r="F195" s="118"/>
      <c r="G195" s="118" t="s">
        <v>373</v>
      </c>
      <c r="H195" s="118" t="s">
        <v>4</v>
      </c>
      <c r="I195" s="113">
        <f t="shared" si="2"/>
        <v>159.25</v>
      </c>
      <c r="J195" s="119">
        <v>1911</v>
      </c>
      <c r="K195" s="116">
        <v>45757</v>
      </c>
      <c r="L195" s="118" t="s">
        <v>1672</v>
      </c>
      <c r="M195" s="118"/>
      <c r="N195" s="118"/>
      <c r="O195" s="121" t="s">
        <v>1674</v>
      </c>
    </row>
    <row r="196" spans="1:15" x14ac:dyDescent="0.35">
      <c r="A196" s="110">
        <v>45393</v>
      </c>
      <c r="B196" s="111" t="s">
        <v>185</v>
      </c>
      <c r="C196" s="111" t="s">
        <v>1669</v>
      </c>
      <c r="D196" s="111" t="s">
        <v>52</v>
      </c>
      <c r="E196" s="112" t="s">
        <v>155</v>
      </c>
      <c r="F196" s="112">
        <v>4189058</v>
      </c>
      <c r="G196" s="112" t="s">
        <v>398</v>
      </c>
      <c r="H196" s="112" t="s">
        <v>399</v>
      </c>
      <c r="I196" s="113">
        <f t="shared" si="2"/>
        <v>401.47916666666669</v>
      </c>
      <c r="J196" s="114">
        <v>4817.75</v>
      </c>
      <c r="K196" s="110">
        <v>45758</v>
      </c>
      <c r="L196" s="112" t="s">
        <v>1671</v>
      </c>
      <c r="M196" s="112" t="s">
        <v>74</v>
      </c>
      <c r="N196" s="112" t="s">
        <v>74</v>
      </c>
      <c r="O196" s="115"/>
    </row>
    <row r="197" spans="1:15" x14ac:dyDescent="0.35">
      <c r="A197" s="116">
        <v>45393</v>
      </c>
      <c r="B197" s="117" t="s">
        <v>185</v>
      </c>
      <c r="C197" s="111" t="s">
        <v>1669</v>
      </c>
      <c r="D197" s="117" t="s">
        <v>52</v>
      </c>
      <c r="E197" s="118" t="s">
        <v>155</v>
      </c>
      <c r="F197" s="118">
        <v>4189013</v>
      </c>
      <c r="G197" s="118" t="s">
        <v>402</v>
      </c>
      <c r="H197" s="118" t="s">
        <v>395</v>
      </c>
      <c r="I197" s="113">
        <f t="shared" ref="I197:I260" si="3">J197/12</f>
        <v>41.80833333333333</v>
      </c>
      <c r="J197" s="120">
        <v>501.7</v>
      </c>
      <c r="K197" s="110">
        <v>45758</v>
      </c>
      <c r="L197" s="118" t="s">
        <v>1671</v>
      </c>
      <c r="M197" s="112" t="s">
        <v>74</v>
      </c>
      <c r="N197" s="112" t="s">
        <v>74</v>
      </c>
      <c r="O197" s="121"/>
    </row>
    <row r="198" spans="1:15" x14ac:dyDescent="0.35">
      <c r="A198" s="110">
        <v>45393</v>
      </c>
      <c r="B198" s="111" t="s">
        <v>185</v>
      </c>
      <c r="C198" s="111" t="s">
        <v>1669</v>
      </c>
      <c r="D198" s="111" t="s">
        <v>52</v>
      </c>
      <c r="E198" s="112" t="s">
        <v>98</v>
      </c>
      <c r="F198" s="112"/>
      <c r="G198" s="112" t="s">
        <v>403</v>
      </c>
      <c r="H198" s="112" t="s">
        <v>404</v>
      </c>
      <c r="I198" s="113">
        <f t="shared" si="3"/>
        <v>204.17416666666668</v>
      </c>
      <c r="J198" s="114">
        <v>2450.09</v>
      </c>
      <c r="K198" s="110">
        <v>45758</v>
      </c>
      <c r="L198" s="112" t="s">
        <v>1671</v>
      </c>
      <c r="M198" s="112" t="s">
        <v>74</v>
      </c>
      <c r="N198" s="112" t="s">
        <v>74</v>
      </c>
      <c r="O198" s="115"/>
    </row>
    <row r="199" spans="1:15" x14ac:dyDescent="0.35">
      <c r="A199" s="116">
        <v>45393</v>
      </c>
      <c r="B199" s="117" t="s">
        <v>185</v>
      </c>
      <c r="C199" s="111" t="s">
        <v>1669</v>
      </c>
      <c r="D199" s="117" t="s">
        <v>52</v>
      </c>
      <c r="E199" s="118" t="s">
        <v>377</v>
      </c>
      <c r="F199" s="118">
        <v>4189023</v>
      </c>
      <c r="G199" s="118" t="s">
        <v>401</v>
      </c>
      <c r="H199" s="118" t="s">
        <v>395</v>
      </c>
      <c r="I199" s="113">
        <f t="shared" si="3"/>
        <v>114.91083333333334</v>
      </c>
      <c r="J199" s="120">
        <v>1378.93</v>
      </c>
      <c r="K199" s="110">
        <v>45758</v>
      </c>
      <c r="L199" s="118" t="s">
        <v>1671</v>
      </c>
      <c r="M199" s="112" t="s">
        <v>74</v>
      </c>
      <c r="N199" s="112" t="s">
        <v>74</v>
      </c>
      <c r="O199" s="121"/>
    </row>
    <row r="200" spans="1:15" x14ac:dyDescent="0.35">
      <c r="A200" s="110">
        <v>45394</v>
      </c>
      <c r="B200" s="111" t="s">
        <v>185</v>
      </c>
      <c r="C200" s="111" t="s">
        <v>1669</v>
      </c>
      <c r="D200" s="111" t="s">
        <v>52</v>
      </c>
      <c r="E200" s="112" t="s">
        <v>57</v>
      </c>
      <c r="F200" s="112" t="s">
        <v>412</v>
      </c>
      <c r="G200" s="112" t="s">
        <v>413</v>
      </c>
      <c r="H200" s="112" t="s">
        <v>414</v>
      </c>
      <c r="I200" s="113">
        <f t="shared" si="3"/>
        <v>59.856666666666662</v>
      </c>
      <c r="J200" s="114">
        <v>718.28</v>
      </c>
      <c r="K200" s="110">
        <v>45759</v>
      </c>
      <c r="L200" s="112" t="s">
        <v>1671</v>
      </c>
      <c r="M200" s="112" t="s">
        <v>74</v>
      </c>
      <c r="N200" s="112" t="s">
        <v>74</v>
      </c>
      <c r="O200" s="115"/>
    </row>
    <row r="201" spans="1:15" x14ac:dyDescent="0.35">
      <c r="A201" s="116">
        <v>45394</v>
      </c>
      <c r="B201" s="117" t="s">
        <v>185</v>
      </c>
      <c r="C201" s="111" t="s">
        <v>1669</v>
      </c>
      <c r="D201" s="117" t="s">
        <v>52</v>
      </c>
      <c r="E201" s="118" t="s">
        <v>90</v>
      </c>
      <c r="F201" s="118">
        <v>4189058</v>
      </c>
      <c r="G201" s="118" t="s">
        <v>411</v>
      </c>
      <c r="H201" s="118" t="s">
        <v>6</v>
      </c>
      <c r="I201" s="113">
        <f t="shared" si="3"/>
        <v>41.80833333333333</v>
      </c>
      <c r="J201" s="120">
        <v>501.7</v>
      </c>
      <c r="K201" s="110">
        <v>45759</v>
      </c>
      <c r="L201" s="118" t="s">
        <v>1671</v>
      </c>
      <c r="M201" s="112" t="s">
        <v>74</v>
      </c>
      <c r="N201" s="112" t="s">
        <v>74</v>
      </c>
      <c r="O201" s="121"/>
    </row>
    <row r="202" spans="1:15" x14ac:dyDescent="0.35">
      <c r="A202" s="110">
        <v>45394</v>
      </c>
      <c r="B202" s="111" t="s">
        <v>185</v>
      </c>
      <c r="C202" s="111" t="s">
        <v>1669</v>
      </c>
      <c r="D202" s="111" t="s">
        <v>52</v>
      </c>
      <c r="E202" s="112" t="s">
        <v>60</v>
      </c>
      <c r="F202" s="112">
        <v>4188773</v>
      </c>
      <c r="G202" s="112" t="s">
        <v>409</v>
      </c>
      <c r="H202" s="112" t="s">
        <v>6</v>
      </c>
      <c r="I202" s="113">
        <f t="shared" si="3"/>
        <v>57.539166666666667</v>
      </c>
      <c r="J202" s="114">
        <v>690.47</v>
      </c>
      <c r="K202" s="110">
        <v>45759</v>
      </c>
      <c r="L202" s="112" t="s">
        <v>1671</v>
      </c>
      <c r="M202" s="112" t="s">
        <v>74</v>
      </c>
      <c r="N202" s="112" t="s">
        <v>74</v>
      </c>
      <c r="O202" s="115"/>
    </row>
    <row r="203" spans="1:15" x14ac:dyDescent="0.35">
      <c r="A203" s="116">
        <v>45394</v>
      </c>
      <c r="B203" s="117" t="s">
        <v>185</v>
      </c>
      <c r="C203" s="111" t="s">
        <v>1669</v>
      </c>
      <c r="D203" s="117" t="s">
        <v>52</v>
      </c>
      <c r="E203" s="118" t="s">
        <v>60</v>
      </c>
      <c r="F203" s="118">
        <v>4189099</v>
      </c>
      <c r="G203" s="118" t="s">
        <v>410</v>
      </c>
      <c r="H203" s="118" t="s">
        <v>6</v>
      </c>
      <c r="I203" s="113">
        <f t="shared" si="3"/>
        <v>74.135833333333338</v>
      </c>
      <c r="J203" s="120">
        <v>889.63</v>
      </c>
      <c r="K203" s="110">
        <v>45759</v>
      </c>
      <c r="L203" s="118" t="s">
        <v>1671</v>
      </c>
      <c r="M203" s="112" t="s">
        <v>74</v>
      </c>
      <c r="N203" s="112" t="s">
        <v>74</v>
      </c>
      <c r="O203" s="121"/>
    </row>
    <row r="204" spans="1:15" x14ac:dyDescent="0.35">
      <c r="A204" s="110">
        <v>45394</v>
      </c>
      <c r="B204" s="111" t="s">
        <v>185</v>
      </c>
      <c r="C204" s="111" t="s">
        <v>1669</v>
      </c>
      <c r="D204" s="111" t="s">
        <v>66</v>
      </c>
      <c r="E204" s="112" t="s">
        <v>11</v>
      </c>
      <c r="F204" s="112"/>
      <c r="G204" s="112" t="s">
        <v>406</v>
      </c>
      <c r="H204" s="112" t="s">
        <v>407</v>
      </c>
      <c r="I204" s="113">
        <f t="shared" si="3"/>
        <v>104.15920398009952</v>
      </c>
      <c r="J204" s="114">
        <f>+(104.68*12)/1.005</f>
        <v>1249.9104477611943</v>
      </c>
      <c r="K204" s="110">
        <v>45759</v>
      </c>
      <c r="L204" s="112" t="s">
        <v>1671</v>
      </c>
      <c r="M204" s="112" t="s">
        <v>74</v>
      </c>
      <c r="N204" s="112" t="s">
        <v>74</v>
      </c>
      <c r="O204" s="115"/>
    </row>
    <row r="205" spans="1:15" x14ac:dyDescent="0.35">
      <c r="A205" s="116">
        <v>45397</v>
      </c>
      <c r="B205" s="117" t="s">
        <v>185</v>
      </c>
      <c r="C205" s="111" t="s">
        <v>1669</v>
      </c>
      <c r="D205" s="117" t="s">
        <v>66</v>
      </c>
      <c r="E205" s="118" t="s">
        <v>218</v>
      </c>
      <c r="F205" s="118"/>
      <c r="G205" s="118" t="s">
        <v>416</v>
      </c>
      <c r="H205" s="118" t="s">
        <v>5</v>
      </c>
      <c r="I205" s="113">
        <f t="shared" si="3"/>
        <v>193.69154228855723</v>
      </c>
      <c r="J205" s="120">
        <f>194.66*12/(1.005)</f>
        <v>2324.2985074626868</v>
      </c>
      <c r="K205" s="116">
        <v>45762</v>
      </c>
      <c r="L205" s="118" t="s">
        <v>1671</v>
      </c>
      <c r="M205" s="118" t="s">
        <v>74</v>
      </c>
      <c r="N205" s="118" t="s">
        <v>74</v>
      </c>
      <c r="O205" s="121"/>
    </row>
    <row r="206" spans="1:15" x14ac:dyDescent="0.35">
      <c r="A206" s="110">
        <v>45397</v>
      </c>
      <c r="B206" s="111" t="s">
        <v>185</v>
      </c>
      <c r="C206" s="111" t="s">
        <v>1669</v>
      </c>
      <c r="D206" s="111" t="s">
        <v>66</v>
      </c>
      <c r="E206" s="112" t="s">
        <v>218</v>
      </c>
      <c r="F206" s="112"/>
      <c r="G206" s="112" t="s">
        <v>418</v>
      </c>
      <c r="H206" s="112" t="s">
        <v>5</v>
      </c>
      <c r="I206" s="113">
        <f t="shared" si="3"/>
        <v>438.21890547263683</v>
      </c>
      <c r="J206" s="114">
        <f>440.41*12/(1.005)</f>
        <v>5258.626865671642</v>
      </c>
      <c r="K206" s="110">
        <v>45762</v>
      </c>
      <c r="L206" s="112" t="s">
        <v>1671</v>
      </c>
      <c r="M206" s="112" t="s">
        <v>74</v>
      </c>
      <c r="N206" s="112" t="s">
        <v>74</v>
      </c>
      <c r="O206" s="115"/>
    </row>
    <row r="207" spans="1:15" x14ac:dyDescent="0.35">
      <c r="A207" s="116">
        <v>45397</v>
      </c>
      <c r="B207" s="117" t="s">
        <v>185</v>
      </c>
      <c r="C207" s="111" t="s">
        <v>1669</v>
      </c>
      <c r="D207" s="117" t="s">
        <v>66</v>
      </c>
      <c r="E207" s="118" t="s">
        <v>175</v>
      </c>
      <c r="F207" s="118"/>
      <c r="G207" s="118" t="s">
        <v>415</v>
      </c>
      <c r="H207" s="118" t="s">
        <v>5</v>
      </c>
      <c r="I207" s="113">
        <f t="shared" si="3"/>
        <v>82.905472636815929</v>
      </c>
      <c r="J207" s="120">
        <f>83.32*12/(1.005)</f>
        <v>994.8656716417911</v>
      </c>
      <c r="K207" s="116">
        <v>45762</v>
      </c>
      <c r="L207" s="118" t="s">
        <v>1671</v>
      </c>
      <c r="M207" s="118" t="s">
        <v>74</v>
      </c>
      <c r="N207" s="118" t="s">
        <v>74</v>
      </c>
      <c r="O207" s="121"/>
    </row>
    <row r="208" spans="1:15" x14ac:dyDescent="0.35">
      <c r="A208" s="110">
        <v>45398</v>
      </c>
      <c r="B208" s="111" t="s">
        <v>185</v>
      </c>
      <c r="C208" s="111" t="s">
        <v>1669</v>
      </c>
      <c r="D208" s="111" t="s">
        <v>52</v>
      </c>
      <c r="E208" s="112" t="s">
        <v>377</v>
      </c>
      <c r="F208" s="112">
        <v>4189251</v>
      </c>
      <c r="G208" s="112" t="s">
        <v>419</v>
      </c>
      <c r="H208" s="112" t="s">
        <v>6</v>
      </c>
      <c r="I208" s="113">
        <f t="shared" si="3"/>
        <v>120.5125</v>
      </c>
      <c r="J208" s="114">
        <v>1446.15</v>
      </c>
      <c r="K208" s="110">
        <v>45763</v>
      </c>
      <c r="L208" s="112" t="s">
        <v>1671</v>
      </c>
      <c r="M208" s="112" t="s">
        <v>74</v>
      </c>
      <c r="N208" s="112" t="s">
        <v>74</v>
      </c>
      <c r="O208" s="115"/>
    </row>
    <row r="209" spans="1:15" x14ac:dyDescent="0.35">
      <c r="A209" s="116">
        <v>45399</v>
      </c>
      <c r="B209" s="117" t="s">
        <v>185</v>
      </c>
      <c r="C209" s="111" t="s">
        <v>1669</v>
      </c>
      <c r="D209" s="117" t="s">
        <v>52</v>
      </c>
      <c r="E209" s="118" t="s">
        <v>155</v>
      </c>
      <c r="F209" s="118">
        <v>4189337</v>
      </c>
      <c r="G209" s="118" t="s">
        <v>423</v>
      </c>
      <c r="H209" s="118" t="s">
        <v>6</v>
      </c>
      <c r="I209" s="113">
        <f t="shared" si="3"/>
        <v>147.66583333333332</v>
      </c>
      <c r="J209" s="120">
        <v>1771.99</v>
      </c>
      <c r="K209" s="116">
        <v>45764</v>
      </c>
      <c r="L209" s="118" t="s">
        <v>1671</v>
      </c>
      <c r="M209" s="118" t="s">
        <v>74</v>
      </c>
      <c r="N209" s="118" t="s">
        <v>74</v>
      </c>
      <c r="O209" s="121"/>
    </row>
    <row r="210" spans="1:15" x14ac:dyDescent="0.35">
      <c r="A210" s="110">
        <v>45399</v>
      </c>
      <c r="B210" s="111" t="s">
        <v>185</v>
      </c>
      <c r="C210" s="111" t="s">
        <v>1669</v>
      </c>
      <c r="D210" s="111" t="s">
        <v>66</v>
      </c>
      <c r="E210" s="112" t="s">
        <v>11</v>
      </c>
      <c r="F210" s="112"/>
      <c r="G210" s="112" t="s">
        <v>424</v>
      </c>
      <c r="H210" s="112" t="s">
        <v>3</v>
      </c>
      <c r="I210" s="113">
        <f t="shared" si="3"/>
        <v>67.419154228855732</v>
      </c>
      <c r="J210" s="114">
        <f>+(73.2*12)/1.005-65</f>
        <v>809.02985074626883</v>
      </c>
      <c r="K210" s="110">
        <v>45764</v>
      </c>
      <c r="L210" s="112" t="s">
        <v>1671</v>
      </c>
      <c r="M210" s="112" t="s">
        <v>74</v>
      </c>
      <c r="N210" s="112" t="s">
        <v>74</v>
      </c>
      <c r="O210" s="115"/>
    </row>
    <row r="211" spans="1:15" x14ac:dyDescent="0.35">
      <c r="A211" s="116">
        <v>45399</v>
      </c>
      <c r="B211" s="117" t="s">
        <v>185</v>
      </c>
      <c r="C211" s="111" t="s">
        <v>1669</v>
      </c>
      <c r="D211" s="117" t="s">
        <v>66</v>
      </c>
      <c r="E211" s="118" t="s">
        <v>16</v>
      </c>
      <c r="F211" s="118"/>
      <c r="G211" s="118" t="s">
        <v>420</v>
      </c>
      <c r="H211" s="118" t="s">
        <v>2</v>
      </c>
      <c r="I211" s="113">
        <f t="shared" si="3"/>
        <v>48.207560329195154</v>
      </c>
      <c r="J211" s="120">
        <f>51.84*12/(1.005)/1.07</f>
        <v>578.49072395034182</v>
      </c>
      <c r="K211" s="116">
        <v>45764</v>
      </c>
      <c r="L211" s="118" t="s">
        <v>1671</v>
      </c>
      <c r="M211" s="118" t="s">
        <v>74</v>
      </c>
      <c r="N211" s="118" t="s">
        <v>74</v>
      </c>
      <c r="O211" s="121"/>
    </row>
    <row r="212" spans="1:15" x14ac:dyDescent="0.35">
      <c r="A212" s="110">
        <v>45399</v>
      </c>
      <c r="B212" s="111" t="s">
        <v>185</v>
      </c>
      <c r="C212" s="111" t="s">
        <v>1669</v>
      </c>
      <c r="D212" s="111" t="s">
        <v>66</v>
      </c>
      <c r="E212" s="112" t="s">
        <v>16</v>
      </c>
      <c r="F212" s="112"/>
      <c r="G212" s="112" t="s">
        <v>422</v>
      </c>
      <c r="H212" s="112" t="s">
        <v>2</v>
      </c>
      <c r="I212" s="113">
        <f t="shared" si="3"/>
        <v>79.230018133630921</v>
      </c>
      <c r="J212" s="114">
        <f>85.2*12/(1.005)/1.07</f>
        <v>950.76021760357105</v>
      </c>
      <c r="K212" s="110">
        <v>45764</v>
      </c>
      <c r="L212" s="112" t="s">
        <v>1671</v>
      </c>
      <c r="M212" s="112" t="s">
        <v>74</v>
      </c>
      <c r="N212" s="112" t="s">
        <v>74</v>
      </c>
      <c r="O212" s="115"/>
    </row>
    <row r="213" spans="1:15" x14ac:dyDescent="0.35">
      <c r="A213" s="116">
        <v>45400</v>
      </c>
      <c r="B213" s="117" t="s">
        <v>185</v>
      </c>
      <c r="C213" s="111" t="s">
        <v>1669</v>
      </c>
      <c r="D213" s="117" t="s">
        <v>66</v>
      </c>
      <c r="E213" s="118" t="s">
        <v>11</v>
      </c>
      <c r="F213" s="118"/>
      <c r="G213" s="118" t="s">
        <v>424</v>
      </c>
      <c r="H213" s="118" t="s">
        <v>404</v>
      </c>
      <c r="I213" s="113">
        <f t="shared" si="3"/>
        <v>143.6318407960199</v>
      </c>
      <c r="J213" s="120">
        <f>+(144.35*12)/1.005</f>
        <v>1723.5820895522388</v>
      </c>
      <c r="K213" s="116">
        <v>45765</v>
      </c>
      <c r="L213" s="118" t="s">
        <v>1671</v>
      </c>
      <c r="M213" s="118" t="s">
        <v>74</v>
      </c>
      <c r="N213" s="118" t="s">
        <v>74</v>
      </c>
      <c r="O213" s="121"/>
    </row>
    <row r="214" spans="1:15" x14ac:dyDescent="0.35">
      <c r="A214" s="110">
        <v>45400</v>
      </c>
      <c r="B214" s="111" t="s">
        <v>185</v>
      </c>
      <c r="C214" s="111" t="s">
        <v>1669</v>
      </c>
      <c r="D214" s="111" t="s">
        <v>66</v>
      </c>
      <c r="E214" s="112" t="s">
        <v>218</v>
      </c>
      <c r="F214" s="112"/>
      <c r="G214" s="112" t="s">
        <v>425</v>
      </c>
      <c r="H214" s="112" t="s">
        <v>6</v>
      </c>
      <c r="I214" s="113">
        <f t="shared" si="3"/>
        <v>204.71</v>
      </c>
      <c r="J214" s="114">
        <f>204.71*12</f>
        <v>2456.52</v>
      </c>
      <c r="K214" s="110">
        <v>45765</v>
      </c>
      <c r="L214" s="112" t="s">
        <v>1671</v>
      </c>
      <c r="M214" s="112" t="s">
        <v>74</v>
      </c>
      <c r="N214" s="112" t="s">
        <v>74</v>
      </c>
      <c r="O214" s="115"/>
    </row>
    <row r="215" spans="1:15" x14ac:dyDescent="0.35">
      <c r="A215" s="116">
        <v>45400</v>
      </c>
      <c r="B215" s="117" t="s">
        <v>185</v>
      </c>
      <c r="C215" s="111" t="s">
        <v>1669</v>
      </c>
      <c r="D215" s="117" t="s">
        <v>66</v>
      </c>
      <c r="E215" s="118" t="s">
        <v>14</v>
      </c>
      <c r="F215" s="118"/>
      <c r="G215" s="118" t="s">
        <v>427</v>
      </c>
      <c r="H215" s="118" t="s">
        <v>3</v>
      </c>
      <c r="I215" s="113">
        <f t="shared" si="3"/>
        <v>233.42910447761196</v>
      </c>
      <c r="J215" s="120">
        <f>+(240.04*12)/1.005-65</f>
        <v>2801.1492537313434</v>
      </c>
      <c r="K215" s="116">
        <v>45765</v>
      </c>
      <c r="L215" s="118" t="s">
        <v>1671</v>
      </c>
      <c r="M215" s="118" t="s">
        <v>74</v>
      </c>
      <c r="N215" s="118" t="s">
        <v>74</v>
      </c>
      <c r="O215" s="121"/>
    </row>
    <row r="216" spans="1:15" x14ac:dyDescent="0.35">
      <c r="A216" s="110">
        <v>45402</v>
      </c>
      <c r="B216" s="111" t="s">
        <v>185</v>
      </c>
      <c r="C216" s="111" t="s">
        <v>1669</v>
      </c>
      <c r="D216" s="111" t="s">
        <v>66</v>
      </c>
      <c r="E216" s="112" t="s">
        <v>218</v>
      </c>
      <c r="F216" s="112"/>
      <c r="G216" s="112" t="s">
        <v>428</v>
      </c>
      <c r="H216" s="112" t="s">
        <v>5</v>
      </c>
      <c r="I216" s="113">
        <f t="shared" si="3"/>
        <v>154.06965174129354</v>
      </c>
      <c r="J216" s="114">
        <f>154.84*12/(1.005)</f>
        <v>1848.8358208955226</v>
      </c>
      <c r="K216" s="110">
        <v>45767</v>
      </c>
      <c r="L216" s="112" t="s">
        <v>1671</v>
      </c>
      <c r="M216" s="112" t="s">
        <v>74</v>
      </c>
      <c r="N216" s="112" t="s">
        <v>74</v>
      </c>
      <c r="O216" s="115"/>
    </row>
    <row r="217" spans="1:15" x14ac:dyDescent="0.35">
      <c r="A217" s="116">
        <v>45404</v>
      </c>
      <c r="B217" s="117" t="s">
        <v>185</v>
      </c>
      <c r="C217" s="111" t="s">
        <v>1669</v>
      </c>
      <c r="D217" s="117" t="s">
        <v>52</v>
      </c>
      <c r="E217" s="118" t="s">
        <v>155</v>
      </c>
      <c r="F217" s="118" t="s">
        <v>431</v>
      </c>
      <c r="G217" s="118" t="s">
        <v>432</v>
      </c>
      <c r="H217" s="118" t="s">
        <v>3</v>
      </c>
      <c r="I217" s="113">
        <f t="shared" si="3"/>
        <v>67.632500000000007</v>
      </c>
      <c r="J217" s="120">
        <v>811.59</v>
      </c>
      <c r="K217" s="116">
        <v>45769</v>
      </c>
      <c r="L217" s="118" t="s">
        <v>1671</v>
      </c>
      <c r="M217" s="118" t="s">
        <v>74</v>
      </c>
      <c r="N217" s="118" t="s">
        <v>74</v>
      </c>
      <c r="O217" s="121"/>
    </row>
    <row r="218" spans="1:15" x14ac:dyDescent="0.35">
      <c r="A218" s="110">
        <v>45404</v>
      </c>
      <c r="B218" s="111" t="s">
        <v>185</v>
      </c>
      <c r="C218" s="111" t="s">
        <v>1669</v>
      </c>
      <c r="D218" s="111" t="s">
        <v>52</v>
      </c>
      <c r="E218" s="112" t="s">
        <v>155</v>
      </c>
      <c r="F218" s="112" t="s">
        <v>433</v>
      </c>
      <c r="G218" s="112" t="s">
        <v>434</v>
      </c>
      <c r="H218" s="112" t="s">
        <v>3</v>
      </c>
      <c r="I218" s="113">
        <f t="shared" si="3"/>
        <v>124.2625</v>
      </c>
      <c r="J218" s="114">
        <v>1491.15</v>
      </c>
      <c r="K218" s="116">
        <v>45769</v>
      </c>
      <c r="L218" s="112" t="s">
        <v>1671</v>
      </c>
      <c r="M218" s="112" t="s">
        <v>74</v>
      </c>
      <c r="N218" s="112" t="s">
        <v>74</v>
      </c>
      <c r="O218" s="115"/>
    </row>
    <row r="219" spans="1:15" x14ac:dyDescent="0.35">
      <c r="A219" s="116">
        <v>45404</v>
      </c>
      <c r="B219" s="117" t="s">
        <v>185</v>
      </c>
      <c r="C219" s="111" t="s">
        <v>1669</v>
      </c>
      <c r="D219" s="117" t="s">
        <v>52</v>
      </c>
      <c r="E219" s="118" t="s">
        <v>129</v>
      </c>
      <c r="F219" s="118">
        <v>4189498</v>
      </c>
      <c r="G219" s="118" t="s">
        <v>435</v>
      </c>
      <c r="H219" s="118" t="s">
        <v>6</v>
      </c>
      <c r="I219" s="113">
        <f t="shared" si="3"/>
        <v>62.335000000000001</v>
      </c>
      <c r="J219" s="120">
        <v>748.02</v>
      </c>
      <c r="K219" s="116">
        <v>45769</v>
      </c>
      <c r="L219" s="118" t="s">
        <v>1671</v>
      </c>
      <c r="M219" s="118" t="s">
        <v>74</v>
      </c>
      <c r="N219" s="118" t="s">
        <v>74</v>
      </c>
      <c r="O219" s="121"/>
    </row>
    <row r="220" spans="1:15" x14ac:dyDescent="0.35">
      <c r="A220" s="110">
        <v>45404</v>
      </c>
      <c r="B220" s="111" t="s">
        <v>185</v>
      </c>
      <c r="C220" s="111" t="s">
        <v>1669</v>
      </c>
      <c r="D220" s="111" t="s">
        <v>52</v>
      </c>
      <c r="E220" s="112" t="s">
        <v>118</v>
      </c>
      <c r="F220" s="112"/>
      <c r="G220" s="112" t="s">
        <v>430</v>
      </c>
      <c r="H220" s="112" t="s">
        <v>5</v>
      </c>
      <c r="I220" s="113">
        <f t="shared" si="3"/>
        <v>84.405833333333334</v>
      </c>
      <c r="J220" s="114">
        <v>1012.87</v>
      </c>
      <c r="K220" s="116">
        <v>45769</v>
      </c>
      <c r="L220" s="112" t="s">
        <v>1671</v>
      </c>
      <c r="M220" s="112" t="s">
        <v>74</v>
      </c>
      <c r="N220" s="112" t="s">
        <v>74</v>
      </c>
      <c r="O220" s="115"/>
    </row>
    <row r="221" spans="1:15" x14ac:dyDescent="0.35">
      <c r="A221" s="116">
        <v>45404</v>
      </c>
      <c r="B221" s="117" t="s">
        <v>185</v>
      </c>
      <c r="C221" s="111" t="s">
        <v>1669</v>
      </c>
      <c r="D221" s="117" t="s">
        <v>52</v>
      </c>
      <c r="E221" s="118" t="s">
        <v>60</v>
      </c>
      <c r="F221" s="118"/>
      <c r="G221" s="118" t="s">
        <v>436</v>
      </c>
      <c r="H221" s="118" t="s">
        <v>5</v>
      </c>
      <c r="I221" s="113">
        <f t="shared" si="3"/>
        <v>370.19</v>
      </c>
      <c r="J221" s="120">
        <v>4442.28</v>
      </c>
      <c r="K221" s="116">
        <v>45769</v>
      </c>
      <c r="L221" s="118" t="s">
        <v>1671</v>
      </c>
      <c r="M221" s="118" t="s">
        <v>74</v>
      </c>
      <c r="N221" s="118" t="s">
        <v>74</v>
      </c>
      <c r="O221" s="121"/>
    </row>
    <row r="222" spans="1:15" x14ac:dyDescent="0.35">
      <c r="A222" s="110">
        <v>45405</v>
      </c>
      <c r="B222" s="111" t="s">
        <v>185</v>
      </c>
      <c r="C222" s="111" t="s">
        <v>1669</v>
      </c>
      <c r="D222" s="111" t="s">
        <v>66</v>
      </c>
      <c r="E222" s="112" t="s">
        <v>13</v>
      </c>
      <c r="F222" s="112"/>
      <c r="G222" s="112" t="s">
        <v>437</v>
      </c>
      <c r="H222" s="112" t="s">
        <v>5</v>
      </c>
      <c r="I222" s="113">
        <f t="shared" si="3"/>
        <v>377.52238805970154</v>
      </c>
      <c r="J222" s="114">
        <f>379.41*12/(1.005)</f>
        <v>4530.2686567164183</v>
      </c>
      <c r="K222" s="110">
        <v>45770</v>
      </c>
      <c r="L222" s="112" t="s">
        <v>1671</v>
      </c>
      <c r="M222" s="112" t="s">
        <v>74</v>
      </c>
      <c r="N222" s="112" t="s">
        <v>74</v>
      </c>
      <c r="O222" s="115"/>
    </row>
    <row r="223" spans="1:15" x14ac:dyDescent="0.35">
      <c r="A223" s="116">
        <v>45406</v>
      </c>
      <c r="B223" s="117" t="s">
        <v>185</v>
      </c>
      <c r="C223" s="111" t="s">
        <v>1669</v>
      </c>
      <c r="D223" s="117" t="s">
        <v>52</v>
      </c>
      <c r="E223" s="118" t="s">
        <v>113</v>
      </c>
      <c r="F223" s="118">
        <v>4189721</v>
      </c>
      <c r="G223" s="118" t="s">
        <v>439</v>
      </c>
      <c r="H223" s="118" t="s">
        <v>6</v>
      </c>
      <c r="I223" s="113">
        <f t="shared" si="3"/>
        <v>62.514166666666661</v>
      </c>
      <c r="J223" s="120">
        <v>750.17</v>
      </c>
      <c r="K223" s="116">
        <v>45771</v>
      </c>
      <c r="L223" s="118" t="s">
        <v>1671</v>
      </c>
      <c r="M223" s="118" t="s">
        <v>74</v>
      </c>
      <c r="N223" s="118" t="s">
        <v>74</v>
      </c>
      <c r="O223" s="121"/>
    </row>
    <row r="224" spans="1:15" x14ac:dyDescent="0.35">
      <c r="A224" s="110">
        <v>45407</v>
      </c>
      <c r="B224" s="111" t="s">
        <v>185</v>
      </c>
      <c r="C224" s="111" t="s">
        <v>1669</v>
      </c>
      <c r="D224" s="111" t="s">
        <v>52</v>
      </c>
      <c r="E224" s="112" t="s">
        <v>75</v>
      </c>
      <c r="F224" s="112">
        <v>4189737</v>
      </c>
      <c r="G224" s="112" t="s">
        <v>440</v>
      </c>
      <c r="H224" s="112" t="s">
        <v>6</v>
      </c>
      <c r="I224" s="113">
        <f t="shared" si="3"/>
        <v>171.715</v>
      </c>
      <c r="J224" s="114">
        <v>2060.58</v>
      </c>
      <c r="K224" s="110">
        <v>45772</v>
      </c>
      <c r="L224" s="112" t="s">
        <v>1671</v>
      </c>
      <c r="M224" s="112" t="s">
        <v>74</v>
      </c>
      <c r="N224" s="112" t="s">
        <v>74</v>
      </c>
      <c r="O224" s="115"/>
    </row>
    <row r="225" spans="1:15" x14ac:dyDescent="0.35">
      <c r="A225" s="116">
        <v>45407</v>
      </c>
      <c r="B225" s="117" t="s">
        <v>185</v>
      </c>
      <c r="C225" s="111" t="s">
        <v>1669</v>
      </c>
      <c r="D225" s="117" t="s">
        <v>52</v>
      </c>
      <c r="E225" s="118" t="s">
        <v>75</v>
      </c>
      <c r="F225" s="118">
        <v>4189737</v>
      </c>
      <c r="G225" s="118" t="s">
        <v>441</v>
      </c>
      <c r="H225" s="118" t="s">
        <v>6</v>
      </c>
      <c r="I225" s="113">
        <f t="shared" si="3"/>
        <v>128.67166666666665</v>
      </c>
      <c r="J225" s="120">
        <v>1544.06</v>
      </c>
      <c r="K225" s="110">
        <v>45772</v>
      </c>
      <c r="L225" s="118" t="s">
        <v>1671</v>
      </c>
      <c r="M225" s="118" t="s">
        <v>74</v>
      </c>
      <c r="N225" s="118" t="s">
        <v>74</v>
      </c>
      <c r="O225" s="121"/>
    </row>
    <row r="226" spans="1:15" x14ac:dyDescent="0.35">
      <c r="A226" s="110">
        <v>45407</v>
      </c>
      <c r="B226" s="111" t="s">
        <v>185</v>
      </c>
      <c r="C226" s="111" t="s">
        <v>1669</v>
      </c>
      <c r="D226" s="111" t="s">
        <v>52</v>
      </c>
      <c r="E226" s="112" t="s">
        <v>75</v>
      </c>
      <c r="F226" s="112"/>
      <c r="G226" s="112" t="s">
        <v>442</v>
      </c>
      <c r="H226" s="112" t="s">
        <v>55</v>
      </c>
      <c r="I226" s="113">
        <f t="shared" si="3"/>
        <v>248.53083333333333</v>
      </c>
      <c r="J226" s="114">
        <v>2982.37</v>
      </c>
      <c r="K226" s="110">
        <v>45772</v>
      </c>
      <c r="L226" s="112" t="s">
        <v>1671</v>
      </c>
      <c r="M226" s="112" t="s">
        <v>74</v>
      </c>
      <c r="N226" s="112" t="s">
        <v>74</v>
      </c>
      <c r="O226" s="115"/>
    </row>
    <row r="227" spans="1:15" x14ac:dyDescent="0.35">
      <c r="A227" s="116">
        <v>45407</v>
      </c>
      <c r="B227" s="117" t="s">
        <v>185</v>
      </c>
      <c r="C227" s="111" t="s">
        <v>1669</v>
      </c>
      <c r="D227" s="117" t="s">
        <v>66</v>
      </c>
      <c r="E227" s="118" t="s">
        <v>13</v>
      </c>
      <c r="F227" s="118"/>
      <c r="G227" s="118" t="s">
        <v>443</v>
      </c>
      <c r="H227" s="118" t="s">
        <v>3</v>
      </c>
      <c r="I227" s="113">
        <f t="shared" si="3"/>
        <v>49.458955223880601</v>
      </c>
      <c r="J227" s="120">
        <f>+(55.15*12)/1.005-65</f>
        <v>593.50746268656724</v>
      </c>
      <c r="K227" s="110">
        <v>45772</v>
      </c>
      <c r="L227" s="118" t="s">
        <v>1671</v>
      </c>
      <c r="M227" s="118" t="s">
        <v>74</v>
      </c>
      <c r="N227" s="118" t="s">
        <v>74</v>
      </c>
      <c r="O227" s="121"/>
    </row>
    <row r="228" spans="1:15" x14ac:dyDescent="0.35">
      <c r="A228" s="110">
        <v>45407</v>
      </c>
      <c r="B228" s="111" t="s">
        <v>185</v>
      </c>
      <c r="C228" s="111" t="s">
        <v>1669</v>
      </c>
      <c r="D228" s="111" t="s">
        <v>66</v>
      </c>
      <c r="E228" s="112" t="s">
        <v>14</v>
      </c>
      <c r="F228" s="112"/>
      <c r="G228" s="112" t="s">
        <v>444</v>
      </c>
      <c r="H228" s="112" t="s">
        <v>148</v>
      </c>
      <c r="I228" s="113">
        <f t="shared" si="3"/>
        <v>142.24875621890547</v>
      </c>
      <c r="J228" s="114">
        <f>+(142.96*12)/1.005</f>
        <v>1706.9850746268658</v>
      </c>
      <c r="K228" s="110">
        <v>45772</v>
      </c>
      <c r="L228" s="112" t="s">
        <v>1671</v>
      </c>
      <c r="M228" s="112" t="s">
        <v>74</v>
      </c>
      <c r="N228" s="112" t="s">
        <v>74</v>
      </c>
      <c r="O228" s="115"/>
    </row>
    <row r="229" spans="1:15" x14ac:dyDescent="0.35">
      <c r="A229" s="116">
        <v>45408</v>
      </c>
      <c r="B229" s="117" t="s">
        <v>185</v>
      </c>
      <c r="C229" s="111" t="s">
        <v>1669</v>
      </c>
      <c r="D229" s="117" t="s">
        <v>66</v>
      </c>
      <c r="E229" s="118" t="s">
        <v>218</v>
      </c>
      <c r="F229" s="118"/>
      <c r="G229" s="118" t="s">
        <v>293</v>
      </c>
      <c r="H229" s="118" t="s">
        <v>3</v>
      </c>
      <c r="I229" s="113">
        <f t="shared" si="3"/>
        <v>43.847014925373138</v>
      </c>
      <c r="J229" s="120">
        <f>+(49.51*12)/1.005-65</f>
        <v>526.16417910447763</v>
      </c>
      <c r="K229" s="116">
        <v>45773</v>
      </c>
      <c r="L229" s="118" t="s">
        <v>1671</v>
      </c>
      <c r="M229" s="118" t="s">
        <v>74</v>
      </c>
      <c r="N229" s="118" t="s">
        <v>74</v>
      </c>
      <c r="O229" s="121"/>
    </row>
    <row r="230" spans="1:15" x14ac:dyDescent="0.35">
      <c r="A230" s="110">
        <v>45408</v>
      </c>
      <c r="B230" s="111" t="s">
        <v>185</v>
      </c>
      <c r="C230" s="111" t="s">
        <v>1669</v>
      </c>
      <c r="D230" s="111" t="s">
        <v>66</v>
      </c>
      <c r="E230" s="112" t="s">
        <v>218</v>
      </c>
      <c r="F230" s="112"/>
      <c r="G230" s="112" t="s">
        <v>445</v>
      </c>
      <c r="H230" s="112" t="s">
        <v>3</v>
      </c>
      <c r="I230" s="113">
        <f t="shared" si="3"/>
        <v>43.38930348258706</v>
      </c>
      <c r="J230" s="114">
        <f>+(49.05*12)/1.005-65</f>
        <v>520.67164179104475</v>
      </c>
      <c r="K230" s="110">
        <v>45773</v>
      </c>
      <c r="L230" s="112" t="s">
        <v>1672</v>
      </c>
      <c r="M230" s="112"/>
      <c r="N230" s="112"/>
      <c r="O230" s="115" t="s">
        <v>1674</v>
      </c>
    </row>
    <row r="231" spans="1:15" x14ac:dyDescent="0.35">
      <c r="A231" s="116">
        <v>45411</v>
      </c>
      <c r="B231" s="117" t="s">
        <v>185</v>
      </c>
      <c r="C231" s="111" t="s">
        <v>1669</v>
      </c>
      <c r="D231" s="117" t="s">
        <v>52</v>
      </c>
      <c r="E231" s="118" t="s">
        <v>155</v>
      </c>
      <c r="F231" s="118">
        <v>4190029</v>
      </c>
      <c r="G231" s="118" t="s">
        <v>446</v>
      </c>
      <c r="H231" s="118" t="s">
        <v>6</v>
      </c>
      <c r="I231" s="113">
        <f t="shared" si="3"/>
        <v>66.961666666666659</v>
      </c>
      <c r="J231" s="120">
        <v>803.54</v>
      </c>
      <c r="K231" s="116">
        <v>45776</v>
      </c>
      <c r="L231" s="118" t="s">
        <v>1672</v>
      </c>
      <c r="M231" s="118"/>
      <c r="N231" s="118"/>
      <c r="O231" s="121" t="s">
        <v>1675</v>
      </c>
    </row>
    <row r="232" spans="1:15" x14ac:dyDescent="0.35">
      <c r="A232" s="110">
        <v>45411</v>
      </c>
      <c r="B232" s="111" t="s">
        <v>185</v>
      </c>
      <c r="C232" s="111" t="s">
        <v>1669</v>
      </c>
      <c r="D232" s="111" t="s">
        <v>66</v>
      </c>
      <c r="E232" s="112" t="s">
        <v>11</v>
      </c>
      <c r="F232" s="112"/>
      <c r="G232" s="112" t="s">
        <v>447</v>
      </c>
      <c r="H232" s="112" t="s">
        <v>586</v>
      </c>
      <c r="I232" s="113">
        <f t="shared" si="3"/>
        <v>224.58043117744614</v>
      </c>
      <c r="J232" s="114">
        <f>2808.94/1.005-100</f>
        <v>2694.9651741293537</v>
      </c>
      <c r="K232" s="110">
        <v>45776</v>
      </c>
      <c r="L232" s="112" t="s">
        <v>1672</v>
      </c>
      <c r="M232" s="112"/>
      <c r="N232" s="112"/>
      <c r="O232" s="115" t="s">
        <v>1675</v>
      </c>
    </row>
    <row r="233" spans="1:15" x14ac:dyDescent="0.35">
      <c r="A233" s="116">
        <v>45411</v>
      </c>
      <c r="B233" s="117" t="s">
        <v>185</v>
      </c>
      <c r="C233" s="111" t="s">
        <v>1669</v>
      </c>
      <c r="D233" s="117" t="s">
        <v>66</v>
      </c>
      <c r="E233" s="118" t="s">
        <v>11</v>
      </c>
      <c r="F233" s="118"/>
      <c r="G233" s="118" t="s">
        <v>448</v>
      </c>
      <c r="H233" s="118" t="s">
        <v>586</v>
      </c>
      <c r="I233" s="113">
        <f t="shared" si="3"/>
        <v>367.94</v>
      </c>
      <c r="J233" s="119">
        <v>4415.28</v>
      </c>
      <c r="K233" s="116">
        <v>45776</v>
      </c>
      <c r="L233" s="118" t="s">
        <v>1671</v>
      </c>
      <c r="M233" s="118" t="s">
        <v>74</v>
      </c>
      <c r="N233" s="118" t="s">
        <v>74</v>
      </c>
      <c r="O233" s="121"/>
    </row>
    <row r="234" spans="1:15" x14ac:dyDescent="0.35">
      <c r="A234" s="110">
        <v>45412</v>
      </c>
      <c r="B234" s="111" t="s">
        <v>185</v>
      </c>
      <c r="C234" s="111" t="s">
        <v>1669</v>
      </c>
      <c r="D234" s="111" t="s">
        <v>52</v>
      </c>
      <c r="E234" s="112" t="s">
        <v>78</v>
      </c>
      <c r="F234" s="112"/>
      <c r="G234" s="112" t="s">
        <v>452</v>
      </c>
      <c r="H234" s="112" t="s">
        <v>5</v>
      </c>
      <c r="I234" s="113">
        <f t="shared" si="3"/>
        <v>372.28916666666669</v>
      </c>
      <c r="J234" s="114">
        <v>4467.47</v>
      </c>
      <c r="K234" s="110">
        <v>45777</v>
      </c>
      <c r="L234" s="112" t="s">
        <v>1672</v>
      </c>
      <c r="M234" s="112"/>
      <c r="N234" s="112"/>
      <c r="O234" s="115" t="s">
        <v>1676</v>
      </c>
    </row>
    <row r="235" spans="1:15" x14ac:dyDescent="0.35">
      <c r="A235" s="116">
        <v>45412</v>
      </c>
      <c r="B235" s="117" t="s">
        <v>185</v>
      </c>
      <c r="C235" s="111" t="s">
        <v>1669</v>
      </c>
      <c r="D235" s="117" t="s">
        <v>66</v>
      </c>
      <c r="E235" s="118" t="s">
        <v>12</v>
      </c>
      <c r="F235" s="118"/>
      <c r="G235" s="118" t="s">
        <v>451</v>
      </c>
      <c r="H235" s="118" t="s">
        <v>3</v>
      </c>
      <c r="I235" s="113">
        <f t="shared" si="3"/>
        <v>90.394278606965187</v>
      </c>
      <c r="J235" s="120">
        <f>+(96.29*12)/1.005-65</f>
        <v>1084.7313432835822</v>
      </c>
      <c r="K235" s="116">
        <v>45777</v>
      </c>
      <c r="L235" s="118" t="s">
        <v>1671</v>
      </c>
      <c r="M235" s="118" t="s">
        <v>74</v>
      </c>
      <c r="N235" s="118" t="s">
        <v>71</v>
      </c>
      <c r="O235" s="121"/>
    </row>
    <row r="236" spans="1:15" x14ac:dyDescent="0.35">
      <c r="A236" s="110">
        <v>45412</v>
      </c>
      <c r="B236" s="111" t="s">
        <v>185</v>
      </c>
      <c r="C236" s="111" t="s">
        <v>1669</v>
      </c>
      <c r="D236" s="111" t="s">
        <v>66</v>
      </c>
      <c r="E236" s="112" t="s">
        <v>15</v>
      </c>
      <c r="F236" s="112"/>
      <c r="G236" s="112" t="s">
        <v>449</v>
      </c>
      <c r="H236" s="112" t="s">
        <v>3</v>
      </c>
      <c r="I236" s="113">
        <f t="shared" si="3"/>
        <v>285.24004975124382</v>
      </c>
      <c r="J236" s="114">
        <f>+(292.11*12)/1.005-65</f>
        <v>3422.880597014926</v>
      </c>
      <c r="K236" s="110">
        <v>45777</v>
      </c>
      <c r="L236" s="112" t="s">
        <v>1672</v>
      </c>
      <c r="M236" s="112"/>
      <c r="N236" s="112"/>
      <c r="O236" s="115" t="s">
        <v>1676</v>
      </c>
    </row>
    <row r="237" spans="1:15" x14ac:dyDescent="0.35">
      <c r="A237" s="116">
        <v>45414</v>
      </c>
      <c r="B237" s="117" t="s">
        <v>453</v>
      </c>
      <c r="C237" s="111" t="s">
        <v>1669</v>
      </c>
      <c r="D237" s="117" t="s">
        <v>66</v>
      </c>
      <c r="E237" s="118" t="s">
        <v>12</v>
      </c>
      <c r="F237" s="118"/>
      <c r="G237" s="118" t="s">
        <v>454</v>
      </c>
      <c r="H237" s="118" t="s">
        <v>455</v>
      </c>
      <c r="I237" s="113">
        <f t="shared" si="3"/>
        <v>184.74933027171832</v>
      </c>
      <c r="J237" s="120">
        <f>193.1*12/(1.005)/1.04</f>
        <v>2216.9919632606197</v>
      </c>
      <c r="K237" s="116">
        <v>45779</v>
      </c>
      <c r="L237" s="118" t="s">
        <v>1671</v>
      </c>
      <c r="M237" s="118" t="s">
        <v>74</v>
      </c>
      <c r="N237" s="118" t="s">
        <v>71</v>
      </c>
      <c r="O237" s="121"/>
    </row>
    <row r="238" spans="1:15" x14ac:dyDescent="0.35">
      <c r="A238" s="110">
        <v>45417</v>
      </c>
      <c r="B238" s="111" t="s">
        <v>453</v>
      </c>
      <c r="C238" s="111" t="s">
        <v>1669</v>
      </c>
      <c r="D238" s="111" t="s">
        <v>52</v>
      </c>
      <c r="E238" s="112" t="s">
        <v>155</v>
      </c>
      <c r="F238" s="112">
        <v>4190486</v>
      </c>
      <c r="G238" s="112" t="s">
        <v>457</v>
      </c>
      <c r="H238" s="112" t="s">
        <v>395</v>
      </c>
      <c r="I238" s="113">
        <f t="shared" si="3"/>
        <v>104.15499999999999</v>
      </c>
      <c r="J238" s="114">
        <v>1249.8599999999999</v>
      </c>
      <c r="K238" s="110">
        <v>45782</v>
      </c>
      <c r="L238" s="112" t="s">
        <v>1672</v>
      </c>
      <c r="M238" s="112"/>
      <c r="N238" s="112"/>
      <c r="O238" s="115" t="s">
        <v>1676</v>
      </c>
    </row>
    <row r="239" spans="1:15" x14ac:dyDescent="0.35">
      <c r="A239" s="116">
        <v>45417</v>
      </c>
      <c r="B239" s="117" t="s">
        <v>453</v>
      </c>
      <c r="C239" s="111" t="s">
        <v>1669</v>
      </c>
      <c r="D239" s="117" t="s">
        <v>52</v>
      </c>
      <c r="E239" s="118" t="s">
        <v>459</v>
      </c>
      <c r="F239" s="118">
        <v>4190417</v>
      </c>
      <c r="G239" s="118" t="s">
        <v>460</v>
      </c>
      <c r="H239" s="118" t="s">
        <v>395</v>
      </c>
      <c r="I239" s="113">
        <f t="shared" si="3"/>
        <v>125.05</v>
      </c>
      <c r="J239" s="120">
        <v>1500.6</v>
      </c>
      <c r="K239" s="116">
        <v>45782</v>
      </c>
      <c r="L239" s="118" t="s">
        <v>1672</v>
      </c>
      <c r="M239" s="118"/>
      <c r="N239" s="118"/>
      <c r="O239" s="121" t="s">
        <v>1676</v>
      </c>
    </row>
    <row r="240" spans="1:15" x14ac:dyDescent="0.35">
      <c r="A240" s="110">
        <v>45418</v>
      </c>
      <c r="B240" s="111" t="s">
        <v>453</v>
      </c>
      <c r="C240" s="111" t="s">
        <v>1669</v>
      </c>
      <c r="D240" s="111" t="s">
        <v>66</v>
      </c>
      <c r="E240" s="112" t="s">
        <v>17</v>
      </c>
      <c r="F240" s="112"/>
      <c r="G240" s="112" t="s">
        <v>462</v>
      </c>
      <c r="H240" s="112" t="s">
        <v>2</v>
      </c>
      <c r="I240" s="113">
        <f t="shared" si="3"/>
        <v>145.70139954433441</v>
      </c>
      <c r="J240" s="114">
        <f>156.68*12/(1.005)/1.07</f>
        <v>1748.416794532013</v>
      </c>
      <c r="K240" s="110">
        <v>45783</v>
      </c>
      <c r="L240" s="112" t="s">
        <v>1672</v>
      </c>
      <c r="M240" s="112"/>
      <c r="N240" s="112"/>
      <c r="O240" s="115" t="s">
        <v>1673</v>
      </c>
    </row>
    <row r="241" spans="1:15" x14ac:dyDescent="0.35">
      <c r="A241" s="116">
        <v>45420</v>
      </c>
      <c r="B241" s="117" t="s">
        <v>453</v>
      </c>
      <c r="C241" s="111" t="s">
        <v>1669</v>
      </c>
      <c r="D241" s="117" t="s">
        <v>52</v>
      </c>
      <c r="E241" s="118" t="s">
        <v>396</v>
      </c>
      <c r="F241" s="118">
        <v>4190667</v>
      </c>
      <c r="G241" s="118" t="s">
        <v>465</v>
      </c>
      <c r="H241" s="118" t="s">
        <v>395</v>
      </c>
      <c r="I241" s="113">
        <f t="shared" si="3"/>
        <v>70.603333333333339</v>
      </c>
      <c r="J241" s="120">
        <v>847.24</v>
      </c>
      <c r="K241" s="116">
        <v>45785</v>
      </c>
      <c r="L241" s="118" t="s">
        <v>1671</v>
      </c>
      <c r="M241" s="118" t="s">
        <v>74</v>
      </c>
      <c r="N241" s="118" t="s">
        <v>71</v>
      </c>
      <c r="O241" s="121"/>
    </row>
    <row r="242" spans="1:15" x14ac:dyDescent="0.35">
      <c r="A242" s="110">
        <v>45420</v>
      </c>
      <c r="B242" s="111" t="s">
        <v>453</v>
      </c>
      <c r="C242" s="111" t="s">
        <v>1669</v>
      </c>
      <c r="D242" s="111" t="s">
        <v>66</v>
      </c>
      <c r="E242" s="112" t="s">
        <v>21</v>
      </c>
      <c r="F242" s="112"/>
      <c r="G242" s="112" t="s">
        <v>464</v>
      </c>
      <c r="H242" s="112" t="s">
        <v>5</v>
      </c>
      <c r="I242" s="113">
        <f t="shared" si="3"/>
        <v>50.477611940298516</v>
      </c>
      <c r="J242" s="114">
        <f>50.73*12/(1.005)</f>
        <v>605.73134328358219</v>
      </c>
      <c r="K242" s="110">
        <v>45785</v>
      </c>
      <c r="L242" s="112" t="s">
        <v>1671</v>
      </c>
      <c r="M242" s="112" t="s">
        <v>74</v>
      </c>
      <c r="N242" s="112" t="s">
        <v>71</v>
      </c>
      <c r="O242" s="115"/>
    </row>
    <row r="243" spans="1:15" x14ac:dyDescent="0.35">
      <c r="A243" s="116">
        <v>45420</v>
      </c>
      <c r="B243" s="117" t="s">
        <v>453</v>
      </c>
      <c r="C243" s="111" t="s">
        <v>1669</v>
      </c>
      <c r="D243" s="117" t="s">
        <v>66</v>
      </c>
      <c r="E243" s="118" t="s">
        <v>21</v>
      </c>
      <c r="F243" s="118"/>
      <c r="G243" s="118" t="s">
        <v>464</v>
      </c>
      <c r="H243" s="118" t="s">
        <v>3</v>
      </c>
      <c r="I243" s="113">
        <f t="shared" si="3"/>
        <v>26.805970149253739</v>
      </c>
      <c r="J243" s="120">
        <f>+(26.94*12)/1.005</f>
        <v>321.67164179104486</v>
      </c>
      <c r="K243" s="116">
        <v>45785</v>
      </c>
      <c r="L243" s="118" t="s">
        <v>1671</v>
      </c>
      <c r="M243" s="118" t="s">
        <v>74</v>
      </c>
      <c r="N243" s="118" t="s">
        <v>71</v>
      </c>
      <c r="O243" s="121"/>
    </row>
    <row r="244" spans="1:15" x14ac:dyDescent="0.35">
      <c r="A244" s="110">
        <v>45420</v>
      </c>
      <c r="B244" s="111" t="s">
        <v>453</v>
      </c>
      <c r="C244" s="111" t="s">
        <v>1669</v>
      </c>
      <c r="D244" s="111" t="s">
        <v>66</v>
      </c>
      <c r="E244" s="112" t="s">
        <v>15</v>
      </c>
      <c r="F244" s="112"/>
      <c r="G244" s="112" t="s">
        <v>463</v>
      </c>
      <c r="H244" s="112" t="s">
        <v>3</v>
      </c>
      <c r="I244" s="113">
        <f t="shared" si="3"/>
        <v>139.17039800995028</v>
      </c>
      <c r="J244" s="114">
        <f>+(145.31*12)/1.005-65</f>
        <v>1670.0447761194032</v>
      </c>
      <c r="K244" s="110">
        <v>45785</v>
      </c>
      <c r="L244" s="112" t="s">
        <v>1671</v>
      </c>
      <c r="M244" s="112" t="s">
        <v>74</v>
      </c>
      <c r="N244" s="112" t="s">
        <v>71</v>
      </c>
      <c r="O244" s="115"/>
    </row>
    <row r="245" spans="1:15" x14ac:dyDescent="0.35">
      <c r="A245" s="116">
        <v>45421</v>
      </c>
      <c r="B245" s="117" t="s">
        <v>453</v>
      </c>
      <c r="C245" s="111" t="s">
        <v>1669</v>
      </c>
      <c r="D245" s="117" t="s">
        <v>52</v>
      </c>
      <c r="E245" s="118" t="s">
        <v>466</v>
      </c>
      <c r="F245" s="118">
        <v>16037</v>
      </c>
      <c r="G245" s="118" t="s">
        <v>413</v>
      </c>
      <c r="H245" s="118" t="s">
        <v>307</v>
      </c>
      <c r="I245" s="113">
        <f t="shared" si="3"/>
        <v>251.16750000000002</v>
      </c>
      <c r="J245" s="120">
        <v>3014.01</v>
      </c>
      <c r="K245" s="116">
        <v>45786</v>
      </c>
      <c r="L245" s="118" t="s">
        <v>1672</v>
      </c>
      <c r="M245" s="118"/>
      <c r="N245" s="118"/>
      <c r="O245" s="121" t="s">
        <v>1673</v>
      </c>
    </row>
    <row r="246" spans="1:15" x14ac:dyDescent="0.35">
      <c r="A246" s="110">
        <v>45421</v>
      </c>
      <c r="B246" s="111" t="s">
        <v>453</v>
      </c>
      <c r="C246" s="111" t="s">
        <v>1669</v>
      </c>
      <c r="D246" s="111" t="s">
        <v>52</v>
      </c>
      <c r="E246" s="112" t="s">
        <v>467</v>
      </c>
      <c r="F246" s="112">
        <v>4190531</v>
      </c>
      <c r="G246" s="112" t="s">
        <v>468</v>
      </c>
      <c r="H246" s="112" t="s">
        <v>395</v>
      </c>
      <c r="I246" s="113">
        <f t="shared" si="3"/>
        <v>61.510833333333331</v>
      </c>
      <c r="J246" s="114">
        <v>738.13</v>
      </c>
      <c r="K246" s="116">
        <v>45786</v>
      </c>
      <c r="L246" s="112" t="s">
        <v>1671</v>
      </c>
      <c r="M246" s="112" t="s">
        <v>74</v>
      </c>
      <c r="N246" s="112" t="s">
        <v>74</v>
      </c>
      <c r="O246" s="115"/>
    </row>
    <row r="247" spans="1:15" x14ac:dyDescent="0.35">
      <c r="A247" s="116">
        <v>45421</v>
      </c>
      <c r="B247" s="117" t="s">
        <v>453</v>
      </c>
      <c r="C247" s="111" t="s">
        <v>1669</v>
      </c>
      <c r="D247" s="117" t="s">
        <v>52</v>
      </c>
      <c r="E247" s="118" t="s">
        <v>459</v>
      </c>
      <c r="F247" s="118"/>
      <c r="G247" s="118" t="s">
        <v>469</v>
      </c>
      <c r="H247" s="118" t="s">
        <v>307</v>
      </c>
      <c r="I247" s="113">
        <f t="shared" si="3"/>
        <v>68.296666666666667</v>
      </c>
      <c r="J247" s="120">
        <v>819.56</v>
      </c>
      <c r="K247" s="116">
        <v>45786</v>
      </c>
      <c r="L247" s="118" t="s">
        <v>1672</v>
      </c>
      <c r="M247" s="118"/>
      <c r="N247" s="118"/>
      <c r="O247" s="121" t="s">
        <v>1673</v>
      </c>
    </row>
    <row r="248" spans="1:15" x14ac:dyDescent="0.35">
      <c r="A248" s="110">
        <v>45422</v>
      </c>
      <c r="B248" s="111" t="s">
        <v>453</v>
      </c>
      <c r="C248" s="111" t="s">
        <v>1669</v>
      </c>
      <c r="D248" s="111" t="s">
        <v>52</v>
      </c>
      <c r="E248" s="112" t="s">
        <v>396</v>
      </c>
      <c r="F248" s="112">
        <v>16058</v>
      </c>
      <c r="G248" s="112" t="s">
        <v>471</v>
      </c>
      <c r="H248" s="112" t="s">
        <v>307</v>
      </c>
      <c r="I248" s="113">
        <f t="shared" si="3"/>
        <v>66.256666666666675</v>
      </c>
      <c r="J248" s="114">
        <v>795.08</v>
      </c>
      <c r="K248" s="110">
        <v>45787</v>
      </c>
      <c r="L248" s="112" t="s">
        <v>1671</v>
      </c>
      <c r="M248" s="112" t="s">
        <v>71</v>
      </c>
      <c r="N248" s="112" t="s">
        <v>74</v>
      </c>
      <c r="O248" s="115"/>
    </row>
    <row r="249" spans="1:15" x14ac:dyDescent="0.35">
      <c r="A249" s="116">
        <v>45422</v>
      </c>
      <c r="B249" s="117" t="s">
        <v>453</v>
      </c>
      <c r="C249" s="111" t="s">
        <v>1669</v>
      </c>
      <c r="D249" s="117" t="s">
        <v>52</v>
      </c>
      <c r="E249" s="118" t="s">
        <v>396</v>
      </c>
      <c r="F249" s="118">
        <v>4190883</v>
      </c>
      <c r="G249" s="118" t="s">
        <v>472</v>
      </c>
      <c r="H249" s="118" t="s">
        <v>395</v>
      </c>
      <c r="I249" s="113">
        <f t="shared" si="3"/>
        <v>89.737499999999997</v>
      </c>
      <c r="J249" s="120">
        <v>1076.8499999999999</v>
      </c>
      <c r="K249" s="116">
        <v>45787</v>
      </c>
      <c r="L249" s="118" t="s">
        <v>1672</v>
      </c>
      <c r="M249" s="118"/>
      <c r="N249" s="118"/>
      <c r="O249" s="121" t="s">
        <v>1673</v>
      </c>
    </row>
    <row r="250" spans="1:15" x14ac:dyDescent="0.35">
      <c r="A250" s="110">
        <v>45422</v>
      </c>
      <c r="B250" s="111" t="s">
        <v>453</v>
      </c>
      <c r="C250" s="111" t="s">
        <v>1669</v>
      </c>
      <c r="D250" s="111" t="s">
        <v>66</v>
      </c>
      <c r="E250" s="112" t="s">
        <v>19</v>
      </c>
      <c r="F250" s="112"/>
      <c r="G250" s="112" t="s">
        <v>470</v>
      </c>
      <c r="H250" s="112" t="s">
        <v>395</v>
      </c>
      <c r="I250" s="113">
        <f t="shared" si="3"/>
        <v>71.950248756218912</v>
      </c>
      <c r="J250" s="114">
        <f>72.31*12/(1.005)</f>
        <v>863.40298507462694</v>
      </c>
      <c r="K250" s="110">
        <v>45787</v>
      </c>
      <c r="L250" s="112" t="s">
        <v>1671</v>
      </c>
      <c r="M250" s="112" t="s">
        <v>71</v>
      </c>
      <c r="N250" s="112" t="s">
        <v>74</v>
      </c>
      <c r="O250" s="115"/>
    </row>
    <row r="251" spans="1:15" x14ac:dyDescent="0.35">
      <c r="A251" s="116">
        <v>45425</v>
      </c>
      <c r="B251" s="117" t="s">
        <v>453</v>
      </c>
      <c r="C251" s="111" t="s">
        <v>1669</v>
      </c>
      <c r="D251" s="117" t="s">
        <v>52</v>
      </c>
      <c r="E251" s="118" t="s">
        <v>129</v>
      </c>
      <c r="F251" s="118">
        <v>4190888</v>
      </c>
      <c r="G251" s="118" t="s">
        <v>473</v>
      </c>
      <c r="H251" s="118" t="s">
        <v>395</v>
      </c>
      <c r="I251" s="113">
        <f t="shared" si="3"/>
        <v>39.688333333333333</v>
      </c>
      <c r="J251" s="120">
        <v>476.26</v>
      </c>
      <c r="K251" s="116">
        <v>45790</v>
      </c>
      <c r="L251" s="118" t="s">
        <v>1671</v>
      </c>
      <c r="M251" s="118" t="s">
        <v>71</v>
      </c>
      <c r="N251" s="118" t="s">
        <v>74</v>
      </c>
      <c r="O251" s="121"/>
    </row>
    <row r="252" spans="1:15" x14ac:dyDescent="0.35">
      <c r="A252" s="110">
        <v>45425</v>
      </c>
      <c r="B252" s="111" t="s">
        <v>453</v>
      </c>
      <c r="C252" s="111" t="s">
        <v>1669</v>
      </c>
      <c r="D252" s="111" t="s">
        <v>52</v>
      </c>
      <c r="E252" s="112" t="s">
        <v>459</v>
      </c>
      <c r="F252" s="112"/>
      <c r="G252" s="112" t="s">
        <v>476</v>
      </c>
      <c r="H252" s="112" t="s">
        <v>477</v>
      </c>
      <c r="I252" s="113">
        <f t="shared" si="3"/>
        <v>71.546666666666667</v>
      </c>
      <c r="J252" s="114">
        <v>858.56</v>
      </c>
      <c r="K252" s="110">
        <v>45790</v>
      </c>
      <c r="L252" s="112" t="s">
        <v>1672</v>
      </c>
      <c r="M252" s="112"/>
      <c r="N252" s="112"/>
      <c r="O252" s="115" t="s">
        <v>1673</v>
      </c>
    </row>
    <row r="253" spans="1:15" x14ac:dyDescent="0.35">
      <c r="A253" s="116">
        <v>45425</v>
      </c>
      <c r="B253" s="117" t="s">
        <v>453</v>
      </c>
      <c r="C253" s="111" t="s">
        <v>1669</v>
      </c>
      <c r="D253" s="117" t="s">
        <v>52</v>
      </c>
      <c r="E253" s="118" t="s">
        <v>396</v>
      </c>
      <c r="F253" s="118" t="s">
        <v>474</v>
      </c>
      <c r="G253" s="118" t="s">
        <v>475</v>
      </c>
      <c r="H253" s="118" t="s">
        <v>3</v>
      </c>
      <c r="I253" s="113">
        <f t="shared" si="3"/>
        <v>250.23333333333335</v>
      </c>
      <c r="J253" s="120">
        <v>3002.8</v>
      </c>
      <c r="K253" s="116">
        <v>45790</v>
      </c>
      <c r="L253" s="118" t="s">
        <v>1671</v>
      </c>
      <c r="M253" s="118" t="s">
        <v>71</v>
      </c>
      <c r="N253" s="118" t="s">
        <v>71</v>
      </c>
      <c r="O253" s="121"/>
    </row>
    <row r="254" spans="1:15" x14ac:dyDescent="0.35">
      <c r="A254" s="110">
        <v>45425</v>
      </c>
      <c r="B254" s="111" t="s">
        <v>453</v>
      </c>
      <c r="C254" s="111" t="s">
        <v>1669</v>
      </c>
      <c r="D254" s="111" t="s">
        <v>66</v>
      </c>
      <c r="E254" s="112" t="s">
        <v>18</v>
      </c>
      <c r="F254" s="112"/>
      <c r="G254" s="112" t="s">
        <v>479</v>
      </c>
      <c r="H254" s="112" t="s">
        <v>4</v>
      </c>
      <c r="I254" s="113">
        <f t="shared" si="3"/>
        <v>102.08333333333333</v>
      </c>
      <c r="J254" s="114">
        <v>1225</v>
      </c>
      <c r="K254" s="110">
        <v>45790</v>
      </c>
      <c r="L254" s="112" t="s">
        <v>1672</v>
      </c>
      <c r="M254" s="112"/>
      <c r="N254" s="112"/>
      <c r="O254" s="115" t="s">
        <v>1673</v>
      </c>
    </row>
    <row r="255" spans="1:15" x14ac:dyDescent="0.35">
      <c r="A255" s="116">
        <v>45426</v>
      </c>
      <c r="B255" s="117" t="s">
        <v>453</v>
      </c>
      <c r="C255" s="111" t="s">
        <v>1669</v>
      </c>
      <c r="D255" s="117" t="s">
        <v>52</v>
      </c>
      <c r="E255" s="118" t="s">
        <v>129</v>
      </c>
      <c r="F255" s="118">
        <v>350507</v>
      </c>
      <c r="G255" s="118" t="s">
        <v>473</v>
      </c>
      <c r="H255" s="118" t="s">
        <v>404</v>
      </c>
      <c r="I255" s="113">
        <f t="shared" si="3"/>
        <v>112.83333333333333</v>
      </c>
      <c r="J255" s="120">
        <v>1354</v>
      </c>
      <c r="K255" s="116">
        <v>45791</v>
      </c>
      <c r="L255" s="118" t="s">
        <v>1671</v>
      </c>
      <c r="M255" s="118" t="s">
        <v>71</v>
      </c>
      <c r="N255" s="118" t="s">
        <v>71</v>
      </c>
      <c r="O255" s="121"/>
    </row>
    <row r="256" spans="1:15" x14ac:dyDescent="0.35">
      <c r="A256" s="110">
        <v>45426</v>
      </c>
      <c r="B256" s="111" t="s">
        <v>453</v>
      </c>
      <c r="C256" s="111" t="s">
        <v>1669</v>
      </c>
      <c r="D256" s="111" t="s">
        <v>52</v>
      </c>
      <c r="E256" s="112" t="s">
        <v>483</v>
      </c>
      <c r="F256" s="112">
        <v>14942</v>
      </c>
      <c r="G256" s="112" t="s">
        <v>484</v>
      </c>
      <c r="H256" s="112" t="s">
        <v>307</v>
      </c>
      <c r="I256" s="113">
        <f t="shared" si="3"/>
        <v>426.92666666666668</v>
      </c>
      <c r="J256" s="114">
        <v>5123.12</v>
      </c>
      <c r="K256" s="110">
        <v>45791</v>
      </c>
      <c r="L256" s="112" t="s">
        <v>1672</v>
      </c>
      <c r="M256" s="112"/>
      <c r="N256" s="112"/>
      <c r="O256" s="115" t="s">
        <v>1673</v>
      </c>
    </row>
    <row r="257" spans="1:15" x14ac:dyDescent="0.35">
      <c r="A257" s="116">
        <v>45426</v>
      </c>
      <c r="B257" s="117" t="s">
        <v>453</v>
      </c>
      <c r="C257" s="111" t="s">
        <v>1669</v>
      </c>
      <c r="D257" s="117" t="s">
        <v>52</v>
      </c>
      <c r="E257" s="118" t="s">
        <v>396</v>
      </c>
      <c r="F257" s="118" t="s">
        <v>485</v>
      </c>
      <c r="G257" s="118" t="s">
        <v>366</v>
      </c>
      <c r="H257" s="118" t="s">
        <v>3</v>
      </c>
      <c r="I257" s="113">
        <f t="shared" si="3"/>
        <v>61.131666666666668</v>
      </c>
      <c r="J257" s="120">
        <v>733.58</v>
      </c>
      <c r="K257" s="116">
        <v>45791</v>
      </c>
      <c r="L257" s="118" t="s">
        <v>1671</v>
      </c>
      <c r="M257" s="118" t="s">
        <v>74</v>
      </c>
      <c r="N257" s="118" t="s">
        <v>71</v>
      </c>
      <c r="O257" s="121"/>
    </row>
    <row r="258" spans="1:15" x14ac:dyDescent="0.35">
      <c r="A258" s="110">
        <v>45426</v>
      </c>
      <c r="B258" s="111" t="s">
        <v>453</v>
      </c>
      <c r="C258" s="111" t="s">
        <v>1669</v>
      </c>
      <c r="D258" s="111" t="s">
        <v>52</v>
      </c>
      <c r="E258" s="112" t="s">
        <v>396</v>
      </c>
      <c r="F258" s="112">
        <v>4191122</v>
      </c>
      <c r="G258" s="112" t="s">
        <v>486</v>
      </c>
      <c r="H258" s="112" t="s">
        <v>395</v>
      </c>
      <c r="I258" s="113">
        <f t="shared" si="3"/>
        <v>138.05416666666667</v>
      </c>
      <c r="J258" s="114">
        <v>1656.65</v>
      </c>
      <c r="K258" s="110">
        <v>45791</v>
      </c>
      <c r="L258" s="112" t="s">
        <v>1672</v>
      </c>
      <c r="M258" s="112"/>
      <c r="N258" s="112"/>
      <c r="O258" s="115" t="s">
        <v>1674</v>
      </c>
    </row>
    <row r="259" spans="1:15" x14ac:dyDescent="0.35">
      <c r="A259" s="116">
        <v>45426</v>
      </c>
      <c r="B259" s="117" t="s">
        <v>453</v>
      </c>
      <c r="C259" s="111" t="s">
        <v>1669</v>
      </c>
      <c r="D259" s="117" t="s">
        <v>52</v>
      </c>
      <c r="E259" s="118" t="s">
        <v>487</v>
      </c>
      <c r="F259" s="118">
        <v>4191095</v>
      </c>
      <c r="G259" s="118" t="s">
        <v>488</v>
      </c>
      <c r="H259" s="118" t="s">
        <v>395</v>
      </c>
      <c r="I259" s="113">
        <f t="shared" si="3"/>
        <v>59.150833333333331</v>
      </c>
      <c r="J259" s="120">
        <v>709.81</v>
      </c>
      <c r="K259" s="116">
        <v>45791</v>
      </c>
      <c r="L259" s="118" t="s">
        <v>1671</v>
      </c>
      <c r="M259" s="118" t="s">
        <v>74</v>
      </c>
      <c r="N259" s="118" t="s">
        <v>71</v>
      </c>
      <c r="O259" s="121"/>
    </row>
    <row r="260" spans="1:15" x14ac:dyDescent="0.35">
      <c r="A260" s="110">
        <v>45428</v>
      </c>
      <c r="B260" s="111" t="s">
        <v>453</v>
      </c>
      <c r="C260" s="111" t="s">
        <v>1669</v>
      </c>
      <c r="D260" s="111" t="s">
        <v>52</v>
      </c>
      <c r="E260" s="112" t="s">
        <v>155</v>
      </c>
      <c r="F260" s="112">
        <v>4190828</v>
      </c>
      <c r="G260" s="112" t="s">
        <v>288</v>
      </c>
      <c r="H260" s="112" t="s">
        <v>395</v>
      </c>
      <c r="I260" s="113">
        <f t="shared" si="3"/>
        <v>202.08249999999998</v>
      </c>
      <c r="J260" s="114">
        <v>2424.9899999999998</v>
      </c>
      <c r="K260" s="110">
        <v>45793</v>
      </c>
      <c r="L260" s="112" t="s">
        <v>1671</v>
      </c>
      <c r="M260" s="112" t="s">
        <v>74</v>
      </c>
      <c r="N260" s="112" t="s">
        <v>71</v>
      </c>
      <c r="O260" s="115"/>
    </row>
    <row r="261" spans="1:15" x14ac:dyDescent="0.35">
      <c r="A261" s="116">
        <v>45428</v>
      </c>
      <c r="B261" s="117" t="s">
        <v>453</v>
      </c>
      <c r="C261" s="111" t="s">
        <v>1669</v>
      </c>
      <c r="D261" s="117" t="s">
        <v>52</v>
      </c>
      <c r="E261" s="118" t="s">
        <v>491</v>
      </c>
      <c r="F261" s="118">
        <v>4190892</v>
      </c>
      <c r="G261" s="118" t="s">
        <v>492</v>
      </c>
      <c r="H261" s="118" t="s">
        <v>395</v>
      </c>
      <c r="I261" s="113">
        <f t="shared" ref="I261:I324" si="4">J261/12</f>
        <v>203.58500000000001</v>
      </c>
      <c r="J261" s="120">
        <v>2443.02</v>
      </c>
      <c r="K261" s="116">
        <v>45793</v>
      </c>
      <c r="L261" s="118" t="s">
        <v>1672</v>
      </c>
      <c r="M261" s="118"/>
      <c r="N261" s="118"/>
      <c r="O261" s="121" t="s">
        <v>1674</v>
      </c>
    </row>
    <row r="262" spans="1:15" x14ac:dyDescent="0.35">
      <c r="A262" s="110">
        <v>45428</v>
      </c>
      <c r="B262" s="111" t="s">
        <v>453</v>
      </c>
      <c r="C262" s="111" t="s">
        <v>1669</v>
      </c>
      <c r="D262" s="111" t="s">
        <v>66</v>
      </c>
      <c r="E262" s="112" t="s">
        <v>18</v>
      </c>
      <c r="F262" s="112"/>
      <c r="G262" s="112" t="s">
        <v>489</v>
      </c>
      <c r="H262" s="112" t="s">
        <v>307</v>
      </c>
      <c r="I262" s="113">
        <f t="shared" si="4"/>
        <v>82.905472636815929</v>
      </c>
      <c r="J262" s="114">
        <f>83.32*12/(1.005)</f>
        <v>994.8656716417911</v>
      </c>
      <c r="K262" s="110">
        <v>45793</v>
      </c>
      <c r="L262" s="112" t="s">
        <v>1671</v>
      </c>
      <c r="M262" s="112" t="s">
        <v>74</v>
      </c>
      <c r="N262" s="112" t="s">
        <v>71</v>
      </c>
      <c r="O262" s="115"/>
    </row>
    <row r="263" spans="1:15" x14ac:dyDescent="0.35">
      <c r="A263" s="116">
        <v>45428</v>
      </c>
      <c r="B263" s="117" t="s">
        <v>453</v>
      </c>
      <c r="C263" s="111" t="s">
        <v>1669</v>
      </c>
      <c r="D263" s="117" t="s">
        <v>66</v>
      </c>
      <c r="E263" s="118" t="s">
        <v>18</v>
      </c>
      <c r="F263" s="118"/>
      <c r="G263" s="118" t="s">
        <v>490</v>
      </c>
      <c r="H263" s="118" t="s">
        <v>2</v>
      </c>
      <c r="I263" s="113">
        <f t="shared" si="4"/>
        <v>18.840377551494864</v>
      </c>
      <c r="J263" s="120">
        <f>20.26*12/(1.005)/1.07</f>
        <v>226.08453061793836</v>
      </c>
      <c r="K263" s="116">
        <v>45793</v>
      </c>
      <c r="L263" s="118" t="s">
        <v>1672</v>
      </c>
      <c r="M263" s="118"/>
      <c r="N263" s="118"/>
      <c r="O263" s="121" t="s">
        <v>1674</v>
      </c>
    </row>
    <row r="264" spans="1:15" x14ac:dyDescent="0.35">
      <c r="A264" s="110">
        <v>45428</v>
      </c>
      <c r="B264" s="111" t="s">
        <v>453</v>
      </c>
      <c r="C264" s="111" t="s">
        <v>1669</v>
      </c>
      <c r="D264" s="111" t="s">
        <v>66</v>
      </c>
      <c r="E264" s="112" t="s">
        <v>18</v>
      </c>
      <c r="F264" s="112"/>
      <c r="G264" s="112" t="s">
        <v>489</v>
      </c>
      <c r="H264" s="112" t="s">
        <v>3</v>
      </c>
      <c r="I264" s="113">
        <f t="shared" si="4"/>
        <v>26.745833333333334</v>
      </c>
      <c r="J264" s="113">
        <v>320.95</v>
      </c>
      <c r="K264" s="110">
        <v>45793</v>
      </c>
      <c r="L264" s="112" t="s">
        <v>1671</v>
      </c>
      <c r="M264" s="112" t="s">
        <v>71</v>
      </c>
      <c r="N264" s="112" t="s">
        <v>74</v>
      </c>
      <c r="O264" s="115"/>
    </row>
    <row r="265" spans="1:15" x14ac:dyDescent="0.35">
      <c r="A265" s="116">
        <v>45429</v>
      </c>
      <c r="B265" s="117" t="s">
        <v>453</v>
      </c>
      <c r="C265" s="111" t="s">
        <v>1669</v>
      </c>
      <c r="D265" s="117" t="s">
        <v>52</v>
      </c>
      <c r="E265" s="118" t="s">
        <v>113</v>
      </c>
      <c r="F265" s="118"/>
      <c r="G265" s="118" t="s">
        <v>495</v>
      </c>
      <c r="H265" s="118" t="s">
        <v>307</v>
      </c>
      <c r="I265" s="113">
        <f t="shared" si="4"/>
        <v>119.10166666666667</v>
      </c>
      <c r="J265" s="120">
        <v>1429.22</v>
      </c>
      <c r="K265" s="116">
        <v>45794</v>
      </c>
      <c r="L265" s="118" t="s">
        <v>1672</v>
      </c>
      <c r="M265" s="118"/>
      <c r="N265" s="118"/>
      <c r="O265" s="121" t="s">
        <v>1674</v>
      </c>
    </row>
    <row r="266" spans="1:15" x14ac:dyDescent="0.35">
      <c r="A266" s="110">
        <v>45429</v>
      </c>
      <c r="B266" s="111" t="s">
        <v>453</v>
      </c>
      <c r="C266" s="111" t="s">
        <v>1669</v>
      </c>
      <c r="D266" s="111" t="s">
        <v>52</v>
      </c>
      <c r="E266" s="112" t="s">
        <v>491</v>
      </c>
      <c r="F266" s="112">
        <v>4191327</v>
      </c>
      <c r="G266" s="112" t="s">
        <v>494</v>
      </c>
      <c r="H266" s="112" t="s">
        <v>395</v>
      </c>
      <c r="I266" s="113">
        <f t="shared" si="4"/>
        <v>125.42750000000001</v>
      </c>
      <c r="J266" s="114">
        <v>1505.13</v>
      </c>
      <c r="K266" s="110">
        <v>45794</v>
      </c>
      <c r="L266" s="112" t="s">
        <v>1671</v>
      </c>
      <c r="M266" s="112" t="s">
        <v>71</v>
      </c>
      <c r="N266" s="112" t="s">
        <v>74</v>
      </c>
      <c r="O266" s="115"/>
    </row>
    <row r="267" spans="1:15" x14ac:dyDescent="0.35">
      <c r="A267" s="116">
        <v>45433</v>
      </c>
      <c r="B267" s="117" t="s">
        <v>453</v>
      </c>
      <c r="C267" s="111" t="s">
        <v>1669</v>
      </c>
      <c r="D267" s="117" t="s">
        <v>52</v>
      </c>
      <c r="E267" s="118" t="s">
        <v>396</v>
      </c>
      <c r="F267" s="118">
        <v>4191172</v>
      </c>
      <c r="G267" s="118" t="s">
        <v>496</v>
      </c>
      <c r="H267" s="118" t="s">
        <v>395</v>
      </c>
      <c r="I267" s="113">
        <f t="shared" si="4"/>
        <v>146.22333333333333</v>
      </c>
      <c r="J267" s="120">
        <v>1754.68</v>
      </c>
      <c r="K267" s="116">
        <v>45798</v>
      </c>
      <c r="L267" s="118" t="s">
        <v>1672</v>
      </c>
      <c r="M267" s="118"/>
      <c r="N267" s="118"/>
      <c r="O267" s="121" t="s">
        <v>1674</v>
      </c>
    </row>
    <row r="268" spans="1:15" x14ac:dyDescent="0.35">
      <c r="A268" s="110">
        <v>45434</v>
      </c>
      <c r="B268" s="111" t="s">
        <v>453</v>
      </c>
      <c r="C268" s="111" t="s">
        <v>1669</v>
      </c>
      <c r="D268" s="111" t="s">
        <v>66</v>
      </c>
      <c r="E268" s="112" t="s">
        <v>11</v>
      </c>
      <c r="F268" s="112"/>
      <c r="G268" s="112" t="s">
        <v>498</v>
      </c>
      <c r="H268" s="112" t="s">
        <v>132</v>
      </c>
      <c r="I268" s="113">
        <f t="shared" si="4"/>
        <v>77</v>
      </c>
      <c r="J268" s="114">
        <f>77*12</f>
        <v>924</v>
      </c>
      <c r="K268" s="110">
        <v>45799</v>
      </c>
      <c r="L268" s="112" t="s">
        <v>1671</v>
      </c>
      <c r="M268" s="112" t="s">
        <v>71</v>
      </c>
      <c r="N268" s="112" t="s">
        <v>74</v>
      </c>
      <c r="O268" s="115"/>
    </row>
    <row r="269" spans="1:15" x14ac:dyDescent="0.35">
      <c r="A269" s="116">
        <v>45434</v>
      </c>
      <c r="B269" s="117" t="s">
        <v>453</v>
      </c>
      <c r="C269" s="111" t="s">
        <v>1669</v>
      </c>
      <c r="D269" s="117" t="s">
        <v>66</v>
      </c>
      <c r="E269" s="118" t="s">
        <v>16</v>
      </c>
      <c r="F269" s="118"/>
      <c r="G269" s="118" t="s">
        <v>499</v>
      </c>
      <c r="H269" s="118" t="s">
        <v>2</v>
      </c>
      <c r="I269" s="113">
        <f t="shared" si="4"/>
        <v>53.377969963267766</v>
      </c>
      <c r="J269" s="120">
        <f>57.4*12/(1.005)/1.07</f>
        <v>640.53563955921322</v>
      </c>
      <c r="K269" s="116">
        <v>45799</v>
      </c>
      <c r="L269" s="118" t="s">
        <v>1672</v>
      </c>
      <c r="M269" s="118"/>
      <c r="N269" s="118"/>
      <c r="O269" s="121" t="s">
        <v>1675</v>
      </c>
    </row>
    <row r="270" spans="1:15" x14ac:dyDescent="0.35">
      <c r="A270" s="110">
        <v>45434</v>
      </c>
      <c r="B270" s="111" t="s">
        <v>453</v>
      </c>
      <c r="C270" s="111" t="s">
        <v>1669</v>
      </c>
      <c r="D270" s="111" t="s">
        <v>66</v>
      </c>
      <c r="E270" s="112" t="s">
        <v>175</v>
      </c>
      <c r="F270" s="112"/>
      <c r="G270" s="112" t="s">
        <v>497</v>
      </c>
      <c r="H270" s="112" t="s">
        <v>5</v>
      </c>
      <c r="I270" s="113">
        <f t="shared" si="4"/>
        <v>62.019900497512445</v>
      </c>
      <c r="J270" s="114">
        <f>62.33*12/(1.005)</f>
        <v>744.23880597014931</v>
      </c>
      <c r="K270" s="110">
        <v>45799</v>
      </c>
      <c r="L270" s="112" t="s">
        <v>1671</v>
      </c>
      <c r="M270" s="112" t="s">
        <v>71</v>
      </c>
      <c r="N270" s="112" t="s">
        <v>71</v>
      </c>
      <c r="O270" s="115"/>
    </row>
    <row r="271" spans="1:15" x14ac:dyDescent="0.35">
      <c r="A271" s="116">
        <v>45435</v>
      </c>
      <c r="B271" s="117" t="s">
        <v>453</v>
      </c>
      <c r="C271" s="111" t="s">
        <v>1669</v>
      </c>
      <c r="D271" s="117" t="s">
        <v>52</v>
      </c>
      <c r="E271" s="118" t="s">
        <v>483</v>
      </c>
      <c r="F271" s="118">
        <v>4191568</v>
      </c>
      <c r="G271" s="118" t="s">
        <v>500</v>
      </c>
      <c r="H271" s="118" t="s">
        <v>395</v>
      </c>
      <c r="I271" s="113">
        <f t="shared" si="4"/>
        <v>60.145833333333336</v>
      </c>
      <c r="J271" s="120">
        <v>721.75</v>
      </c>
      <c r="K271" s="116">
        <v>45800</v>
      </c>
      <c r="L271" s="118" t="s">
        <v>1672</v>
      </c>
      <c r="M271" s="118"/>
      <c r="N271" s="118"/>
      <c r="O271" s="121" t="s">
        <v>1675</v>
      </c>
    </row>
    <row r="272" spans="1:15" x14ac:dyDescent="0.35">
      <c r="A272" s="110">
        <v>45437</v>
      </c>
      <c r="B272" s="111" t="s">
        <v>453</v>
      </c>
      <c r="C272" s="111" t="s">
        <v>1669</v>
      </c>
      <c r="D272" s="111" t="s">
        <v>66</v>
      </c>
      <c r="E272" s="112" t="s">
        <v>13</v>
      </c>
      <c r="F272" s="112"/>
      <c r="G272" s="112" t="s">
        <v>501</v>
      </c>
      <c r="H272" s="112" t="s">
        <v>188</v>
      </c>
      <c r="I272" s="113">
        <f t="shared" si="4"/>
        <v>44.507462686567173</v>
      </c>
      <c r="J272" s="114">
        <f>44.73*12/(1.005)</f>
        <v>534.08955223880605</v>
      </c>
      <c r="K272" s="110">
        <v>45802</v>
      </c>
      <c r="L272" s="112" t="s">
        <v>1672</v>
      </c>
      <c r="M272" s="112"/>
      <c r="N272" s="112"/>
      <c r="O272" s="115" t="s">
        <v>1673</v>
      </c>
    </row>
    <row r="273" spans="1:15" x14ac:dyDescent="0.35">
      <c r="A273" s="116">
        <v>45441</v>
      </c>
      <c r="B273" s="117" t="s">
        <v>453</v>
      </c>
      <c r="C273" s="111" t="s">
        <v>1669</v>
      </c>
      <c r="D273" s="117" t="s">
        <v>52</v>
      </c>
      <c r="E273" s="118" t="s">
        <v>129</v>
      </c>
      <c r="F273" s="118">
        <v>4192033</v>
      </c>
      <c r="G273" s="118" t="s">
        <v>506</v>
      </c>
      <c r="H273" s="118" t="s">
        <v>395</v>
      </c>
      <c r="I273" s="113">
        <f t="shared" si="4"/>
        <v>119.81583333333333</v>
      </c>
      <c r="J273" s="120">
        <v>1437.79</v>
      </c>
      <c r="K273" s="116">
        <v>45806</v>
      </c>
      <c r="L273" s="118" t="s">
        <v>1671</v>
      </c>
      <c r="M273" s="118" t="s">
        <v>71</v>
      </c>
      <c r="N273" s="118" t="s">
        <v>71</v>
      </c>
      <c r="O273" s="121"/>
    </row>
    <row r="274" spans="1:15" x14ac:dyDescent="0.35">
      <c r="A274" s="110">
        <v>45441</v>
      </c>
      <c r="B274" s="111" t="s">
        <v>453</v>
      </c>
      <c r="C274" s="111" t="s">
        <v>1669</v>
      </c>
      <c r="D274" s="111" t="s">
        <v>52</v>
      </c>
      <c r="E274" s="112" t="s">
        <v>129</v>
      </c>
      <c r="F274" s="112">
        <v>4192032</v>
      </c>
      <c r="G274" s="112" t="s">
        <v>508</v>
      </c>
      <c r="H274" s="112" t="s">
        <v>395</v>
      </c>
      <c r="I274" s="113">
        <f t="shared" si="4"/>
        <v>119.81583333333333</v>
      </c>
      <c r="J274" s="114">
        <v>1437.79</v>
      </c>
      <c r="K274" s="116">
        <v>45806</v>
      </c>
      <c r="L274" s="112" t="s">
        <v>1671</v>
      </c>
      <c r="M274" s="112" t="s">
        <v>71</v>
      </c>
      <c r="N274" s="112" t="s">
        <v>74</v>
      </c>
      <c r="O274" s="115"/>
    </row>
    <row r="275" spans="1:15" x14ac:dyDescent="0.35">
      <c r="A275" s="116">
        <v>45441</v>
      </c>
      <c r="B275" s="117" t="s">
        <v>453</v>
      </c>
      <c r="C275" s="111" t="s">
        <v>1669</v>
      </c>
      <c r="D275" s="117" t="s">
        <v>52</v>
      </c>
      <c r="E275" s="118" t="s">
        <v>491</v>
      </c>
      <c r="F275" s="118">
        <v>4191945</v>
      </c>
      <c r="G275" s="118" t="s">
        <v>505</v>
      </c>
      <c r="H275" s="118" t="s">
        <v>395</v>
      </c>
      <c r="I275" s="113">
        <f t="shared" si="4"/>
        <v>41.80833333333333</v>
      </c>
      <c r="J275" s="120">
        <v>501.7</v>
      </c>
      <c r="K275" s="116">
        <v>45806</v>
      </c>
      <c r="L275" s="118" t="s">
        <v>1671</v>
      </c>
      <c r="M275" s="118" t="s">
        <v>71</v>
      </c>
      <c r="N275" s="118" t="s">
        <v>71</v>
      </c>
      <c r="O275" s="121"/>
    </row>
    <row r="276" spans="1:15" x14ac:dyDescent="0.35">
      <c r="A276" s="110">
        <v>45441</v>
      </c>
      <c r="B276" s="111" t="s">
        <v>453</v>
      </c>
      <c r="C276" s="111" t="s">
        <v>1669</v>
      </c>
      <c r="D276" s="111" t="s">
        <v>52</v>
      </c>
      <c r="E276" s="112" t="s">
        <v>491</v>
      </c>
      <c r="F276" s="112">
        <v>4191959</v>
      </c>
      <c r="G276" s="112" t="s">
        <v>505</v>
      </c>
      <c r="H276" s="112" t="s">
        <v>395</v>
      </c>
      <c r="I276" s="113">
        <f t="shared" si="4"/>
        <v>41.80833333333333</v>
      </c>
      <c r="J276" s="114">
        <v>501.7</v>
      </c>
      <c r="K276" s="116">
        <v>45806</v>
      </c>
      <c r="L276" s="112" t="s">
        <v>1671</v>
      </c>
      <c r="M276" s="112" t="s">
        <v>74</v>
      </c>
      <c r="N276" s="112" t="s">
        <v>71</v>
      </c>
      <c r="O276" s="115"/>
    </row>
    <row r="277" spans="1:15" x14ac:dyDescent="0.35">
      <c r="A277" s="116">
        <v>45441</v>
      </c>
      <c r="B277" s="117" t="s">
        <v>453</v>
      </c>
      <c r="C277" s="111" t="s">
        <v>1669</v>
      </c>
      <c r="D277" s="117" t="s">
        <v>52</v>
      </c>
      <c r="E277" s="118" t="s">
        <v>491</v>
      </c>
      <c r="F277" s="118">
        <v>4191946</v>
      </c>
      <c r="G277" s="118" t="s">
        <v>505</v>
      </c>
      <c r="H277" s="118" t="s">
        <v>395</v>
      </c>
      <c r="I277" s="113">
        <f t="shared" si="4"/>
        <v>41.80833333333333</v>
      </c>
      <c r="J277" s="120">
        <v>501.7</v>
      </c>
      <c r="K277" s="116">
        <v>45806</v>
      </c>
      <c r="L277" s="118" t="s">
        <v>1672</v>
      </c>
      <c r="M277" s="118"/>
      <c r="N277" s="118"/>
      <c r="O277" s="121" t="s">
        <v>1674</v>
      </c>
    </row>
    <row r="278" spans="1:15" x14ac:dyDescent="0.35">
      <c r="A278" s="110">
        <v>45441</v>
      </c>
      <c r="B278" s="111" t="s">
        <v>453</v>
      </c>
      <c r="C278" s="111" t="s">
        <v>1669</v>
      </c>
      <c r="D278" s="111" t="s">
        <v>52</v>
      </c>
      <c r="E278" s="112" t="s">
        <v>396</v>
      </c>
      <c r="F278" s="112">
        <v>4191622</v>
      </c>
      <c r="G278" s="112" t="s">
        <v>504</v>
      </c>
      <c r="H278" s="112" t="s">
        <v>395</v>
      </c>
      <c r="I278" s="113">
        <f t="shared" si="4"/>
        <v>39.798333333333332</v>
      </c>
      <c r="J278" s="114">
        <v>477.58</v>
      </c>
      <c r="K278" s="116">
        <v>45806</v>
      </c>
      <c r="L278" s="112" t="s">
        <v>1671</v>
      </c>
      <c r="M278" s="112" t="s">
        <v>74</v>
      </c>
      <c r="N278" s="112" t="s">
        <v>71</v>
      </c>
      <c r="O278" s="115"/>
    </row>
    <row r="279" spans="1:15" x14ac:dyDescent="0.35">
      <c r="A279" s="116">
        <v>45441</v>
      </c>
      <c r="B279" s="117" t="s">
        <v>453</v>
      </c>
      <c r="C279" s="111" t="s">
        <v>1669</v>
      </c>
      <c r="D279" s="117" t="s">
        <v>66</v>
      </c>
      <c r="E279" s="118" t="s">
        <v>240</v>
      </c>
      <c r="F279" s="118"/>
      <c r="G279" s="118" t="s">
        <v>502</v>
      </c>
      <c r="H279" s="118" t="s">
        <v>2</v>
      </c>
      <c r="I279" s="113">
        <f t="shared" si="4"/>
        <v>64.89050076719208</v>
      </c>
      <c r="J279" s="120">
        <f>69.78*12/(1.005)/1.07</f>
        <v>778.6860092063049</v>
      </c>
      <c r="K279" s="116">
        <v>45806</v>
      </c>
      <c r="L279" s="118" t="s">
        <v>1672</v>
      </c>
      <c r="M279" s="118"/>
      <c r="N279" s="118"/>
      <c r="O279" s="121" t="s">
        <v>1676</v>
      </c>
    </row>
    <row r="280" spans="1:15" x14ac:dyDescent="0.35">
      <c r="A280" s="110">
        <v>45442</v>
      </c>
      <c r="B280" s="111" t="s">
        <v>453</v>
      </c>
      <c r="C280" s="111" t="s">
        <v>1669</v>
      </c>
      <c r="D280" s="111" t="s">
        <v>52</v>
      </c>
      <c r="E280" s="112" t="s">
        <v>491</v>
      </c>
      <c r="F280" s="112">
        <v>4192242</v>
      </c>
      <c r="G280" s="112" t="s">
        <v>509</v>
      </c>
      <c r="H280" s="112" t="s">
        <v>395</v>
      </c>
      <c r="I280" s="113">
        <f t="shared" si="4"/>
        <v>298.14</v>
      </c>
      <c r="J280" s="114">
        <v>3577.68</v>
      </c>
      <c r="K280" s="110">
        <v>45807</v>
      </c>
      <c r="L280" s="112" t="s">
        <v>1672</v>
      </c>
      <c r="M280" s="112"/>
      <c r="N280" s="112"/>
      <c r="O280" s="115" t="s">
        <v>1676</v>
      </c>
    </row>
    <row r="281" spans="1:15" x14ac:dyDescent="0.35">
      <c r="A281" s="116">
        <v>45443</v>
      </c>
      <c r="B281" s="117" t="s">
        <v>453</v>
      </c>
      <c r="C281" s="111" t="s">
        <v>1669</v>
      </c>
      <c r="D281" s="117" t="s">
        <v>52</v>
      </c>
      <c r="E281" s="118" t="s">
        <v>396</v>
      </c>
      <c r="F281" s="118"/>
      <c r="G281" s="118" t="s">
        <v>529</v>
      </c>
      <c r="H281" s="118" t="s">
        <v>307</v>
      </c>
      <c r="I281" s="113">
        <f t="shared" si="4"/>
        <v>224.80999999999997</v>
      </c>
      <c r="J281" s="120">
        <v>2697.72</v>
      </c>
      <c r="K281" s="116">
        <v>45808</v>
      </c>
      <c r="L281" s="118" t="s">
        <v>1671</v>
      </c>
      <c r="M281" s="118" t="s">
        <v>74</v>
      </c>
      <c r="N281" s="118" t="s">
        <v>71</v>
      </c>
      <c r="O281" s="121"/>
    </row>
    <row r="282" spans="1:15" x14ac:dyDescent="0.35">
      <c r="A282" s="110">
        <v>45443</v>
      </c>
      <c r="B282" s="111" t="s">
        <v>453</v>
      </c>
      <c r="C282" s="111" t="s">
        <v>1669</v>
      </c>
      <c r="D282" s="111" t="s">
        <v>52</v>
      </c>
      <c r="E282" s="112" t="s">
        <v>396</v>
      </c>
      <c r="F282" s="112"/>
      <c r="G282" s="112" t="s">
        <v>530</v>
      </c>
      <c r="H282" s="112" t="s">
        <v>307</v>
      </c>
      <c r="I282" s="113">
        <f t="shared" si="4"/>
        <v>70.953333333333333</v>
      </c>
      <c r="J282" s="114">
        <v>851.44</v>
      </c>
      <c r="K282" s="116">
        <v>45808</v>
      </c>
      <c r="L282" s="112" t="s">
        <v>1671</v>
      </c>
      <c r="M282" s="112" t="s">
        <v>74</v>
      </c>
      <c r="N282" s="112" t="s">
        <v>74</v>
      </c>
      <c r="O282" s="115"/>
    </row>
    <row r="283" spans="1:15" x14ac:dyDescent="0.35">
      <c r="A283" s="116">
        <v>45443</v>
      </c>
      <c r="B283" s="117" t="s">
        <v>453</v>
      </c>
      <c r="C283" s="111" t="s">
        <v>1669</v>
      </c>
      <c r="D283" s="117" t="s">
        <v>66</v>
      </c>
      <c r="E283" s="118" t="s">
        <v>11</v>
      </c>
      <c r="F283" s="118"/>
      <c r="G283" s="118" t="s">
        <v>527</v>
      </c>
      <c r="H283" s="118" t="s">
        <v>2</v>
      </c>
      <c r="I283" s="113">
        <f t="shared" si="4"/>
        <v>155.00069744734273</v>
      </c>
      <c r="J283" s="120">
        <f>166.68*12/(1.005)/1.07</f>
        <v>1860.0083693681129</v>
      </c>
      <c r="K283" s="116">
        <v>45808</v>
      </c>
      <c r="L283" s="118" t="s">
        <v>1672</v>
      </c>
      <c r="M283" s="118"/>
      <c r="N283" s="118"/>
      <c r="O283" s="121" t="s">
        <v>1673</v>
      </c>
    </row>
    <row r="284" spans="1:15" x14ac:dyDescent="0.35">
      <c r="A284" s="110">
        <v>45443</v>
      </c>
      <c r="B284" s="111" t="s">
        <v>453</v>
      </c>
      <c r="C284" s="111" t="s">
        <v>1669</v>
      </c>
      <c r="D284" s="111" t="s">
        <v>66</v>
      </c>
      <c r="E284" s="112" t="s">
        <v>11</v>
      </c>
      <c r="F284" s="112"/>
      <c r="G284" s="112" t="s">
        <v>531</v>
      </c>
      <c r="H284" s="112" t="s">
        <v>2</v>
      </c>
      <c r="I284" s="113">
        <f t="shared" si="4"/>
        <v>57.440366972477051</v>
      </c>
      <c r="J284" s="114">
        <f>62.61*12/1.09</f>
        <v>689.28440366972461</v>
      </c>
      <c r="K284" s="116">
        <v>45808</v>
      </c>
      <c r="L284" s="112" t="s">
        <v>1671</v>
      </c>
      <c r="M284" s="112" t="s">
        <v>74</v>
      </c>
      <c r="N284" s="112" t="s">
        <v>74</v>
      </c>
      <c r="O284" s="115"/>
    </row>
    <row r="285" spans="1:15" x14ac:dyDescent="0.35">
      <c r="A285" s="116">
        <v>45443</v>
      </c>
      <c r="B285" s="117" t="s">
        <v>453</v>
      </c>
      <c r="C285" s="111" t="s">
        <v>1669</v>
      </c>
      <c r="D285" s="117" t="s">
        <v>66</v>
      </c>
      <c r="E285" s="118" t="s">
        <v>218</v>
      </c>
      <c r="F285" s="118"/>
      <c r="G285" s="118" t="s">
        <v>219</v>
      </c>
      <c r="H285" s="118" t="s">
        <v>2</v>
      </c>
      <c r="I285" s="113">
        <f t="shared" si="4"/>
        <v>155.00069744734273</v>
      </c>
      <c r="J285" s="120">
        <f>166.68*12/(1.005)/1.07</f>
        <v>1860.0083693681129</v>
      </c>
      <c r="K285" s="116">
        <v>45808</v>
      </c>
      <c r="L285" s="118" t="s">
        <v>1671</v>
      </c>
      <c r="M285" s="118" t="s">
        <v>74</v>
      </c>
      <c r="N285" s="118" t="s">
        <v>71</v>
      </c>
      <c r="O285" s="121"/>
    </row>
    <row r="286" spans="1:15" x14ac:dyDescent="0.35">
      <c r="A286" s="110">
        <v>45443</v>
      </c>
      <c r="B286" s="111" t="s">
        <v>453</v>
      </c>
      <c r="C286" s="111" t="s">
        <v>1669</v>
      </c>
      <c r="D286" s="111" t="s">
        <v>66</v>
      </c>
      <c r="E286" s="112" t="s">
        <v>218</v>
      </c>
      <c r="F286" s="112"/>
      <c r="G286" s="112" t="s">
        <v>517</v>
      </c>
      <c r="H286" s="112" t="s">
        <v>2</v>
      </c>
      <c r="I286" s="113">
        <f t="shared" si="4"/>
        <v>114.18607895103919</v>
      </c>
      <c r="J286" s="114">
        <f>122.79*12/(1.005)/1.07</f>
        <v>1370.2329474124704</v>
      </c>
      <c r="K286" s="116">
        <v>45808</v>
      </c>
      <c r="L286" s="112" t="s">
        <v>1671</v>
      </c>
      <c r="M286" s="112" t="s">
        <v>74</v>
      </c>
      <c r="N286" s="112" t="s">
        <v>71</v>
      </c>
      <c r="O286" s="115"/>
    </row>
    <row r="287" spans="1:15" x14ac:dyDescent="0.35">
      <c r="A287" s="116">
        <v>45443</v>
      </c>
      <c r="B287" s="117" t="s">
        <v>453</v>
      </c>
      <c r="C287" s="111" t="s">
        <v>1669</v>
      </c>
      <c r="D287" s="117" t="s">
        <v>66</v>
      </c>
      <c r="E287" s="118" t="s">
        <v>218</v>
      </c>
      <c r="F287" s="118"/>
      <c r="G287" s="118" t="s">
        <v>219</v>
      </c>
      <c r="H287" s="118" t="s">
        <v>2</v>
      </c>
      <c r="I287" s="113">
        <f t="shared" si="4"/>
        <v>93.606732691681785</v>
      </c>
      <c r="J287" s="120">
        <f>100.66*12/(1.005)/1.07</f>
        <v>1123.2807923001815</v>
      </c>
      <c r="K287" s="116">
        <v>45808</v>
      </c>
      <c r="L287" s="118" t="s">
        <v>1672</v>
      </c>
      <c r="M287" s="118"/>
      <c r="N287" s="118"/>
      <c r="O287" s="121" t="s">
        <v>1676</v>
      </c>
    </row>
    <row r="288" spans="1:15" x14ac:dyDescent="0.35">
      <c r="A288" s="110">
        <v>45443</v>
      </c>
      <c r="B288" s="111" t="s">
        <v>453</v>
      </c>
      <c r="C288" s="111" t="s">
        <v>1669</v>
      </c>
      <c r="D288" s="111" t="s">
        <v>66</v>
      </c>
      <c r="E288" s="112" t="s">
        <v>218</v>
      </c>
      <c r="F288" s="112"/>
      <c r="G288" s="112" t="s">
        <v>517</v>
      </c>
      <c r="H288" s="112" t="s">
        <v>2</v>
      </c>
      <c r="I288" s="113">
        <f t="shared" si="4"/>
        <v>18.933370530524947</v>
      </c>
      <c r="J288" s="114">
        <f>20.36*12/(1.005)/1.07</f>
        <v>227.20044636629936</v>
      </c>
      <c r="K288" s="116">
        <v>45808</v>
      </c>
      <c r="L288" s="112" t="s">
        <v>1672</v>
      </c>
      <c r="M288" s="112"/>
      <c r="N288" s="112"/>
      <c r="O288" s="115" t="s">
        <v>1675</v>
      </c>
    </row>
    <row r="289" spans="1:15" x14ac:dyDescent="0.35">
      <c r="A289" s="116">
        <v>45443</v>
      </c>
      <c r="B289" s="117" t="s">
        <v>453</v>
      </c>
      <c r="C289" s="111" t="s">
        <v>1669</v>
      </c>
      <c r="D289" s="117" t="s">
        <v>66</v>
      </c>
      <c r="E289" s="118" t="s">
        <v>218</v>
      </c>
      <c r="F289" s="118"/>
      <c r="G289" s="118" t="s">
        <v>517</v>
      </c>
      <c r="H289" s="118" t="s">
        <v>2</v>
      </c>
      <c r="I289" s="113">
        <f t="shared" si="4"/>
        <v>136.69037987631935</v>
      </c>
      <c r="J289" s="120">
        <f>146.99*12/(1.005)/1.07</f>
        <v>1640.2845585158323</v>
      </c>
      <c r="K289" s="116">
        <v>45808</v>
      </c>
      <c r="L289" s="118" t="s">
        <v>1672</v>
      </c>
      <c r="M289" s="118"/>
      <c r="N289" s="118"/>
      <c r="O289" s="121" t="s">
        <v>1673</v>
      </c>
    </row>
    <row r="290" spans="1:15" x14ac:dyDescent="0.35">
      <c r="A290" s="110">
        <v>45443</v>
      </c>
      <c r="B290" s="111" t="s">
        <v>453</v>
      </c>
      <c r="C290" s="111" t="s">
        <v>1669</v>
      </c>
      <c r="D290" s="111" t="s">
        <v>66</v>
      </c>
      <c r="E290" s="112" t="s">
        <v>218</v>
      </c>
      <c r="F290" s="112"/>
      <c r="G290" s="112" t="s">
        <v>526</v>
      </c>
      <c r="H290" s="112" t="s">
        <v>5</v>
      </c>
      <c r="I290" s="113">
        <f t="shared" si="4"/>
        <v>352.44776119402985</v>
      </c>
      <c r="J290" s="114">
        <f>354.21*12/(1.005)</f>
        <v>4229.373134328358</v>
      </c>
      <c r="K290" s="116">
        <v>45808</v>
      </c>
      <c r="L290" s="112" t="s">
        <v>1671</v>
      </c>
      <c r="M290" s="112" t="s">
        <v>74</v>
      </c>
      <c r="N290" s="112" t="s">
        <v>71</v>
      </c>
      <c r="O290" s="115"/>
    </row>
    <row r="291" spans="1:15" x14ac:dyDescent="0.35">
      <c r="A291" s="116">
        <v>45443</v>
      </c>
      <c r="B291" s="117" t="s">
        <v>453</v>
      </c>
      <c r="C291" s="111" t="s">
        <v>1669</v>
      </c>
      <c r="D291" s="117" t="s">
        <v>66</v>
      </c>
      <c r="E291" s="118" t="s">
        <v>13</v>
      </c>
      <c r="F291" s="118"/>
      <c r="G291" s="118" t="s">
        <v>510</v>
      </c>
      <c r="H291" s="118" t="s">
        <v>5</v>
      </c>
      <c r="I291" s="113">
        <f t="shared" si="4"/>
        <v>152.6766169154229</v>
      </c>
      <c r="J291" s="120">
        <f>153.44*12/(1.005)</f>
        <v>1832.1194029850749</v>
      </c>
      <c r="K291" s="116">
        <v>45808</v>
      </c>
      <c r="L291" s="118" t="s">
        <v>1671</v>
      </c>
      <c r="M291" s="118" t="s">
        <v>71</v>
      </c>
      <c r="N291" s="118" t="s">
        <v>71</v>
      </c>
      <c r="O291" s="121"/>
    </row>
    <row r="292" spans="1:15" x14ac:dyDescent="0.35">
      <c r="A292" s="110">
        <v>45443</v>
      </c>
      <c r="B292" s="111" t="s">
        <v>453</v>
      </c>
      <c r="C292" s="111" t="s">
        <v>1669</v>
      </c>
      <c r="D292" s="111" t="s">
        <v>66</v>
      </c>
      <c r="E292" s="112" t="s">
        <v>145</v>
      </c>
      <c r="F292" s="112"/>
      <c r="G292" s="112" t="s">
        <v>521</v>
      </c>
      <c r="H292" s="112" t="s">
        <v>2</v>
      </c>
      <c r="I292" s="113">
        <f t="shared" si="4"/>
        <v>59.989770772306706</v>
      </c>
      <c r="J292" s="114">
        <f>64.51*12/(1.005)/1.07</f>
        <v>719.87724926768044</v>
      </c>
      <c r="K292" s="116">
        <v>45808</v>
      </c>
      <c r="L292" s="112" t="s">
        <v>1671</v>
      </c>
      <c r="M292" s="112" t="s">
        <v>71</v>
      </c>
      <c r="N292" s="112" t="s">
        <v>71</v>
      </c>
      <c r="O292" s="115"/>
    </row>
    <row r="293" spans="1:15" x14ac:dyDescent="0.35">
      <c r="A293" s="116">
        <v>45443</v>
      </c>
      <c r="B293" s="117" t="s">
        <v>453</v>
      </c>
      <c r="C293" s="111" t="s">
        <v>1669</v>
      </c>
      <c r="D293" s="117" t="s">
        <v>66</v>
      </c>
      <c r="E293" s="118" t="s">
        <v>145</v>
      </c>
      <c r="F293" s="118">
        <v>34180</v>
      </c>
      <c r="G293" s="118" t="s">
        <v>522</v>
      </c>
      <c r="H293" s="118" t="s">
        <v>2</v>
      </c>
      <c r="I293" s="113">
        <f t="shared" si="4"/>
        <v>110.43846189612685</v>
      </c>
      <c r="J293" s="120">
        <f>118.76*12/(1.005)/1.07</f>
        <v>1325.2615427535222</v>
      </c>
      <c r="K293" s="116">
        <v>45808</v>
      </c>
      <c r="L293" s="118" t="s">
        <v>1671</v>
      </c>
      <c r="M293" s="118" t="s">
        <v>71</v>
      </c>
      <c r="N293" s="118" t="s">
        <v>71</v>
      </c>
      <c r="O293" s="121"/>
    </row>
    <row r="294" spans="1:15" x14ac:dyDescent="0.35">
      <c r="A294" s="110">
        <v>45443</v>
      </c>
      <c r="B294" s="111" t="s">
        <v>453</v>
      </c>
      <c r="C294" s="111" t="s">
        <v>1669</v>
      </c>
      <c r="D294" s="111" t="s">
        <v>66</v>
      </c>
      <c r="E294" s="112" t="s">
        <v>14</v>
      </c>
      <c r="F294" s="112"/>
      <c r="G294" s="112" t="s">
        <v>511</v>
      </c>
      <c r="H294" s="112" t="s">
        <v>148</v>
      </c>
      <c r="I294" s="113">
        <f t="shared" si="4"/>
        <v>115.92039800995026</v>
      </c>
      <c r="J294" s="114">
        <f>116.5*12/(1.005)</f>
        <v>1391.0447761194032</v>
      </c>
      <c r="K294" s="116">
        <v>45808</v>
      </c>
      <c r="L294" s="112" t="s">
        <v>1671</v>
      </c>
      <c r="M294" s="112" t="s">
        <v>71</v>
      </c>
      <c r="N294" s="112" t="s">
        <v>71</v>
      </c>
      <c r="O294" s="115"/>
    </row>
    <row r="295" spans="1:15" x14ac:dyDescent="0.35">
      <c r="A295" s="116">
        <v>45443</v>
      </c>
      <c r="B295" s="117" t="s">
        <v>453</v>
      </c>
      <c r="C295" s="111" t="s">
        <v>1669</v>
      </c>
      <c r="D295" s="117" t="s">
        <v>66</v>
      </c>
      <c r="E295" s="118" t="s">
        <v>14</v>
      </c>
      <c r="F295" s="118"/>
      <c r="G295" s="118" t="s">
        <v>513</v>
      </c>
      <c r="H295" s="118" t="s">
        <v>148</v>
      </c>
      <c r="I295" s="113">
        <f t="shared" si="4"/>
        <v>116.44776119402987</v>
      </c>
      <c r="J295" s="120">
        <f>117.03*12/(1.005)</f>
        <v>1397.3731343283584</v>
      </c>
      <c r="K295" s="116">
        <v>45808</v>
      </c>
      <c r="L295" s="118" t="s">
        <v>1671</v>
      </c>
      <c r="M295" s="118" t="s">
        <v>71</v>
      </c>
      <c r="N295" s="118" t="s">
        <v>71</v>
      </c>
      <c r="O295" s="121"/>
    </row>
    <row r="296" spans="1:15" x14ac:dyDescent="0.35">
      <c r="A296" s="110">
        <v>45443</v>
      </c>
      <c r="B296" s="111" t="s">
        <v>453</v>
      </c>
      <c r="C296" s="111" t="s">
        <v>1669</v>
      </c>
      <c r="D296" s="111" t="s">
        <v>66</v>
      </c>
      <c r="E296" s="112" t="s">
        <v>14</v>
      </c>
      <c r="F296" s="112"/>
      <c r="G296" s="112" t="s">
        <v>1667</v>
      </c>
      <c r="H296" s="112" t="s">
        <v>5</v>
      </c>
      <c r="I296" s="113">
        <f t="shared" si="4"/>
        <v>68.756218905472636</v>
      </c>
      <c r="J296" s="114">
        <f>69.1*12/(1.005)</f>
        <v>825.07462686567169</v>
      </c>
      <c r="K296" s="116">
        <v>45808</v>
      </c>
      <c r="L296" s="112" t="s">
        <v>1672</v>
      </c>
      <c r="M296" s="112"/>
      <c r="N296" s="112"/>
      <c r="O296" s="115" t="s">
        <v>1676</v>
      </c>
    </row>
    <row r="297" spans="1:15" x14ac:dyDescent="0.35">
      <c r="A297" s="116">
        <v>45443</v>
      </c>
      <c r="B297" s="117" t="s">
        <v>453</v>
      </c>
      <c r="C297" s="111" t="s">
        <v>1669</v>
      </c>
      <c r="D297" s="117" t="s">
        <v>66</v>
      </c>
      <c r="E297" s="118" t="s">
        <v>14</v>
      </c>
      <c r="F297" s="118"/>
      <c r="G297" s="118" t="s">
        <v>514</v>
      </c>
      <c r="H297" s="118" t="s">
        <v>5</v>
      </c>
      <c r="I297" s="113">
        <f t="shared" si="4"/>
        <v>65.910447761194021</v>
      </c>
      <c r="J297" s="120">
        <f>66.24*12/(1.005)</f>
        <v>790.92537313432831</v>
      </c>
      <c r="K297" s="116">
        <v>45808</v>
      </c>
      <c r="L297" s="118" t="s">
        <v>1672</v>
      </c>
      <c r="M297" s="118"/>
      <c r="N297" s="118"/>
      <c r="O297" s="121" t="s">
        <v>1674</v>
      </c>
    </row>
    <row r="298" spans="1:15" x14ac:dyDescent="0.35">
      <c r="A298" s="110">
        <v>45443</v>
      </c>
      <c r="B298" s="111" t="s">
        <v>453</v>
      </c>
      <c r="C298" s="111" t="s">
        <v>1669</v>
      </c>
      <c r="D298" s="111" t="s">
        <v>66</v>
      </c>
      <c r="E298" s="112" t="s">
        <v>14</v>
      </c>
      <c r="F298" s="112"/>
      <c r="G298" s="112" t="s">
        <v>523</v>
      </c>
      <c r="H298" s="112" t="s">
        <v>2</v>
      </c>
      <c r="I298" s="113">
        <f t="shared" si="4"/>
        <v>95.150416143581154</v>
      </c>
      <c r="J298" s="114">
        <f>102.32*12/(1.005)/1.07</f>
        <v>1141.8049937229739</v>
      </c>
      <c r="K298" s="116">
        <v>45808</v>
      </c>
      <c r="L298" s="112" t="s">
        <v>1672</v>
      </c>
      <c r="M298" s="112"/>
      <c r="N298" s="112"/>
      <c r="O298" s="115" t="s">
        <v>1674</v>
      </c>
    </row>
    <row r="299" spans="1:15" x14ac:dyDescent="0.35">
      <c r="A299" s="116">
        <v>45443</v>
      </c>
      <c r="B299" s="117" t="s">
        <v>453</v>
      </c>
      <c r="C299" s="111" t="s">
        <v>1669</v>
      </c>
      <c r="D299" s="117" t="s">
        <v>66</v>
      </c>
      <c r="E299" s="118" t="s">
        <v>14</v>
      </c>
      <c r="F299" s="118"/>
      <c r="G299" s="118" t="s">
        <v>524</v>
      </c>
      <c r="H299" s="118" t="s">
        <v>2</v>
      </c>
      <c r="I299" s="113">
        <f t="shared" si="4"/>
        <v>401.18101083368214</v>
      </c>
      <c r="J299" s="120">
        <f>431.41*12/(1.005)/1.07</f>
        <v>4814.1721300041854</v>
      </c>
      <c r="K299" s="116">
        <v>45808</v>
      </c>
      <c r="L299" s="118" t="s">
        <v>1672</v>
      </c>
      <c r="M299" s="118"/>
      <c r="N299" s="118"/>
      <c r="O299" s="121" t="s">
        <v>1673</v>
      </c>
    </row>
    <row r="300" spans="1:15" x14ac:dyDescent="0.35">
      <c r="A300" s="110">
        <v>45443</v>
      </c>
      <c r="B300" s="111" t="s">
        <v>453</v>
      </c>
      <c r="C300" s="111" t="s">
        <v>1669</v>
      </c>
      <c r="D300" s="111" t="s">
        <v>66</v>
      </c>
      <c r="E300" s="112" t="s">
        <v>14</v>
      </c>
      <c r="F300" s="112"/>
      <c r="G300" s="112" t="s">
        <v>525</v>
      </c>
      <c r="H300" s="112" t="s">
        <v>5</v>
      </c>
      <c r="I300" s="113">
        <f t="shared" si="4"/>
        <v>71.303482587064678</v>
      </c>
      <c r="J300" s="114">
        <f>71.66*12/(1.005)</f>
        <v>855.64179104477614</v>
      </c>
      <c r="K300" s="116">
        <v>45808</v>
      </c>
      <c r="L300" s="112" t="s">
        <v>1671</v>
      </c>
      <c r="M300" s="112" t="s">
        <v>71</v>
      </c>
      <c r="N300" s="112" t="s">
        <v>71</v>
      </c>
      <c r="O300" s="115"/>
    </row>
    <row r="301" spans="1:15" x14ac:dyDescent="0.35">
      <c r="A301" s="116">
        <v>45443</v>
      </c>
      <c r="B301" s="117" t="s">
        <v>453</v>
      </c>
      <c r="C301" s="111" t="s">
        <v>1669</v>
      </c>
      <c r="D301" s="117" t="s">
        <v>66</v>
      </c>
      <c r="E301" s="118" t="s">
        <v>16</v>
      </c>
      <c r="F301" s="118"/>
      <c r="G301" s="118" t="s">
        <v>528</v>
      </c>
      <c r="H301" s="118" t="s">
        <v>2</v>
      </c>
      <c r="I301" s="113">
        <f t="shared" si="4"/>
        <v>37.643557911377691</v>
      </c>
      <c r="J301" s="120">
        <f>40.48*12/(1.005)/1.07</f>
        <v>451.72269493653232</v>
      </c>
      <c r="K301" s="116">
        <v>45808</v>
      </c>
      <c r="L301" s="118" t="s">
        <v>1672</v>
      </c>
      <c r="M301" s="118"/>
      <c r="N301" s="118"/>
      <c r="O301" s="121" t="s">
        <v>1673</v>
      </c>
    </row>
    <row r="302" spans="1:15" x14ac:dyDescent="0.35">
      <c r="A302" s="110">
        <v>45445</v>
      </c>
      <c r="B302" s="111" t="s">
        <v>1</v>
      </c>
      <c r="C302" s="111" t="s">
        <v>1669</v>
      </c>
      <c r="D302" s="111" t="s">
        <v>66</v>
      </c>
      <c r="E302" s="112" t="s">
        <v>158</v>
      </c>
      <c r="F302" s="112"/>
      <c r="G302" s="112" t="s">
        <v>532</v>
      </c>
      <c r="H302" s="112" t="s">
        <v>148</v>
      </c>
      <c r="I302" s="113">
        <f t="shared" si="4"/>
        <v>186.11940298507469</v>
      </c>
      <c r="J302" s="114">
        <f>187.05*12/(1.005)</f>
        <v>2233.4328358208963</v>
      </c>
      <c r="K302" s="110">
        <v>45810</v>
      </c>
      <c r="L302" s="112" t="s">
        <v>1067</v>
      </c>
      <c r="M302" s="112"/>
      <c r="N302" s="112"/>
      <c r="O302" s="115"/>
    </row>
    <row r="303" spans="1:15" x14ac:dyDescent="0.35">
      <c r="A303" s="116">
        <v>45446</v>
      </c>
      <c r="B303" s="117" t="s">
        <v>1</v>
      </c>
      <c r="C303" s="111" t="s">
        <v>1669</v>
      </c>
      <c r="D303" s="117" t="s">
        <v>52</v>
      </c>
      <c r="E303" s="118" t="s">
        <v>155</v>
      </c>
      <c r="F303" s="118" t="s">
        <v>534</v>
      </c>
      <c r="G303" s="118" t="s">
        <v>535</v>
      </c>
      <c r="H303" s="118" t="s">
        <v>3</v>
      </c>
      <c r="I303" s="113">
        <f t="shared" si="4"/>
        <v>156.17083333333332</v>
      </c>
      <c r="J303" s="120">
        <v>1874.05</v>
      </c>
      <c r="K303" s="116">
        <v>45811</v>
      </c>
      <c r="L303" s="118" t="s">
        <v>1067</v>
      </c>
      <c r="M303" s="118"/>
      <c r="N303" s="118"/>
      <c r="O303" s="121"/>
    </row>
    <row r="304" spans="1:15" x14ac:dyDescent="0.35">
      <c r="A304" s="110">
        <v>45446</v>
      </c>
      <c r="B304" s="111" t="s">
        <v>1</v>
      </c>
      <c r="C304" s="111" t="s">
        <v>1669</v>
      </c>
      <c r="D304" s="111" t="s">
        <v>66</v>
      </c>
      <c r="E304" s="112" t="s">
        <v>18</v>
      </c>
      <c r="F304" s="112"/>
      <c r="G304" s="112" t="s">
        <v>533</v>
      </c>
      <c r="H304" s="112" t="s">
        <v>4</v>
      </c>
      <c r="I304" s="113">
        <f t="shared" si="4"/>
        <v>53.75</v>
      </c>
      <c r="J304" s="114">
        <v>645</v>
      </c>
      <c r="K304" s="110">
        <v>45811</v>
      </c>
      <c r="L304" s="112" t="s">
        <v>1067</v>
      </c>
      <c r="M304" s="112"/>
      <c r="N304" s="112"/>
      <c r="O304" s="115"/>
    </row>
    <row r="305" spans="1:15" x14ac:dyDescent="0.35">
      <c r="A305" s="116">
        <v>45447</v>
      </c>
      <c r="B305" s="117" t="s">
        <v>1</v>
      </c>
      <c r="C305" s="111" t="s">
        <v>1669</v>
      </c>
      <c r="D305" s="117" t="s">
        <v>52</v>
      </c>
      <c r="E305" s="118" t="s">
        <v>466</v>
      </c>
      <c r="F305" s="118">
        <v>4192512</v>
      </c>
      <c r="G305" s="118" t="s">
        <v>536</v>
      </c>
      <c r="H305" s="118" t="s">
        <v>395</v>
      </c>
      <c r="I305" s="113">
        <f t="shared" si="4"/>
        <v>181.39666666666668</v>
      </c>
      <c r="J305" s="120">
        <v>2176.7600000000002</v>
      </c>
      <c r="K305" s="116">
        <v>45812</v>
      </c>
      <c r="L305" s="118" t="s">
        <v>1067</v>
      </c>
      <c r="M305" s="118"/>
      <c r="N305" s="118"/>
      <c r="O305" s="121"/>
    </row>
    <row r="306" spans="1:15" x14ac:dyDescent="0.35">
      <c r="A306" s="110">
        <v>45448</v>
      </c>
      <c r="B306" s="111" t="s">
        <v>453</v>
      </c>
      <c r="C306" s="111" t="s">
        <v>1669</v>
      </c>
      <c r="D306" s="111" t="s">
        <v>52</v>
      </c>
      <c r="E306" s="112" t="s">
        <v>129</v>
      </c>
      <c r="F306" s="112">
        <v>4189499</v>
      </c>
      <c r="G306" s="112" t="s">
        <v>537</v>
      </c>
      <c r="H306" s="112" t="s">
        <v>395</v>
      </c>
      <c r="I306" s="113">
        <f t="shared" si="4"/>
        <v>456.315</v>
      </c>
      <c r="J306" s="114">
        <v>5475.78</v>
      </c>
      <c r="K306" s="110">
        <v>45813</v>
      </c>
      <c r="L306" s="112" t="s">
        <v>1067</v>
      </c>
      <c r="M306" s="112"/>
      <c r="N306" s="112"/>
      <c r="O306" s="115"/>
    </row>
    <row r="307" spans="1:15" x14ac:dyDescent="0.35">
      <c r="A307" s="116">
        <v>45448</v>
      </c>
      <c r="B307" s="117" t="s">
        <v>453</v>
      </c>
      <c r="C307" s="111" t="s">
        <v>1669</v>
      </c>
      <c r="D307" s="117" t="s">
        <v>52</v>
      </c>
      <c r="E307" s="118" t="s">
        <v>129</v>
      </c>
      <c r="F307" s="118">
        <v>4189499</v>
      </c>
      <c r="G307" s="118" t="s">
        <v>537</v>
      </c>
      <c r="H307" s="118" t="s">
        <v>395</v>
      </c>
      <c r="I307" s="113">
        <f t="shared" si="4"/>
        <v>456.315</v>
      </c>
      <c r="J307" s="120">
        <v>5475.78</v>
      </c>
      <c r="K307" s="116">
        <v>45813</v>
      </c>
      <c r="L307" s="118" t="s">
        <v>1067</v>
      </c>
      <c r="M307" s="118"/>
      <c r="N307" s="118"/>
      <c r="O307" s="121"/>
    </row>
    <row r="308" spans="1:15" x14ac:dyDescent="0.35">
      <c r="A308" s="110">
        <v>45449</v>
      </c>
      <c r="B308" s="111" t="s">
        <v>1</v>
      </c>
      <c r="C308" s="111" t="s">
        <v>1669</v>
      </c>
      <c r="D308" s="111" t="s">
        <v>52</v>
      </c>
      <c r="E308" s="112" t="s">
        <v>155</v>
      </c>
      <c r="F308" s="112">
        <v>4192582</v>
      </c>
      <c r="G308" s="112" t="s">
        <v>538</v>
      </c>
      <c r="H308" s="112" t="s">
        <v>395</v>
      </c>
      <c r="I308" s="113">
        <f t="shared" si="4"/>
        <v>41.80833333333333</v>
      </c>
      <c r="J308" s="114">
        <v>501.7</v>
      </c>
      <c r="K308" s="110">
        <v>45814</v>
      </c>
      <c r="L308" s="112" t="s">
        <v>1067</v>
      </c>
      <c r="M308" s="112"/>
      <c r="N308" s="112"/>
      <c r="O308" s="115"/>
    </row>
    <row r="309" spans="1:15" x14ac:dyDescent="0.35">
      <c r="A309" s="116">
        <v>45450</v>
      </c>
      <c r="B309" s="117" t="s">
        <v>1</v>
      </c>
      <c r="C309" s="111" t="s">
        <v>1669</v>
      </c>
      <c r="D309" s="117" t="s">
        <v>52</v>
      </c>
      <c r="E309" s="118" t="s">
        <v>466</v>
      </c>
      <c r="F309" s="118">
        <v>4192646</v>
      </c>
      <c r="G309" s="118" t="s">
        <v>383</v>
      </c>
      <c r="H309" s="118" t="s">
        <v>395</v>
      </c>
      <c r="I309" s="113">
        <f t="shared" si="4"/>
        <v>56.384999999999998</v>
      </c>
      <c r="J309" s="120">
        <v>676.62</v>
      </c>
      <c r="K309" s="116">
        <v>45815</v>
      </c>
      <c r="L309" s="118" t="s">
        <v>1067</v>
      </c>
      <c r="M309" s="118"/>
      <c r="N309" s="118"/>
      <c r="O309" s="121"/>
    </row>
    <row r="310" spans="1:15" x14ac:dyDescent="0.35">
      <c r="A310" s="110">
        <v>45455</v>
      </c>
      <c r="B310" s="111" t="s">
        <v>1</v>
      </c>
      <c r="C310" s="111" t="s">
        <v>1669</v>
      </c>
      <c r="D310" s="111" t="s">
        <v>52</v>
      </c>
      <c r="E310" s="112" t="s">
        <v>396</v>
      </c>
      <c r="F310" s="112">
        <v>16135</v>
      </c>
      <c r="G310" s="112" t="s">
        <v>539</v>
      </c>
      <c r="H310" s="112" t="s">
        <v>307</v>
      </c>
      <c r="I310" s="113">
        <f t="shared" si="4"/>
        <v>61.00333333333333</v>
      </c>
      <c r="J310" s="114">
        <v>732.04</v>
      </c>
      <c r="K310" s="110">
        <v>45820</v>
      </c>
      <c r="L310" s="112" t="s">
        <v>1067</v>
      </c>
      <c r="M310" s="112"/>
      <c r="N310" s="112"/>
      <c r="O310" s="115"/>
    </row>
    <row r="311" spans="1:15" x14ac:dyDescent="0.35">
      <c r="A311" s="116">
        <v>45456</v>
      </c>
      <c r="B311" s="117" t="s">
        <v>1</v>
      </c>
      <c r="C311" s="111" t="s">
        <v>1669</v>
      </c>
      <c r="D311" s="117" t="s">
        <v>66</v>
      </c>
      <c r="E311" s="118" t="s">
        <v>12</v>
      </c>
      <c r="F311" s="118"/>
      <c r="G311" s="118" t="s">
        <v>541</v>
      </c>
      <c r="H311" s="118" t="s">
        <v>4</v>
      </c>
      <c r="I311" s="113">
        <f t="shared" si="4"/>
        <v>55</v>
      </c>
      <c r="J311" s="120">
        <v>660</v>
      </c>
      <c r="K311" s="116">
        <v>45821</v>
      </c>
      <c r="L311" s="118" t="s">
        <v>1067</v>
      </c>
      <c r="M311" s="118"/>
      <c r="N311" s="118"/>
      <c r="O311" s="121"/>
    </row>
    <row r="312" spans="1:15" x14ac:dyDescent="0.35">
      <c r="A312" s="110">
        <v>45456</v>
      </c>
      <c r="B312" s="111" t="s">
        <v>1</v>
      </c>
      <c r="C312" s="111" t="s">
        <v>1669</v>
      </c>
      <c r="D312" s="111" t="s">
        <v>66</v>
      </c>
      <c r="E312" s="112" t="s">
        <v>175</v>
      </c>
      <c r="F312" s="112"/>
      <c r="G312" s="112" t="s">
        <v>540</v>
      </c>
      <c r="H312" s="112" t="s">
        <v>307</v>
      </c>
      <c r="I312" s="113">
        <f t="shared" si="4"/>
        <v>105.17412935323385</v>
      </c>
      <c r="J312" s="114">
        <f>105.7*12/(1.005)</f>
        <v>1262.0895522388062</v>
      </c>
      <c r="K312" s="116">
        <v>45821</v>
      </c>
      <c r="L312" s="112" t="s">
        <v>1067</v>
      </c>
      <c r="M312" s="112"/>
      <c r="N312" s="112"/>
      <c r="O312" s="115"/>
    </row>
    <row r="313" spans="1:15" x14ac:dyDescent="0.35">
      <c r="A313" s="116">
        <v>45456</v>
      </c>
      <c r="B313" s="117" t="s">
        <v>1</v>
      </c>
      <c r="C313" s="111" t="s">
        <v>1669</v>
      </c>
      <c r="D313" s="117" t="s">
        <v>66</v>
      </c>
      <c r="E313" s="118" t="s">
        <v>84</v>
      </c>
      <c r="F313" s="118"/>
      <c r="G313" s="118" t="s">
        <v>542</v>
      </c>
      <c r="H313" s="118" t="s">
        <v>4</v>
      </c>
      <c r="I313" s="113">
        <f t="shared" si="4"/>
        <v>83.375</v>
      </c>
      <c r="J313" s="120">
        <v>1000.5</v>
      </c>
      <c r="K313" s="116">
        <v>45821</v>
      </c>
      <c r="L313" s="118" t="s">
        <v>1067</v>
      </c>
      <c r="M313" s="118"/>
      <c r="N313" s="118"/>
      <c r="O313" s="121"/>
    </row>
    <row r="314" spans="1:15" x14ac:dyDescent="0.35">
      <c r="A314" s="110">
        <v>45460</v>
      </c>
      <c r="B314" s="111" t="s">
        <v>1</v>
      </c>
      <c r="C314" s="111" t="s">
        <v>1669</v>
      </c>
      <c r="D314" s="111" t="s">
        <v>52</v>
      </c>
      <c r="E314" s="112" t="s">
        <v>155</v>
      </c>
      <c r="F314" s="112">
        <v>4192510</v>
      </c>
      <c r="G314" s="112" t="s">
        <v>548</v>
      </c>
      <c r="H314" s="112" t="s">
        <v>395</v>
      </c>
      <c r="I314" s="113">
        <f t="shared" si="4"/>
        <v>106.28416666666668</v>
      </c>
      <c r="J314" s="114">
        <v>1275.4100000000001</v>
      </c>
      <c r="K314" s="110">
        <v>45825</v>
      </c>
      <c r="L314" s="112" t="s">
        <v>1067</v>
      </c>
      <c r="M314" s="112"/>
      <c r="N314" s="112"/>
      <c r="O314" s="115"/>
    </row>
    <row r="315" spans="1:15" x14ac:dyDescent="0.35">
      <c r="A315" s="116">
        <v>45460</v>
      </c>
      <c r="B315" s="117" t="s">
        <v>1</v>
      </c>
      <c r="C315" s="111" t="s">
        <v>1669</v>
      </c>
      <c r="D315" s="117" t="s">
        <v>52</v>
      </c>
      <c r="E315" s="118" t="s">
        <v>155</v>
      </c>
      <c r="F315" s="118">
        <v>4192511</v>
      </c>
      <c r="G315" s="118" t="s">
        <v>548</v>
      </c>
      <c r="H315" s="118" t="s">
        <v>395</v>
      </c>
      <c r="I315" s="113">
        <f t="shared" si="4"/>
        <v>75.339166666666671</v>
      </c>
      <c r="J315" s="120">
        <v>904.07</v>
      </c>
      <c r="K315" s="110">
        <v>45825</v>
      </c>
      <c r="L315" s="118" t="s">
        <v>1067</v>
      </c>
      <c r="M315" s="118"/>
      <c r="N315" s="118"/>
      <c r="O315" s="121"/>
    </row>
    <row r="316" spans="1:15" x14ac:dyDescent="0.35">
      <c r="A316" s="110">
        <v>45460</v>
      </c>
      <c r="B316" s="111" t="s">
        <v>1</v>
      </c>
      <c r="C316" s="111" t="s">
        <v>1669</v>
      </c>
      <c r="D316" s="111" t="s">
        <v>52</v>
      </c>
      <c r="E316" s="112" t="s">
        <v>155</v>
      </c>
      <c r="F316" s="112">
        <v>4192659</v>
      </c>
      <c r="G316" s="112" t="s">
        <v>549</v>
      </c>
      <c r="H316" s="112" t="s">
        <v>395</v>
      </c>
      <c r="I316" s="113">
        <f t="shared" si="4"/>
        <v>138.05416666666667</v>
      </c>
      <c r="J316" s="114">
        <v>1656.65</v>
      </c>
      <c r="K316" s="110">
        <v>45825</v>
      </c>
      <c r="L316" s="112" t="s">
        <v>1067</v>
      </c>
      <c r="M316" s="112"/>
      <c r="N316" s="112"/>
      <c r="O316" s="115"/>
    </row>
    <row r="317" spans="1:15" x14ac:dyDescent="0.35">
      <c r="A317" s="116">
        <v>45460</v>
      </c>
      <c r="B317" s="117" t="s">
        <v>1</v>
      </c>
      <c r="C317" s="111" t="s">
        <v>1669</v>
      </c>
      <c r="D317" s="117" t="s">
        <v>52</v>
      </c>
      <c r="E317" s="118" t="s">
        <v>155</v>
      </c>
      <c r="F317" s="118">
        <v>4193045</v>
      </c>
      <c r="G317" s="118" t="s">
        <v>550</v>
      </c>
      <c r="H317" s="118" t="s">
        <v>395</v>
      </c>
      <c r="I317" s="113">
        <f t="shared" si="4"/>
        <v>117.985</v>
      </c>
      <c r="J317" s="120">
        <v>1415.82</v>
      </c>
      <c r="K317" s="110">
        <v>45825</v>
      </c>
      <c r="L317" s="118" t="s">
        <v>1067</v>
      </c>
      <c r="M317" s="118"/>
      <c r="N317" s="118"/>
      <c r="O317" s="121"/>
    </row>
    <row r="318" spans="1:15" x14ac:dyDescent="0.35">
      <c r="A318" s="110">
        <v>45460</v>
      </c>
      <c r="B318" s="111" t="s">
        <v>1</v>
      </c>
      <c r="C318" s="111" t="s">
        <v>1669</v>
      </c>
      <c r="D318" s="111" t="s">
        <v>52</v>
      </c>
      <c r="E318" s="112" t="s">
        <v>155</v>
      </c>
      <c r="F318" s="112">
        <v>739786</v>
      </c>
      <c r="G318" s="112" t="s">
        <v>554</v>
      </c>
      <c r="H318" s="112" t="s">
        <v>395</v>
      </c>
      <c r="I318" s="113">
        <f t="shared" si="4"/>
        <v>103.5175</v>
      </c>
      <c r="J318" s="114">
        <v>1242.21</v>
      </c>
      <c r="K318" s="110">
        <v>45825</v>
      </c>
      <c r="L318" s="112" t="s">
        <v>1067</v>
      </c>
      <c r="M318" s="112"/>
      <c r="N318" s="112"/>
      <c r="O318" s="115"/>
    </row>
    <row r="319" spans="1:15" x14ac:dyDescent="0.35">
      <c r="A319" s="116">
        <v>45460</v>
      </c>
      <c r="B319" s="117" t="s">
        <v>1</v>
      </c>
      <c r="C319" s="111" t="s">
        <v>1669</v>
      </c>
      <c r="D319" s="117" t="s">
        <v>52</v>
      </c>
      <c r="E319" s="118" t="s">
        <v>155</v>
      </c>
      <c r="F319" s="118">
        <v>4170656</v>
      </c>
      <c r="G319" s="118" t="s">
        <v>554</v>
      </c>
      <c r="H319" s="118" t="s">
        <v>395</v>
      </c>
      <c r="I319" s="113">
        <f t="shared" si="4"/>
        <v>351.01666666666665</v>
      </c>
      <c r="J319" s="120">
        <v>4212.2</v>
      </c>
      <c r="K319" s="110">
        <v>45825</v>
      </c>
      <c r="L319" s="118" t="s">
        <v>1067</v>
      </c>
      <c r="M319" s="118"/>
      <c r="N319" s="118"/>
      <c r="O319" s="121"/>
    </row>
    <row r="320" spans="1:15" x14ac:dyDescent="0.35">
      <c r="A320" s="110">
        <v>45460</v>
      </c>
      <c r="B320" s="111" t="s">
        <v>1</v>
      </c>
      <c r="C320" s="111" t="s">
        <v>1669</v>
      </c>
      <c r="D320" s="111" t="s">
        <v>52</v>
      </c>
      <c r="E320" s="112" t="s">
        <v>155</v>
      </c>
      <c r="F320" s="112"/>
      <c r="G320" s="112" t="s">
        <v>555</v>
      </c>
      <c r="H320" s="112" t="s">
        <v>395</v>
      </c>
      <c r="I320" s="113">
        <f t="shared" si="4"/>
        <v>42.68416666666667</v>
      </c>
      <c r="J320" s="114">
        <v>512.21</v>
      </c>
      <c r="K320" s="110">
        <v>45825</v>
      </c>
      <c r="L320" s="112" t="s">
        <v>1067</v>
      </c>
      <c r="M320" s="112"/>
      <c r="N320" s="112"/>
      <c r="O320" s="115"/>
    </row>
    <row r="321" spans="1:15" x14ac:dyDescent="0.35">
      <c r="A321" s="116">
        <v>45460</v>
      </c>
      <c r="B321" s="117" t="s">
        <v>1</v>
      </c>
      <c r="C321" s="111" t="s">
        <v>1669</v>
      </c>
      <c r="D321" s="117" t="s">
        <v>52</v>
      </c>
      <c r="E321" s="118" t="s">
        <v>551</v>
      </c>
      <c r="F321" s="118">
        <v>4192697</v>
      </c>
      <c r="G321" s="118" t="s">
        <v>552</v>
      </c>
      <c r="H321" s="118" t="s">
        <v>395</v>
      </c>
      <c r="I321" s="113">
        <f t="shared" si="4"/>
        <v>59.459166666666668</v>
      </c>
      <c r="J321" s="120">
        <v>713.51</v>
      </c>
      <c r="K321" s="110">
        <v>45825</v>
      </c>
      <c r="L321" s="118" t="s">
        <v>1067</v>
      </c>
      <c r="M321" s="118"/>
      <c r="N321" s="118"/>
      <c r="O321" s="121"/>
    </row>
    <row r="322" spans="1:15" x14ac:dyDescent="0.35">
      <c r="A322" s="110">
        <v>45460</v>
      </c>
      <c r="B322" s="111" t="s">
        <v>1</v>
      </c>
      <c r="C322" s="111" t="s">
        <v>1669</v>
      </c>
      <c r="D322" s="111" t="s">
        <v>52</v>
      </c>
      <c r="E322" s="112" t="s">
        <v>459</v>
      </c>
      <c r="F322" s="112">
        <v>4193147</v>
      </c>
      <c r="G322" s="112" t="s">
        <v>553</v>
      </c>
      <c r="H322" s="112" t="s">
        <v>395</v>
      </c>
      <c r="I322" s="113">
        <f t="shared" si="4"/>
        <v>70.454166666666666</v>
      </c>
      <c r="J322" s="114">
        <v>845.45</v>
      </c>
      <c r="K322" s="110">
        <v>45825</v>
      </c>
      <c r="L322" s="112" t="s">
        <v>1067</v>
      </c>
      <c r="M322" s="112"/>
      <c r="N322" s="112"/>
      <c r="O322" s="115"/>
    </row>
    <row r="323" spans="1:15" x14ac:dyDescent="0.35">
      <c r="A323" s="116">
        <v>45460</v>
      </c>
      <c r="B323" s="117" t="s">
        <v>1</v>
      </c>
      <c r="C323" s="111" t="s">
        <v>1669</v>
      </c>
      <c r="D323" s="117" t="s">
        <v>52</v>
      </c>
      <c r="E323" s="118" t="s">
        <v>487</v>
      </c>
      <c r="F323" s="118">
        <v>4192494</v>
      </c>
      <c r="G323" s="118" t="s">
        <v>546</v>
      </c>
      <c r="H323" s="118" t="s">
        <v>395</v>
      </c>
      <c r="I323" s="113">
        <f t="shared" si="4"/>
        <v>129.32833333333335</v>
      </c>
      <c r="J323" s="120">
        <v>1551.94</v>
      </c>
      <c r="K323" s="110">
        <v>45825</v>
      </c>
      <c r="L323" s="118" t="s">
        <v>1067</v>
      </c>
      <c r="M323" s="118"/>
      <c r="N323" s="118"/>
      <c r="O323" s="121"/>
    </row>
    <row r="324" spans="1:15" x14ac:dyDescent="0.35">
      <c r="A324" s="110">
        <v>45460</v>
      </c>
      <c r="B324" s="111" t="s">
        <v>1</v>
      </c>
      <c r="C324" s="111" t="s">
        <v>1669</v>
      </c>
      <c r="D324" s="111" t="s">
        <v>52</v>
      </c>
      <c r="E324" s="112" t="s">
        <v>487</v>
      </c>
      <c r="F324" s="112">
        <v>4192507</v>
      </c>
      <c r="G324" s="112" t="s">
        <v>547</v>
      </c>
      <c r="H324" s="112" t="s">
        <v>395</v>
      </c>
      <c r="I324" s="113">
        <f t="shared" si="4"/>
        <v>102.86166666666666</v>
      </c>
      <c r="J324" s="114">
        <v>1234.3399999999999</v>
      </c>
      <c r="K324" s="110">
        <v>45825</v>
      </c>
      <c r="L324" s="112" t="s">
        <v>1067</v>
      </c>
      <c r="M324" s="112"/>
      <c r="N324" s="112"/>
      <c r="O324" s="115"/>
    </row>
    <row r="325" spans="1:15" x14ac:dyDescent="0.35">
      <c r="A325" s="116">
        <v>45460</v>
      </c>
      <c r="B325" s="117" t="s">
        <v>1</v>
      </c>
      <c r="C325" s="111" t="s">
        <v>1669</v>
      </c>
      <c r="D325" s="117" t="s">
        <v>66</v>
      </c>
      <c r="E325" s="118" t="s">
        <v>12</v>
      </c>
      <c r="F325" s="118">
        <v>16189</v>
      </c>
      <c r="G325" s="118" t="s">
        <v>544</v>
      </c>
      <c r="H325" s="118" t="s">
        <v>5</v>
      </c>
      <c r="I325" s="113">
        <f t="shared" ref="I325:I388" si="5">J325/12</f>
        <v>61.00497512437812</v>
      </c>
      <c r="J325" s="120">
        <f>61.31*12/(1.005)</f>
        <v>732.05970149253744</v>
      </c>
      <c r="K325" s="110">
        <v>45825</v>
      </c>
      <c r="L325" s="118" t="s">
        <v>1067</v>
      </c>
      <c r="M325" s="118"/>
      <c r="N325" s="118"/>
      <c r="O325" s="121"/>
    </row>
    <row r="326" spans="1:15" x14ac:dyDescent="0.35">
      <c r="A326" s="110">
        <v>45460</v>
      </c>
      <c r="B326" s="111" t="s">
        <v>1</v>
      </c>
      <c r="C326" s="111" t="s">
        <v>1669</v>
      </c>
      <c r="D326" s="111" t="s">
        <v>66</v>
      </c>
      <c r="E326" s="112" t="s">
        <v>12</v>
      </c>
      <c r="F326" s="112">
        <v>33780</v>
      </c>
      <c r="G326" s="112" t="s">
        <v>544</v>
      </c>
      <c r="H326" s="112" t="s">
        <v>2</v>
      </c>
      <c r="I326" s="113">
        <f t="shared" si="5"/>
        <v>63.541284403669728</v>
      </c>
      <c r="J326" s="114">
        <f>69.26*12/1.09</f>
        <v>762.49541284403676</v>
      </c>
      <c r="K326" s="110">
        <v>45825</v>
      </c>
      <c r="L326" s="112" t="s">
        <v>1067</v>
      </c>
      <c r="M326" s="112"/>
      <c r="N326" s="112"/>
      <c r="O326" s="115"/>
    </row>
    <row r="327" spans="1:15" x14ac:dyDescent="0.35">
      <c r="A327" s="116">
        <v>45461</v>
      </c>
      <c r="B327" s="117" t="s">
        <v>1</v>
      </c>
      <c r="C327" s="111" t="s">
        <v>1669</v>
      </c>
      <c r="D327" s="117" t="s">
        <v>66</v>
      </c>
      <c r="E327" s="118" t="s">
        <v>166</v>
      </c>
      <c r="F327" s="118"/>
      <c r="G327" s="118" t="s">
        <v>559</v>
      </c>
      <c r="H327" s="118" t="s">
        <v>3</v>
      </c>
      <c r="I327" s="113">
        <f t="shared" si="5"/>
        <v>78.682835820895534</v>
      </c>
      <c r="J327" s="120">
        <f>+(84.52*12)/1.005-65</f>
        <v>944.19402985074635</v>
      </c>
      <c r="K327" s="116">
        <v>45826</v>
      </c>
      <c r="L327" s="118" t="s">
        <v>1067</v>
      </c>
      <c r="M327" s="118"/>
      <c r="N327" s="118"/>
      <c r="O327" s="121"/>
    </row>
    <row r="328" spans="1:15" x14ac:dyDescent="0.35">
      <c r="A328" s="110">
        <v>45461</v>
      </c>
      <c r="B328" s="111" t="s">
        <v>1</v>
      </c>
      <c r="C328" s="111" t="s">
        <v>1669</v>
      </c>
      <c r="D328" s="111" t="s">
        <v>66</v>
      </c>
      <c r="E328" s="112" t="s">
        <v>20</v>
      </c>
      <c r="F328" s="112"/>
      <c r="G328" s="112" t="s">
        <v>556</v>
      </c>
      <c r="H328" s="112" t="s">
        <v>307</v>
      </c>
      <c r="I328" s="113">
        <f t="shared" si="5"/>
        <v>100.95522388059703</v>
      </c>
      <c r="J328" s="114">
        <f>101.46*12/(1.005)</f>
        <v>1211.4626865671644</v>
      </c>
      <c r="K328" s="110">
        <v>45826</v>
      </c>
      <c r="L328" s="112" t="s">
        <v>1067</v>
      </c>
      <c r="M328" s="112"/>
      <c r="N328" s="112"/>
      <c r="O328" s="115"/>
    </row>
    <row r="329" spans="1:15" x14ac:dyDescent="0.35">
      <c r="A329" s="116">
        <v>45461</v>
      </c>
      <c r="B329" s="117" t="s">
        <v>1</v>
      </c>
      <c r="C329" s="111" t="s">
        <v>1669</v>
      </c>
      <c r="D329" s="117" t="s">
        <v>66</v>
      </c>
      <c r="E329" s="118" t="s">
        <v>20</v>
      </c>
      <c r="F329" s="118"/>
      <c r="G329" s="118" t="s">
        <v>558</v>
      </c>
      <c r="H329" s="118" t="s">
        <v>307</v>
      </c>
      <c r="I329" s="113">
        <f t="shared" si="5"/>
        <v>117.60199004975125</v>
      </c>
      <c r="J329" s="120">
        <f>118.19*12/(1.005)</f>
        <v>1411.2238805970151</v>
      </c>
      <c r="K329" s="116">
        <v>45826</v>
      </c>
      <c r="L329" s="118" t="s">
        <v>1067</v>
      </c>
      <c r="M329" s="118"/>
      <c r="N329" s="118"/>
      <c r="O329" s="121"/>
    </row>
    <row r="330" spans="1:15" x14ac:dyDescent="0.35">
      <c r="A330" s="110">
        <v>45462</v>
      </c>
      <c r="B330" s="111" t="s">
        <v>1</v>
      </c>
      <c r="C330" s="111" t="s">
        <v>1669</v>
      </c>
      <c r="D330" s="111" t="s">
        <v>52</v>
      </c>
      <c r="E330" s="112" t="s">
        <v>487</v>
      </c>
      <c r="F330" s="112"/>
      <c r="G330" s="112" t="s">
        <v>560</v>
      </c>
      <c r="H330" s="112" t="s">
        <v>4</v>
      </c>
      <c r="I330" s="113">
        <f t="shared" si="5"/>
        <v>431.25</v>
      </c>
      <c r="J330" s="114">
        <v>5175</v>
      </c>
      <c r="K330" s="110">
        <v>45827</v>
      </c>
      <c r="L330" s="112" t="s">
        <v>1067</v>
      </c>
      <c r="M330" s="112"/>
      <c r="N330" s="112"/>
      <c r="O330" s="115"/>
    </row>
    <row r="331" spans="1:15" x14ac:dyDescent="0.35">
      <c r="A331" s="116">
        <v>45462</v>
      </c>
      <c r="B331" s="117" t="s">
        <v>1</v>
      </c>
      <c r="C331" s="111" t="s">
        <v>1669</v>
      </c>
      <c r="D331" s="117" t="s">
        <v>66</v>
      </c>
      <c r="E331" s="118" t="s">
        <v>20</v>
      </c>
      <c r="F331" s="118"/>
      <c r="G331" s="118" t="s">
        <v>557</v>
      </c>
      <c r="H331" s="118" t="s">
        <v>148</v>
      </c>
      <c r="I331" s="113">
        <f t="shared" si="5"/>
        <v>105.65174129353237</v>
      </c>
      <c r="J331" s="120">
        <f>106.18*12/(1.005)</f>
        <v>1267.8208955223884</v>
      </c>
      <c r="K331" s="116">
        <v>45827</v>
      </c>
      <c r="L331" s="118" t="s">
        <v>1067</v>
      </c>
      <c r="M331" s="118"/>
      <c r="N331" s="118"/>
      <c r="O331" s="121"/>
    </row>
    <row r="332" spans="1:15" x14ac:dyDescent="0.35">
      <c r="A332" s="110">
        <v>45464</v>
      </c>
      <c r="B332" s="111" t="s">
        <v>1</v>
      </c>
      <c r="C332" s="111" t="s">
        <v>1669</v>
      </c>
      <c r="D332" s="111" t="s">
        <v>52</v>
      </c>
      <c r="E332" s="112" t="s">
        <v>466</v>
      </c>
      <c r="F332" s="112">
        <v>16158</v>
      </c>
      <c r="G332" s="112" t="s">
        <v>564</v>
      </c>
      <c r="H332" s="112" t="s">
        <v>307</v>
      </c>
      <c r="I332" s="113">
        <f t="shared" si="5"/>
        <v>174.47333333333333</v>
      </c>
      <c r="J332" s="114">
        <v>2093.6799999999998</v>
      </c>
      <c r="K332" s="110">
        <v>45829</v>
      </c>
      <c r="L332" s="112" t="s">
        <v>1067</v>
      </c>
      <c r="M332" s="112"/>
      <c r="N332" s="112"/>
      <c r="O332" s="115"/>
    </row>
    <row r="333" spans="1:15" x14ac:dyDescent="0.35">
      <c r="A333" s="116">
        <v>45464</v>
      </c>
      <c r="B333" s="117" t="s">
        <v>1</v>
      </c>
      <c r="C333" s="111" t="s">
        <v>1669</v>
      </c>
      <c r="D333" s="117" t="s">
        <v>52</v>
      </c>
      <c r="E333" s="118" t="s">
        <v>129</v>
      </c>
      <c r="F333" s="118">
        <v>33778</v>
      </c>
      <c r="G333" s="118" t="s">
        <v>561</v>
      </c>
      <c r="H333" s="118" t="s">
        <v>477</v>
      </c>
      <c r="I333" s="113">
        <f t="shared" si="5"/>
        <v>218.08666666666667</v>
      </c>
      <c r="J333" s="120">
        <v>2617.04</v>
      </c>
      <c r="K333" s="116">
        <v>45829</v>
      </c>
      <c r="L333" s="118" t="s">
        <v>1067</v>
      </c>
      <c r="M333" s="118"/>
      <c r="N333" s="118"/>
      <c r="O333" s="121"/>
    </row>
    <row r="334" spans="1:15" x14ac:dyDescent="0.35">
      <c r="A334" s="110">
        <v>45464</v>
      </c>
      <c r="B334" s="111" t="s">
        <v>1</v>
      </c>
      <c r="C334" s="111" t="s">
        <v>1669</v>
      </c>
      <c r="D334" s="111" t="s">
        <v>52</v>
      </c>
      <c r="E334" s="112" t="s">
        <v>396</v>
      </c>
      <c r="F334" s="112">
        <v>4106908</v>
      </c>
      <c r="G334" s="112" t="s">
        <v>379</v>
      </c>
      <c r="H334" s="112" t="s">
        <v>395</v>
      </c>
      <c r="I334" s="113">
        <f t="shared" si="5"/>
        <v>111.8125</v>
      </c>
      <c r="J334" s="114">
        <v>1341.75</v>
      </c>
      <c r="K334" s="110">
        <v>45829</v>
      </c>
      <c r="L334" s="112" t="s">
        <v>1067</v>
      </c>
      <c r="M334" s="112"/>
      <c r="N334" s="112"/>
      <c r="O334" s="115"/>
    </row>
    <row r="335" spans="1:15" x14ac:dyDescent="0.35">
      <c r="A335" s="116">
        <v>45464</v>
      </c>
      <c r="B335" s="117" t="s">
        <v>1</v>
      </c>
      <c r="C335" s="111" t="s">
        <v>1669</v>
      </c>
      <c r="D335" s="117" t="s">
        <v>52</v>
      </c>
      <c r="E335" s="118" t="s">
        <v>396</v>
      </c>
      <c r="F335" s="118">
        <v>4193461</v>
      </c>
      <c r="G335" s="118" t="s">
        <v>562</v>
      </c>
      <c r="H335" s="118" t="s">
        <v>395</v>
      </c>
      <c r="I335" s="113">
        <f t="shared" si="5"/>
        <v>118.30333333333334</v>
      </c>
      <c r="J335" s="120">
        <v>1419.64</v>
      </c>
      <c r="K335" s="116">
        <v>45829</v>
      </c>
      <c r="L335" s="118" t="s">
        <v>1067</v>
      </c>
      <c r="M335" s="118"/>
      <c r="N335" s="118"/>
      <c r="O335" s="121"/>
    </row>
    <row r="336" spans="1:15" x14ac:dyDescent="0.35">
      <c r="A336" s="110">
        <v>45464</v>
      </c>
      <c r="B336" s="111" t="s">
        <v>1</v>
      </c>
      <c r="C336" s="111" t="s">
        <v>1669</v>
      </c>
      <c r="D336" s="111" t="s">
        <v>52</v>
      </c>
      <c r="E336" s="112" t="s">
        <v>396</v>
      </c>
      <c r="F336" s="112">
        <v>16163</v>
      </c>
      <c r="G336" s="112" t="s">
        <v>563</v>
      </c>
      <c r="H336" s="112" t="s">
        <v>307</v>
      </c>
      <c r="I336" s="113">
        <f t="shared" si="5"/>
        <v>71.301666666666662</v>
      </c>
      <c r="J336" s="114">
        <v>855.62</v>
      </c>
      <c r="K336" s="110">
        <v>45829</v>
      </c>
      <c r="L336" s="112" t="s">
        <v>1067</v>
      </c>
      <c r="M336" s="112"/>
      <c r="N336" s="112"/>
      <c r="O336" s="115"/>
    </row>
    <row r="337" spans="1:15" x14ac:dyDescent="0.35">
      <c r="A337" s="116">
        <v>45467</v>
      </c>
      <c r="B337" s="117" t="s">
        <v>1</v>
      </c>
      <c r="C337" s="111" t="s">
        <v>1669</v>
      </c>
      <c r="D337" s="117" t="s">
        <v>52</v>
      </c>
      <c r="E337" s="118" t="s">
        <v>129</v>
      </c>
      <c r="F337" s="118">
        <v>4193520</v>
      </c>
      <c r="G337" s="118" t="s">
        <v>568</v>
      </c>
      <c r="H337" s="118" t="s">
        <v>395</v>
      </c>
      <c r="I337" s="113">
        <f t="shared" si="5"/>
        <v>119.81583333333333</v>
      </c>
      <c r="J337" s="120">
        <v>1437.79</v>
      </c>
      <c r="K337" s="116">
        <v>45832</v>
      </c>
      <c r="L337" s="118" t="s">
        <v>1067</v>
      </c>
      <c r="M337" s="118"/>
      <c r="N337" s="118"/>
      <c r="O337" s="121"/>
    </row>
    <row r="338" spans="1:15" x14ac:dyDescent="0.35">
      <c r="A338" s="110">
        <v>45467</v>
      </c>
      <c r="B338" s="111" t="s">
        <v>1</v>
      </c>
      <c r="C338" s="111" t="s">
        <v>1669</v>
      </c>
      <c r="D338" s="111" t="s">
        <v>52</v>
      </c>
      <c r="E338" s="112" t="s">
        <v>566</v>
      </c>
      <c r="F338" s="112">
        <v>16164</v>
      </c>
      <c r="G338" s="112" t="s">
        <v>567</v>
      </c>
      <c r="H338" s="112" t="s">
        <v>307</v>
      </c>
      <c r="I338" s="113">
        <f t="shared" si="5"/>
        <v>65.909166666666664</v>
      </c>
      <c r="J338" s="114">
        <v>790.91</v>
      </c>
      <c r="K338" s="110">
        <v>45832</v>
      </c>
      <c r="L338" s="112" t="s">
        <v>1067</v>
      </c>
      <c r="M338" s="112"/>
      <c r="N338" s="112"/>
      <c r="O338" s="115"/>
    </row>
    <row r="339" spans="1:15" x14ac:dyDescent="0.35">
      <c r="A339" s="116">
        <v>45467</v>
      </c>
      <c r="B339" s="117" t="s">
        <v>1</v>
      </c>
      <c r="C339" s="111" t="s">
        <v>1669</v>
      </c>
      <c r="D339" s="117" t="s">
        <v>52</v>
      </c>
      <c r="E339" s="118" t="s">
        <v>396</v>
      </c>
      <c r="F339" s="118"/>
      <c r="G339" s="118" t="s">
        <v>565</v>
      </c>
      <c r="H339" s="118" t="s">
        <v>4</v>
      </c>
      <c r="I339" s="113">
        <f t="shared" si="5"/>
        <v>117.875</v>
      </c>
      <c r="J339" s="120">
        <v>1414.5</v>
      </c>
      <c r="K339" s="116">
        <v>45832</v>
      </c>
      <c r="L339" s="118" t="s">
        <v>1067</v>
      </c>
      <c r="M339" s="118"/>
      <c r="N339" s="118"/>
      <c r="O339" s="121"/>
    </row>
    <row r="340" spans="1:15" x14ac:dyDescent="0.35">
      <c r="A340" s="110">
        <v>45468</v>
      </c>
      <c r="B340" s="111" t="s">
        <v>1</v>
      </c>
      <c r="C340" s="111" t="s">
        <v>1669</v>
      </c>
      <c r="D340" s="111" t="s">
        <v>52</v>
      </c>
      <c r="E340" s="112" t="s">
        <v>569</v>
      </c>
      <c r="F340" s="112">
        <v>45152</v>
      </c>
      <c r="G340" s="112" t="s">
        <v>570</v>
      </c>
      <c r="H340" s="112" t="s">
        <v>148</v>
      </c>
      <c r="I340" s="113">
        <f t="shared" si="5"/>
        <v>63.789166666666667</v>
      </c>
      <c r="J340" s="114">
        <v>765.47</v>
      </c>
      <c r="K340" s="110">
        <v>45833</v>
      </c>
      <c r="L340" s="112" t="s">
        <v>1067</v>
      </c>
      <c r="M340" s="112"/>
      <c r="N340" s="112"/>
      <c r="O340" s="115"/>
    </row>
    <row r="341" spans="1:15" x14ac:dyDescent="0.35">
      <c r="A341" s="116">
        <v>45469</v>
      </c>
      <c r="B341" s="117" t="s">
        <v>1</v>
      </c>
      <c r="C341" s="111" t="s">
        <v>1669</v>
      </c>
      <c r="D341" s="117" t="s">
        <v>52</v>
      </c>
      <c r="E341" s="118" t="s">
        <v>573</v>
      </c>
      <c r="F341" s="118">
        <v>4130143</v>
      </c>
      <c r="G341" s="118" t="s">
        <v>574</v>
      </c>
      <c r="H341" s="118" t="s">
        <v>395</v>
      </c>
      <c r="I341" s="113">
        <f t="shared" si="5"/>
        <v>102.12666666666667</v>
      </c>
      <c r="J341" s="120">
        <v>1225.52</v>
      </c>
      <c r="K341" s="116">
        <v>45834</v>
      </c>
      <c r="L341" s="118" t="s">
        <v>1067</v>
      </c>
      <c r="M341" s="118"/>
      <c r="N341" s="118"/>
      <c r="O341" s="121"/>
    </row>
    <row r="342" spans="1:15" x14ac:dyDescent="0.35">
      <c r="A342" s="110">
        <v>45469</v>
      </c>
      <c r="B342" s="111" t="s">
        <v>1</v>
      </c>
      <c r="C342" s="111" t="s">
        <v>1669</v>
      </c>
      <c r="D342" s="111" t="s">
        <v>52</v>
      </c>
      <c r="E342" s="112" t="s">
        <v>483</v>
      </c>
      <c r="F342" s="112">
        <v>4193779</v>
      </c>
      <c r="G342" s="112" t="s">
        <v>572</v>
      </c>
      <c r="H342" s="112" t="s">
        <v>395</v>
      </c>
      <c r="I342" s="113">
        <f t="shared" si="5"/>
        <v>81.518333333333331</v>
      </c>
      <c r="J342" s="114">
        <v>978.22</v>
      </c>
      <c r="K342" s="110">
        <v>45834</v>
      </c>
      <c r="L342" s="112" t="s">
        <v>1067</v>
      </c>
      <c r="M342" s="112"/>
      <c r="N342" s="112"/>
      <c r="O342" s="115"/>
    </row>
    <row r="343" spans="1:15" x14ac:dyDescent="0.35">
      <c r="A343" s="116">
        <v>45469</v>
      </c>
      <c r="B343" s="117" t="s">
        <v>1</v>
      </c>
      <c r="C343" s="111" t="s">
        <v>1669</v>
      </c>
      <c r="D343" s="117" t="s">
        <v>52</v>
      </c>
      <c r="E343" s="118" t="s">
        <v>459</v>
      </c>
      <c r="F343" s="118"/>
      <c r="G343" s="118" t="s">
        <v>304</v>
      </c>
      <c r="H343" s="118" t="s">
        <v>477</v>
      </c>
      <c r="I343" s="113">
        <f t="shared" si="5"/>
        <v>83.023333333333326</v>
      </c>
      <c r="J343" s="120">
        <v>996.28</v>
      </c>
      <c r="K343" s="116">
        <v>45834</v>
      </c>
      <c r="L343" s="118" t="s">
        <v>1067</v>
      </c>
      <c r="M343" s="118"/>
      <c r="N343" s="118"/>
      <c r="O343" s="121"/>
    </row>
    <row r="344" spans="1:15" x14ac:dyDescent="0.35">
      <c r="A344" s="110">
        <v>45469</v>
      </c>
      <c r="B344" s="111" t="s">
        <v>1</v>
      </c>
      <c r="C344" s="111" t="s">
        <v>1669</v>
      </c>
      <c r="D344" s="111" t="s">
        <v>66</v>
      </c>
      <c r="E344" s="112" t="s">
        <v>20</v>
      </c>
      <c r="F344" s="112"/>
      <c r="G344" s="112" t="s">
        <v>571</v>
      </c>
      <c r="H344" s="112" t="s">
        <v>477</v>
      </c>
      <c r="I344" s="113">
        <f t="shared" si="5"/>
        <v>64.577981651376149</v>
      </c>
      <c r="J344" s="114">
        <f>70.39*12/1.09</f>
        <v>774.93577981651379</v>
      </c>
      <c r="K344" s="110">
        <v>45834</v>
      </c>
      <c r="L344" s="112" t="s">
        <v>1067</v>
      </c>
      <c r="M344" s="112"/>
      <c r="N344" s="112"/>
      <c r="O344" s="115"/>
    </row>
    <row r="345" spans="1:15" x14ac:dyDescent="0.35">
      <c r="A345" s="116">
        <v>45470</v>
      </c>
      <c r="B345" s="117" t="s">
        <v>1</v>
      </c>
      <c r="C345" s="111" t="s">
        <v>1669</v>
      </c>
      <c r="D345" s="117" t="s">
        <v>66</v>
      </c>
      <c r="E345" s="118" t="s">
        <v>14</v>
      </c>
      <c r="F345" s="118">
        <v>4194064</v>
      </c>
      <c r="G345" s="118" t="s">
        <v>575</v>
      </c>
      <c r="H345" s="118" t="s">
        <v>395</v>
      </c>
      <c r="I345" s="113">
        <f t="shared" si="5"/>
        <v>83.71</v>
      </c>
      <c r="J345" s="120">
        <f>83.71*12</f>
        <v>1004.52</v>
      </c>
      <c r="K345" s="116">
        <v>45835</v>
      </c>
      <c r="L345" s="118" t="s">
        <v>1067</v>
      </c>
      <c r="M345" s="118"/>
      <c r="N345" s="118"/>
      <c r="O345" s="121"/>
    </row>
    <row r="346" spans="1:15" x14ac:dyDescent="0.35">
      <c r="A346" s="110">
        <v>45471</v>
      </c>
      <c r="B346" s="111" t="s">
        <v>1</v>
      </c>
      <c r="C346" s="111" t="s">
        <v>1669</v>
      </c>
      <c r="D346" s="111" t="s">
        <v>66</v>
      </c>
      <c r="E346" s="112" t="s">
        <v>14</v>
      </c>
      <c r="F346" s="112"/>
      <c r="G346" s="112" t="s">
        <v>576</v>
      </c>
      <c r="H346" s="112" t="s">
        <v>477</v>
      </c>
      <c r="I346" s="113">
        <f t="shared" si="5"/>
        <v>288.17431192660553</v>
      </c>
      <c r="J346" s="114">
        <f>314.11*12/1.09</f>
        <v>3458.0917431192661</v>
      </c>
      <c r="K346" s="110">
        <v>45836</v>
      </c>
      <c r="L346" s="112" t="s">
        <v>1067</v>
      </c>
      <c r="M346" s="112"/>
      <c r="N346" s="112"/>
      <c r="O346" s="115"/>
    </row>
    <row r="347" spans="1:15" x14ac:dyDescent="0.35">
      <c r="A347" s="116">
        <v>45471</v>
      </c>
      <c r="B347" s="117" t="s">
        <v>1</v>
      </c>
      <c r="C347" s="111" t="s">
        <v>1669</v>
      </c>
      <c r="D347" s="117" t="s">
        <v>66</v>
      </c>
      <c r="E347" s="118" t="s">
        <v>14</v>
      </c>
      <c r="F347" s="118"/>
      <c r="G347" s="118" t="s">
        <v>577</v>
      </c>
      <c r="H347" s="118" t="s">
        <v>477</v>
      </c>
      <c r="I347" s="113">
        <f t="shared" si="5"/>
        <v>59.908256880733937</v>
      </c>
      <c r="J347" s="120">
        <f>65.3*12/1.09</f>
        <v>718.89908256880722</v>
      </c>
      <c r="K347" s="116">
        <v>45836</v>
      </c>
      <c r="L347" s="118" t="s">
        <v>1067</v>
      </c>
      <c r="M347" s="118"/>
      <c r="N347" s="118"/>
      <c r="O347" s="121"/>
    </row>
    <row r="348" spans="1:15" x14ac:dyDescent="0.35">
      <c r="A348" s="110">
        <v>45471</v>
      </c>
      <c r="B348" s="111" t="s">
        <v>1</v>
      </c>
      <c r="C348" s="111" t="s">
        <v>1669</v>
      </c>
      <c r="D348" s="111" t="s">
        <v>66</v>
      </c>
      <c r="E348" s="112" t="s">
        <v>14</v>
      </c>
      <c r="F348" s="112"/>
      <c r="G348" s="112" t="s">
        <v>578</v>
      </c>
      <c r="H348" s="112" t="s">
        <v>477</v>
      </c>
      <c r="I348" s="113">
        <f t="shared" si="5"/>
        <v>19.082568807339449</v>
      </c>
      <c r="J348" s="114">
        <f>20.8*12/1.09</f>
        <v>228.99082568807339</v>
      </c>
      <c r="K348" s="110">
        <v>45836</v>
      </c>
      <c r="L348" s="112" t="s">
        <v>1067</v>
      </c>
      <c r="M348" s="112"/>
      <c r="N348" s="112"/>
      <c r="O348" s="115"/>
    </row>
    <row r="349" spans="1:15" x14ac:dyDescent="0.35">
      <c r="A349" s="116">
        <v>45474</v>
      </c>
      <c r="B349" s="117" t="s">
        <v>579</v>
      </c>
      <c r="C349" s="111" t="s">
        <v>1669</v>
      </c>
      <c r="D349" s="117" t="s">
        <v>52</v>
      </c>
      <c r="E349" s="118" t="s">
        <v>583</v>
      </c>
      <c r="F349" s="118">
        <v>4172054</v>
      </c>
      <c r="G349" s="118" t="s">
        <v>584</v>
      </c>
      <c r="H349" s="118" t="s">
        <v>395</v>
      </c>
      <c r="I349" s="113">
        <f t="shared" si="5"/>
        <v>17.720833333333335</v>
      </c>
      <c r="J349" s="120">
        <v>212.65</v>
      </c>
      <c r="K349" s="116">
        <v>45839</v>
      </c>
      <c r="L349" s="118" t="s">
        <v>1067</v>
      </c>
      <c r="M349" s="118"/>
      <c r="N349" s="118"/>
      <c r="O349" s="121"/>
    </row>
    <row r="350" spans="1:15" x14ac:dyDescent="0.35">
      <c r="A350" s="110">
        <v>45474</v>
      </c>
      <c r="B350" s="111" t="s">
        <v>579</v>
      </c>
      <c r="C350" s="111" t="s">
        <v>1669</v>
      </c>
      <c r="D350" s="111" t="s">
        <v>52</v>
      </c>
      <c r="E350" s="112" t="s">
        <v>155</v>
      </c>
      <c r="F350" s="112">
        <v>4194266</v>
      </c>
      <c r="G350" s="112" t="s">
        <v>580</v>
      </c>
      <c r="H350" s="112" t="s">
        <v>395</v>
      </c>
      <c r="I350" s="113">
        <f t="shared" si="5"/>
        <v>200.61</v>
      </c>
      <c r="J350" s="114">
        <v>2407.3200000000002</v>
      </c>
      <c r="K350" s="110">
        <v>45839</v>
      </c>
      <c r="L350" s="112" t="s">
        <v>1067</v>
      </c>
      <c r="M350" s="112"/>
      <c r="N350" s="112"/>
      <c r="O350" s="115"/>
    </row>
    <row r="351" spans="1:15" x14ac:dyDescent="0.35">
      <c r="A351" s="116">
        <v>45474</v>
      </c>
      <c r="B351" s="117" t="s">
        <v>579</v>
      </c>
      <c r="C351" s="111" t="s">
        <v>1669</v>
      </c>
      <c r="D351" s="117" t="s">
        <v>52</v>
      </c>
      <c r="E351" s="118" t="s">
        <v>129</v>
      </c>
      <c r="F351" s="118" t="s">
        <v>581</v>
      </c>
      <c r="G351" s="118" t="s">
        <v>561</v>
      </c>
      <c r="H351" s="118" t="s">
        <v>3</v>
      </c>
      <c r="I351" s="113">
        <f t="shared" si="5"/>
        <v>60.994166666666665</v>
      </c>
      <c r="J351" s="120">
        <v>731.93</v>
      </c>
      <c r="K351" s="116">
        <v>45839</v>
      </c>
      <c r="L351" s="118" t="s">
        <v>1067</v>
      </c>
      <c r="M351" s="118"/>
      <c r="N351" s="118"/>
      <c r="O351" s="121"/>
    </row>
    <row r="352" spans="1:15" x14ac:dyDescent="0.35">
      <c r="A352" s="110">
        <v>45474</v>
      </c>
      <c r="B352" s="111" t="s">
        <v>579</v>
      </c>
      <c r="C352" s="111" t="s">
        <v>1669</v>
      </c>
      <c r="D352" s="111" t="s">
        <v>52</v>
      </c>
      <c r="E352" s="112" t="s">
        <v>487</v>
      </c>
      <c r="F352" s="112">
        <v>4189023</v>
      </c>
      <c r="G352" s="112" t="s">
        <v>401</v>
      </c>
      <c r="H352" s="112" t="s">
        <v>395</v>
      </c>
      <c r="I352" s="113">
        <f t="shared" si="5"/>
        <v>103.71416666666666</v>
      </c>
      <c r="J352" s="114">
        <v>1244.57</v>
      </c>
      <c r="K352" s="110">
        <v>45839</v>
      </c>
      <c r="L352" s="112" t="s">
        <v>1067</v>
      </c>
      <c r="M352" s="112"/>
      <c r="N352" s="112"/>
      <c r="O352" s="115"/>
    </row>
    <row r="353" spans="1:15" x14ac:dyDescent="0.35">
      <c r="A353" s="116">
        <v>45475</v>
      </c>
      <c r="B353" s="117" t="s">
        <v>579</v>
      </c>
      <c r="C353" s="111" t="s">
        <v>1669</v>
      </c>
      <c r="D353" s="117" t="s">
        <v>52</v>
      </c>
      <c r="E353" s="118" t="s">
        <v>155</v>
      </c>
      <c r="F353" s="118">
        <v>4194425</v>
      </c>
      <c r="G353" s="118" t="s">
        <v>587</v>
      </c>
      <c r="H353" s="118" t="s">
        <v>395</v>
      </c>
      <c r="I353" s="113">
        <f t="shared" si="5"/>
        <v>125.05</v>
      </c>
      <c r="J353" s="120">
        <v>1500.6</v>
      </c>
      <c r="K353" s="116">
        <v>45840</v>
      </c>
      <c r="L353" s="118" t="s">
        <v>1067</v>
      </c>
      <c r="M353" s="118"/>
      <c r="N353" s="118"/>
      <c r="O353" s="121"/>
    </row>
    <row r="354" spans="1:15" x14ac:dyDescent="0.35">
      <c r="A354" s="110">
        <v>45475</v>
      </c>
      <c r="B354" s="111" t="s">
        <v>579</v>
      </c>
      <c r="C354" s="111" t="s">
        <v>1669</v>
      </c>
      <c r="D354" s="111" t="s">
        <v>66</v>
      </c>
      <c r="E354" s="112" t="s">
        <v>11</v>
      </c>
      <c r="F354" s="112"/>
      <c r="G354" s="112" t="s">
        <v>585</v>
      </c>
      <c r="H354" s="112" t="s">
        <v>586</v>
      </c>
      <c r="I354" s="113">
        <f t="shared" si="5"/>
        <v>431.50083333333333</v>
      </c>
      <c r="J354" s="114">
        <v>5178.01</v>
      </c>
      <c r="K354" s="110">
        <v>45840</v>
      </c>
      <c r="L354" s="112" t="s">
        <v>1067</v>
      </c>
      <c r="M354" s="112"/>
      <c r="N354" s="112"/>
      <c r="O354" s="115"/>
    </row>
    <row r="355" spans="1:15" x14ac:dyDescent="0.35">
      <c r="A355" s="116">
        <v>45478</v>
      </c>
      <c r="B355" s="117" t="s">
        <v>579</v>
      </c>
      <c r="C355" s="111" t="s">
        <v>1669</v>
      </c>
      <c r="D355" s="117" t="s">
        <v>52</v>
      </c>
      <c r="E355" s="118" t="s">
        <v>155</v>
      </c>
      <c r="F355" s="118">
        <v>4173188</v>
      </c>
      <c r="G355" s="118" t="s">
        <v>591</v>
      </c>
      <c r="H355" s="118" t="s">
        <v>395</v>
      </c>
      <c r="I355" s="113">
        <f t="shared" si="5"/>
        <v>267.73333333333335</v>
      </c>
      <c r="J355" s="120">
        <v>3212.8</v>
      </c>
      <c r="K355" s="116">
        <v>45843</v>
      </c>
      <c r="L355" s="118" t="s">
        <v>1067</v>
      </c>
      <c r="M355" s="118"/>
      <c r="N355" s="118"/>
      <c r="O355" s="121"/>
    </row>
    <row r="356" spans="1:15" x14ac:dyDescent="0.35">
      <c r="A356" s="110">
        <v>45478</v>
      </c>
      <c r="B356" s="111" t="s">
        <v>579</v>
      </c>
      <c r="C356" s="111" t="s">
        <v>1669</v>
      </c>
      <c r="D356" s="111" t="s">
        <v>52</v>
      </c>
      <c r="E356" s="112" t="s">
        <v>129</v>
      </c>
      <c r="F356" s="112">
        <v>4194593</v>
      </c>
      <c r="G356" s="112" t="s">
        <v>590</v>
      </c>
      <c r="H356" s="112" t="s">
        <v>395</v>
      </c>
      <c r="I356" s="113">
        <f t="shared" si="5"/>
        <v>68.19583333333334</v>
      </c>
      <c r="J356" s="114">
        <v>818.35</v>
      </c>
      <c r="K356" s="110">
        <v>45843</v>
      </c>
      <c r="L356" s="112" t="s">
        <v>1067</v>
      </c>
      <c r="M356" s="112"/>
      <c r="N356" s="112"/>
      <c r="O356" s="115"/>
    </row>
    <row r="357" spans="1:15" x14ac:dyDescent="0.35">
      <c r="A357" s="116">
        <v>45478</v>
      </c>
      <c r="B357" s="117" t="s">
        <v>579</v>
      </c>
      <c r="C357" s="111" t="s">
        <v>1669</v>
      </c>
      <c r="D357" s="117" t="s">
        <v>52</v>
      </c>
      <c r="E357" s="118" t="s">
        <v>396</v>
      </c>
      <c r="F357" s="118"/>
      <c r="G357" s="118" t="s">
        <v>589</v>
      </c>
      <c r="H357" s="118" t="s">
        <v>4</v>
      </c>
      <c r="I357" s="113">
        <f t="shared" si="5"/>
        <v>117.875</v>
      </c>
      <c r="J357" s="120">
        <v>1414.5</v>
      </c>
      <c r="K357" s="116">
        <v>45843</v>
      </c>
      <c r="L357" s="118" t="s">
        <v>1067</v>
      </c>
      <c r="M357" s="118"/>
      <c r="N357" s="118"/>
      <c r="O357" s="121"/>
    </row>
    <row r="358" spans="1:15" x14ac:dyDescent="0.35">
      <c r="A358" s="110">
        <v>45478</v>
      </c>
      <c r="B358" s="111" t="s">
        <v>579</v>
      </c>
      <c r="C358" s="111" t="s">
        <v>1669</v>
      </c>
      <c r="D358" s="111" t="s">
        <v>66</v>
      </c>
      <c r="E358" s="112" t="s">
        <v>218</v>
      </c>
      <c r="F358" s="112"/>
      <c r="G358" s="112" t="s">
        <v>588</v>
      </c>
      <c r="H358" s="112" t="s">
        <v>5</v>
      </c>
      <c r="I358" s="113">
        <f t="shared" si="5"/>
        <v>214.09950248756221</v>
      </c>
      <c r="J358" s="114">
        <f>215.17*12/(1.005)</f>
        <v>2569.1940298507466</v>
      </c>
      <c r="K358" s="110">
        <v>45843</v>
      </c>
      <c r="L358" s="112" t="s">
        <v>1067</v>
      </c>
      <c r="M358" s="112"/>
      <c r="N358" s="112"/>
      <c r="O358" s="115"/>
    </row>
    <row r="359" spans="1:15" x14ac:dyDescent="0.35">
      <c r="A359" s="116">
        <v>45479</v>
      </c>
      <c r="B359" s="117" t="s">
        <v>1</v>
      </c>
      <c r="C359" s="111" t="s">
        <v>1669</v>
      </c>
      <c r="D359" s="117" t="s">
        <v>52</v>
      </c>
      <c r="E359" s="118" t="s">
        <v>155</v>
      </c>
      <c r="F359" s="118">
        <v>4192739</v>
      </c>
      <c r="G359" s="118" t="s">
        <v>592</v>
      </c>
      <c r="H359" s="118" t="s">
        <v>395</v>
      </c>
      <c r="I359" s="113">
        <f t="shared" si="5"/>
        <v>234.54916666666668</v>
      </c>
      <c r="J359" s="120">
        <v>2814.59</v>
      </c>
      <c r="K359" s="116">
        <v>45844</v>
      </c>
      <c r="L359" s="118" t="s">
        <v>1067</v>
      </c>
      <c r="M359" s="118"/>
      <c r="N359" s="118"/>
      <c r="O359" s="121"/>
    </row>
    <row r="360" spans="1:15" x14ac:dyDescent="0.35">
      <c r="A360" s="110">
        <v>45482</v>
      </c>
      <c r="B360" s="111" t="s">
        <v>579</v>
      </c>
      <c r="C360" s="111" t="s">
        <v>1669</v>
      </c>
      <c r="D360" s="111" t="s">
        <v>66</v>
      </c>
      <c r="E360" s="112" t="s">
        <v>218</v>
      </c>
      <c r="F360" s="112"/>
      <c r="G360" s="112" t="s">
        <v>593</v>
      </c>
      <c r="H360" s="112" t="s">
        <v>5</v>
      </c>
      <c r="I360" s="113">
        <f t="shared" si="5"/>
        <v>214.09950248756221</v>
      </c>
      <c r="J360" s="114">
        <f>215.17*12/(1.005)</f>
        <v>2569.1940298507466</v>
      </c>
      <c r="K360" s="110">
        <v>45847</v>
      </c>
      <c r="L360" s="112" t="s">
        <v>1067</v>
      </c>
      <c r="M360" s="112"/>
      <c r="N360" s="112"/>
      <c r="O360" s="115"/>
    </row>
    <row r="361" spans="1:15" x14ac:dyDescent="0.35">
      <c r="A361" s="116">
        <v>45483</v>
      </c>
      <c r="B361" s="117" t="s">
        <v>579</v>
      </c>
      <c r="C361" s="111" t="s">
        <v>1669</v>
      </c>
      <c r="D361" s="117" t="s">
        <v>52</v>
      </c>
      <c r="E361" s="118" t="s">
        <v>118</v>
      </c>
      <c r="F361" s="118"/>
      <c r="G361" s="118" t="s">
        <v>594</v>
      </c>
      <c r="H361" s="118" t="s">
        <v>4</v>
      </c>
      <c r="I361" s="113">
        <f t="shared" si="5"/>
        <v>78.25</v>
      </c>
      <c r="J361" s="120">
        <v>939</v>
      </c>
      <c r="K361" s="116">
        <v>45848</v>
      </c>
      <c r="L361" s="118" t="s">
        <v>1067</v>
      </c>
      <c r="M361" s="118"/>
      <c r="N361" s="118"/>
      <c r="O361" s="121"/>
    </row>
    <row r="362" spans="1:15" x14ac:dyDescent="0.35">
      <c r="A362" s="110">
        <v>45483</v>
      </c>
      <c r="B362" s="111" t="s">
        <v>579</v>
      </c>
      <c r="C362" s="111" t="s">
        <v>1669</v>
      </c>
      <c r="D362" s="111" t="s">
        <v>66</v>
      </c>
      <c r="E362" s="112" t="s">
        <v>11</v>
      </c>
      <c r="F362" s="112"/>
      <c r="G362" s="112" t="s">
        <v>596</v>
      </c>
      <c r="H362" s="112" t="s">
        <v>477</v>
      </c>
      <c r="I362" s="113">
        <f t="shared" si="5"/>
        <v>47.559633027522942</v>
      </c>
      <c r="J362" s="114">
        <f>51.84*12/1.09</f>
        <v>570.71559633027528</v>
      </c>
      <c r="K362" s="110">
        <v>45848</v>
      </c>
      <c r="L362" s="112" t="s">
        <v>1067</v>
      </c>
      <c r="M362" s="112"/>
      <c r="N362" s="112"/>
      <c r="O362" s="115"/>
    </row>
    <row r="363" spans="1:15" x14ac:dyDescent="0.35">
      <c r="A363" s="116">
        <v>45483</v>
      </c>
      <c r="B363" s="117" t="s">
        <v>579</v>
      </c>
      <c r="C363" s="111" t="s">
        <v>1669</v>
      </c>
      <c r="D363" s="117" t="s">
        <v>66</v>
      </c>
      <c r="E363" s="118" t="s">
        <v>11</v>
      </c>
      <c r="F363" s="118"/>
      <c r="G363" s="118" t="s">
        <v>596</v>
      </c>
      <c r="H363" s="118" t="s">
        <v>3</v>
      </c>
      <c r="I363" s="113">
        <f t="shared" si="5"/>
        <v>25.986318407960198</v>
      </c>
      <c r="J363" s="120">
        <f>31.56*12/1.005-65</f>
        <v>311.83582089552237</v>
      </c>
      <c r="K363" s="116">
        <v>45848</v>
      </c>
      <c r="L363" s="118" t="s">
        <v>1067</v>
      </c>
      <c r="M363" s="118"/>
      <c r="N363" s="118"/>
      <c r="O363" s="121"/>
    </row>
    <row r="364" spans="1:15" x14ac:dyDescent="0.35">
      <c r="A364" s="110">
        <v>45484</v>
      </c>
      <c r="B364" s="111" t="s">
        <v>579</v>
      </c>
      <c r="C364" s="111" t="s">
        <v>1669</v>
      </c>
      <c r="D364" s="111" t="s">
        <v>52</v>
      </c>
      <c r="E364" s="112" t="s">
        <v>113</v>
      </c>
      <c r="F364" s="112">
        <v>4194908</v>
      </c>
      <c r="G364" s="112" t="s">
        <v>598</v>
      </c>
      <c r="H364" s="112" t="s">
        <v>395</v>
      </c>
      <c r="I364" s="113">
        <f t="shared" si="5"/>
        <v>82.732500000000002</v>
      </c>
      <c r="J364" s="114">
        <v>992.79</v>
      </c>
      <c r="K364" s="110">
        <v>45849</v>
      </c>
      <c r="L364" s="112" t="s">
        <v>1067</v>
      </c>
      <c r="M364" s="112"/>
      <c r="N364" s="112"/>
      <c r="O364" s="115"/>
    </row>
    <row r="365" spans="1:15" x14ac:dyDescent="0.35">
      <c r="A365" s="116">
        <v>45484</v>
      </c>
      <c r="B365" s="117" t="s">
        <v>579</v>
      </c>
      <c r="C365" s="111" t="s">
        <v>1669</v>
      </c>
      <c r="D365" s="117" t="s">
        <v>52</v>
      </c>
      <c r="E365" s="118" t="s">
        <v>566</v>
      </c>
      <c r="F365" s="118"/>
      <c r="G365" s="118" t="s">
        <v>597</v>
      </c>
      <c r="H365" s="118" t="s">
        <v>4</v>
      </c>
      <c r="I365" s="113">
        <f t="shared" si="5"/>
        <v>78.25</v>
      </c>
      <c r="J365" s="120">
        <v>939</v>
      </c>
      <c r="K365" s="116">
        <v>45849</v>
      </c>
      <c r="L365" s="118" t="s">
        <v>1067</v>
      </c>
      <c r="M365" s="118"/>
      <c r="N365" s="118"/>
      <c r="O365" s="121"/>
    </row>
    <row r="366" spans="1:15" x14ac:dyDescent="0.35">
      <c r="A366" s="110">
        <v>45484</v>
      </c>
      <c r="B366" s="111" t="s">
        <v>579</v>
      </c>
      <c r="C366" s="111" t="s">
        <v>1669</v>
      </c>
      <c r="D366" s="111" t="s">
        <v>52</v>
      </c>
      <c r="E366" s="112" t="s">
        <v>566</v>
      </c>
      <c r="F366" s="112">
        <v>16239</v>
      </c>
      <c r="G366" s="112" t="s">
        <v>599</v>
      </c>
      <c r="H366" s="112" t="s">
        <v>307</v>
      </c>
      <c r="I366" s="113">
        <f t="shared" si="5"/>
        <v>284.78916666666663</v>
      </c>
      <c r="J366" s="114">
        <v>3417.47</v>
      </c>
      <c r="K366" s="110">
        <v>45849</v>
      </c>
      <c r="L366" s="112" t="s">
        <v>1067</v>
      </c>
      <c r="M366" s="112"/>
      <c r="N366" s="112"/>
      <c r="O366" s="115"/>
    </row>
    <row r="367" spans="1:15" x14ac:dyDescent="0.35">
      <c r="A367" s="116">
        <v>45485</v>
      </c>
      <c r="B367" s="117" t="s">
        <v>579</v>
      </c>
      <c r="C367" s="111" t="s">
        <v>1669</v>
      </c>
      <c r="D367" s="117" t="s">
        <v>52</v>
      </c>
      <c r="E367" s="118" t="s">
        <v>466</v>
      </c>
      <c r="F367" s="118"/>
      <c r="G367" s="118" t="s">
        <v>383</v>
      </c>
      <c r="H367" s="118" t="s">
        <v>477</v>
      </c>
      <c r="I367" s="113">
        <f t="shared" si="5"/>
        <v>85.048333333333332</v>
      </c>
      <c r="J367" s="120">
        <v>1020.58</v>
      </c>
      <c r="K367" s="116">
        <v>45850</v>
      </c>
      <c r="L367" s="118" t="s">
        <v>1067</v>
      </c>
      <c r="M367" s="118"/>
      <c r="N367" s="118"/>
      <c r="O367" s="121"/>
    </row>
    <row r="368" spans="1:15" x14ac:dyDescent="0.35">
      <c r="A368" s="110">
        <v>45485</v>
      </c>
      <c r="B368" s="111" t="s">
        <v>579</v>
      </c>
      <c r="C368" s="111" t="s">
        <v>1669</v>
      </c>
      <c r="D368" s="111" t="s">
        <v>52</v>
      </c>
      <c r="E368" s="112" t="s">
        <v>483</v>
      </c>
      <c r="F368" s="112">
        <v>4194941</v>
      </c>
      <c r="G368" s="112" t="s">
        <v>600</v>
      </c>
      <c r="H368" s="112" t="s">
        <v>395</v>
      </c>
      <c r="I368" s="113">
        <f t="shared" si="5"/>
        <v>80.454166666666666</v>
      </c>
      <c r="J368" s="114">
        <v>965.45</v>
      </c>
      <c r="K368" s="110">
        <v>45850</v>
      </c>
      <c r="L368" s="112" t="s">
        <v>1067</v>
      </c>
      <c r="M368" s="112"/>
      <c r="N368" s="112"/>
      <c r="O368" s="115"/>
    </row>
    <row r="369" spans="1:15" x14ac:dyDescent="0.35">
      <c r="A369" s="116">
        <v>45485</v>
      </c>
      <c r="B369" s="117" t="s">
        <v>579</v>
      </c>
      <c r="C369" s="111" t="s">
        <v>1669</v>
      </c>
      <c r="D369" s="117" t="s">
        <v>52</v>
      </c>
      <c r="E369" s="118" t="s">
        <v>566</v>
      </c>
      <c r="F369" s="118">
        <v>4195002</v>
      </c>
      <c r="G369" s="118" t="s">
        <v>603</v>
      </c>
      <c r="H369" s="118" t="s">
        <v>395</v>
      </c>
      <c r="I369" s="113">
        <f t="shared" si="5"/>
        <v>142.31333333333333</v>
      </c>
      <c r="J369" s="120">
        <v>1707.76</v>
      </c>
      <c r="K369" s="116">
        <v>45850</v>
      </c>
      <c r="L369" s="118" t="s">
        <v>1067</v>
      </c>
      <c r="M369" s="118"/>
      <c r="N369" s="118"/>
      <c r="O369" s="121"/>
    </row>
    <row r="370" spans="1:15" x14ac:dyDescent="0.35">
      <c r="A370" s="110">
        <v>45485</v>
      </c>
      <c r="B370" s="111" t="s">
        <v>579</v>
      </c>
      <c r="C370" s="111" t="s">
        <v>1669</v>
      </c>
      <c r="D370" s="111" t="s">
        <v>52</v>
      </c>
      <c r="E370" s="112" t="s">
        <v>396</v>
      </c>
      <c r="F370" s="112"/>
      <c r="G370" s="112" t="s">
        <v>602</v>
      </c>
      <c r="H370" s="112" t="s">
        <v>307</v>
      </c>
      <c r="I370" s="113">
        <f t="shared" si="5"/>
        <v>127.10166666666667</v>
      </c>
      <c r="J370" s="114">
        <v>1525.22</v>
      </c>
      <c r="K370" s="110">
        <v>45850</v>
      </c>
      <c r="L370" s="112" t="s">
        <v>1067</v>
      </c>
      <c r="M370" s="112"/>
      <c r="N370" s="112"/>
      <c r="O370" s="115"/>
    </row>
    <row r="371" spans="1:15" x14ac:dyDescent="0.35">
      <c r="A371" s="116">
        <v>45485</v>
      </c>
      <c r="B371" s="117" t="s">
        <v>579</v>
      </c>
      <c r="C371" s="111" t="s">
        <v>1669</v>
      </c>
      <c r="D371" s="117" t="s">
        <v>52</v>
      </c>
      <c r="E371" s="118" t="s">
        <v>487</v>
      </c>
      <c r="F371" s="118"/>
      <c r="G371" s="118" t="s">
        <v>601</v>
      </c>
      <c r="H371" s="118" t="s">
        <v>4</v>
      </c>
      <c r="I371" s="113">
        <f t="shared" si="5"/>
        <v>431.25</v>
      </c>
      <c r="J371" s="120">
        <v>5175</v>
      </c>
      <c r="K371" s="116">
        <v>45850</v>
      </c>
      <c r="L371" s="118" t="s">
        <v>1067</v>
      </c>
      <c r="M371" s="118"/>
      <c r="N371" s="118"/>
      <c r="O371" s="121"/>
    </row>
    <row r="372" spans="1:15" x14ac:dyDescent="0.35">
      <c r="A372" s="110">
        <v>45489</v>
      </c>
      <c r="B372" s="111" t="s">
        <v>579</v>
      </c>
      <c r="C372" s="111" t="s">
        <v>1669</v>
      </c>
      <c r="D372" s="111" t="s">
        <v>52</v>
      </c>
      <c r="E372" s="112" t="s">
        <v>155</v>
      </c>
      <c r="F372" s="112">
        <v>795326</v>
      </c>
      <c r="G372" s="112" t="s">
        <v>608</v>
      </c>
      <c r="H372" s="112" t="s">
        <v>395</v>
      </c>
      <c r="I372" s="113">
        <f t="shared" si="5"/>
        <v>352.71083333333331</v>
      </c>
      <c r="J372" s="114">
        <v>4232.53</v>
      </c>
      <c r="K372" s="110">
        <v>45854</v>
      </c>
      <c r="L372" s="112" t="s">
        <v>1067</v>
      </c>
      <c r="M372" s="112"/>
      <c r="N372" s="112"/>
      <c r="O372" s="115"/>
    </row>
    <row r="373" spans="1:15" x14ac:dyDescent="0.35">
      <c r="A373" s="116">
        <v>45489</v>
      </c>
      <c r="B373" s="117" t="s">
        <v>579</v>
      </c>
      <c r="C373" s="111" t="s">
        <v>1669</v>
      </c>
      <c r="D373" s="117" t="s">
        <v>52</v>
      </c>
      <c r="E373" s="118" t="s">
        <v>155</v>
      </c>
      <c r="F373" s="118">
        <v>4194956</v>
      </c>
      <c r="G373" s="118" t="s">
        <v>611</v>
      </c>
      <c r="H373" s="118" t="s">
        <v>395</v>
      </c>
      <c r="I373" s="113">
        <f t="shared" si="5"/>
        <v>278.53833333333336</v>
      </c>
      <c r="J373" s="120">
        <v>3342.46</v>
      </c>
      <c r="K373" s="116">
        <v>45854</v>
      </c>
      <c r="L373" s="118" t="s">
        <v>1067</v>
      </c>
      <c r="M373" s="118"/>
      <c r="N373" s="118"/>
      <c r="O373" s="121"/>
    </row>
    <row r="374" spans="1:15" x14ac:dyDescent="0.35">
      <c r="A374" s="110">
        <v>45489</v>
      </c>
      <c r="B374" s="111" t="s">
        <v>579</v>
      </c>
      <c r="C374" s="111" t="s">
        <v>1669</v>
      </c>
      <c r="D374" s="111" t="s">
        <v>52</v>
      </c>
      <c r="E374" s="112" t="s">
        <v>609</v>
      </c>
      <c r="F374" s="112">
        <v>4194851</v>
      </c>
      <c r="G374" s="112" t="s">
        <v>610</v>
      </c>
      <c r="H374" s="112" t="s">
        <v>395</v>
      </c>
      <c r="I374" s="113">
        <f t="shared" si="5"/>
        <v>125.05</v>
      </c>
      <c r="J374" s="114">
        <v>1500.6</v>
      </c>
      <c r="K374" s="110">
        <v>45854</v>
      </c>
      <c r="L374" s="112" t="s">
        <v>1067</v>
      </c>
      <c r="M374" s="112"/>
      <c r="N374" s="112"/>
      <c r="O374" s="115"/>
    </row>
    <row r="375" spans="1:15" x14ac:dyDescent="0.35">
      <c r="A375" s="116">
        <v>45489</v>
      </c>
      <c r="B375" s="117" t="s">
        <v>579</v>
      </c>
      <c r="C375" s="111" t="s">
        <v>1669</v>
      </c>
      <c r="D375" s="117" t="s">
        <v>52</v>
      </c>
      <c r="E375" s="118" t="s">
        <v>609</v>
      </c>
      <c r="F375" s="118">
        <v>4194853</v>
      </c>
      <c r="G375" s="118" t="s">
        <v>610</v>
      </c>
      <c r="H375" s="118" t="s">
        <v>395</v>
      </c>
      <c r="I375" s="113">
        <f t="shared" si="5"/>
        <v>188.74</v>
      </c>
      <c r="J375" s="120">
        <v>2264.88</v>
      </c>
      <c r="K375" s="116">
        <v>45854</v>
      </c>
      <c r="L375" s="118" t="s">
        <v>1067</v>
      </c>
      <c r="M375" s="118"/>
      <c r="N375" s="118"/>
      <c r="O375" s="121"/>
    </row>
    <row r="376" spans="1:15" x14ac:dyDescent="0.35">
      <c r="A376" s="110">
        <v>45489</v>
      </c>
      <c r="B376" s="111" t="s">
        <v>579</v>
      </c>
      <c r="C376" s="111" t="s">
        <v>1669</v>
      </c>
      <c r="D376" s="111" t="s">
        <v>66</v>
      </c>
      <c r="E376" s="112" t="s">
        <v>11</v>
      </c>
      <c r="F376" s="112" t="s">
        <v>606</v>
      </c>
      <c r="G376" s="112" t="s">
        <v>607</v>
      </c>
      <c r="H376" s="112" t="s">
        <v>3</v>
      </c>
      <c r="I376" s="113">
        <f t="shared" si="5"/>
        <v>22.3544776119403</v>
      </c>
      <c r="J376" s="114">
        <f>+(27.91*12)/1.005-65</f>
        <v>268.25373134328362</v>
      </c>
      <c r="K376" s="110">
        <v>45854</v>
      </c>
      <c r="L376" s="112" t="s">
        <v>1067</v>
      </c>
      <c r="M376" s="112"/>
      <c r="N376" s="112"/>
      <c r="O376" s="115"/>
    </row>
    <row r="377" spans="1:15" x14ac:dyDescent="0.35">
      <c r="A377" s="116">
        <v>45489</v>
      </c>
      <c r="B377" s="117" t="s">
        <v>579</v>
      </c>
      <c r="C377" s="111" t="s">
        <v>1669</v>
      </c>
      <c r="D377" s="117" t="s">
        <v>66</v>
      </c>
      <c r="E377" s="118" t="s">
        <v>13</v>
      </c>
      <c r="F377" s="118" t="s">
        <v>604</v>
      </c>
      <c r="G377" s="118" t="s">
        <v>605</v>
      </c>
      <c r="H377" s="118" t="s">
        <v>3</v>
      </c>
      <c r="I377" s="113">
        <f t="shared" si="5"/>
        <v>98.78233830845771</v>
      </c>
      <c r="J377" s="120">
        <f>+(104.72*12)/1.005-65</f>
        <v>1185.3880597014925</v>
      </c>
      <c r="K377" s="116">
        <v>45854</v>
      </c>
      <c r="L377" s="118" t="s">
        <v>1067</v>
      </c>
      <c r="M377" s="118"/>
      <c r="N377" s="118"/>
      <c r="O377" s="121"/>
    </row>
    <row r="378" spans="1:15" x14ac:dyDescent="0.35">
      <c r="A378" s="110">
        <v>45490</v>
      </c>
      <c r="B378" s="111" t="s">
        <v>579</v>
      </c>
      <c r="C378" s="111" t="s">
        <v>1669</v>
      </c>
      <c r="D378" s="111" t="s">
        <v>66</v>
      </c>
      <c r="E378" s="112" t="s">
        <v>11</v>
      </c>
      <c r="F378" s="112">
        <v>4196424</v>
      </c>
      <c r="G378" s="112" t="s">
        <v>612</v>
      </c>
      <c r="H378" s="112" t="s">
        <v>395</v>
      </c>
      <c r="I378" s="113">
        <f t="shared" si="5"/>
        <v>252.67</v>
      </c>
      <c r="J378" s="114">
        <f>252.67*12</f>
        <v>3032.04</v>
      </c>
      <c r="K378" s="110">
        <v>45855</v>
      </c>
      <c r="L378" s="112" t="s">
        <v>1067</v>
      </c>
      <c r="M378" s="112"/>
      <c r="N378" s="112"/>
      <c r="O378" s="115"/>
    </row>
    <row r="379" spans="1:15" x14ac:dyDescent="0.35">
      <c r="A379" s="116">
        <v>45490</v>
      </c>
      <c r="B379" s="117" t="s">
        <v>579</v>
      </c>
      <c r="C379" s="111" t="s">
        <v>1669</v>
      </c>
      <c r="D379" s="117" t="s">
        <v>66</v>
      </c>
      <c r="E379" s="118" t="s">
        <v>145</v>
      </c>
      <c r="F379" s="118"/>
      <c r="G379" s="118" t="s">
        <v>613</v>
      </c>
      <c r="H379" s="118" t="s">
        <v>148</v>
      </c>
      <c r="I379" s="113">
        <f t="shared" si="5"/>
        <v>296.29850746268659</v>
      </c>
      <c r="J379" s="120">
        <f>297.78*12/(1.005)</f>
        <v>3555.5820895522388</v>
      </c>
      <c r="K379" s="116">
        <v>45855</v>
      </c>
      <c r="L379" s="118" t="s">
        <v>1067</v>
      </c>
      <c r="M379" s="118"/>
      <c r="N379" s="118"/>
      <c r="O379" s="121"/>
    </row>
    <row r="380" spans="1:15" x14ac:dyDescent="0.35">
      <c r="A380" s="110">
        <v>45491</v>
      </c>
      <c r="B380" s="111" t="s">
        <v>579</v>
      </c>
      <c r="C380" s="111" t="s">
        <v>1669</v>
      </c>
      <c r="D380" s="111" t="s">
        <v>52</v>
      </c>
      <c r="E380" s="112" t="s">
        <v>459</v>
      </c>
      <c r="F380" s="112">
        <v>4195164</v>
      </c>
      <c r="G380" s="112" t="s">
        <v>618</v>
      </c>
      <c r="H380" s="112" t="s">
        <v>395</v>
      </c>
      <c r="I380" s="113">
        <f t="shared" si="5"/>
        <v>171.44666666666669</v>
      </c>
      <c r="J380" s="114">
        <v>2057.36</v>
      </c>
      <c r="K380" s="110">
        <v>45856</v>
      </c>
      <c r="L380" s="112" t="s">
        <v>1067</v>
      </c>
      <c r="M380" s="112"/>
      <c r="N380" s="112"/>
      <c r="O380" s="115"/>
    </row>
    <row r="381" spans="1:15" x14ac:dyDescent="0.35">
      <c r="A381" s="116">
        <v>45491</v>
      </c>
      <c r="B381" s="117" t="s">
        <v>579</v>
      </c>
      <c r="C381" s="111" t="s">
        <v>1669</v>
      </c>
      <c r="D381" s="117" t="s">
        <v>52</v>
      </c>
      <c r="E381" s="118" t="s">
        <v>487</v>
      </c>
      <c r="F381" s="118">
        <v>4195211</v>
      </c>
      <c r="G381" s="118" t="s">
        <v>617</v>
      </c>
      <c r="H381" s="118" t="s">
        <v>395</v>
      </c>
      <c r="I381" s="113">
        <f t="shared" si="5"/>
        <v>104.98083333333334</v>
      </c>
      <c r="J381" s="120">
        <v>1259.77</v>
      </c>
      <c r="K381" s="116">
        <v>45856</v>
      </c>
      <c r="L381" s="118" t="s">
        <v>1067</v>
      </c>
      <c r="M381" s="118"/>
      <c r="N381" s="118"/>
      <c r="O381" s="121"/>
    </row>
    <row r="382" spans="1:15" x14ac:dyDescent="0.35">
      <c r="A382" s="110">
        <v>45491</v>
      </c>
      <c r="B382" s="111" t="s">
        <v>579</v>
      </c>
      <c r="C382" s="111" t="s">
        <v>1669</v>
      </c>
      <c r="D382" s="111" t="s">
        <v>66</v>
      </c>
      <c r="E382" s="112" t="s">
        <v>218</v>
      </c>
      <c r="F382" s="112"/>
      <c r="G382" s="112" t="s">
        <v>614</v>
      </c>
      <c r="H382" s="112" t="s">
        <v>5</v>
      </c>
      <c r="I382" s="113">
        <f t="shared" si="5"/>
        <v>83.990049751243788</v>
      </c>
      <c r="J382" s="114">
        <f>84.41*12/(1.005)</f>
        <v>1007.8805970149255</v>
      </c>
      <c r="K382" s="110">
        <v>45856</v>
      </c>
      <c r="L382" s="112" t="s">
        <v>1067</v>
      </c>
      <c r="M382" s="112"/>
      <c r="N382" s="112"/>
      <c r="O382" s="115"/>
    </row>
    <row r="383" spans="1:15" x14ac:dyDescent="0.35">
      <c r="A383" s="116">
        <v>45491</v>
      </c>
      <c r="B383" s="117" t="s">
        <v>579</v>
      </c>
      <c r="C383" s="111" t="s">
        <v>1669</v>
      </c>
      <c r="D383" s="117" t="s">
        <v>66</v>
      </c>
      <c r="E383" s="118" t="s">
        <v>16</v>
      </c>
      <c r="F383" s="118"/>
      <c r="G383" s="118" t="s">
        <v>616</v>
      </c>
      <c r="H383" s="118" t="s">
        <v>5</v>
      </c>
      <c r="I383" s="113">
        <f t="shared" si="5"/>
        <v>109.11442786069654</v>
      </c>
      <c r="J383" s="120">
        <f>109.66*12/(1.005)</f>
        <v>1309.3731343283584</v>
      </c>
      <c r="K383" s="116">
        <v>45856</v>
      </c>
      <c r="L383" s="118" t="s">
        <v>1067</v>
      </c>
      <c r="M383" s="118"/>
      <c r="N383" s="118"/>
      <c r="O383" s="121"/>
    </row>
    <row r="384" spans="1:15" x14ac:dyDescent="0.35">
      <c r="A384" s="110">
        <v>45492</v>
      </c>
      <c r="B384" s="111" t="s">
        <v>579</v>
      </c>
      <c r="C384" s="111" t="s">
        <v>1669</v>
      </c>
      <c r="D384" s="111" t="s">
        <v>52</v>
      </c>
      <c r="E384" s="112" t="s">
        <v>155</v>
      </c>
      <c r="F384" s="112">
        <v>4195344</v>
      </c>
      <c r="G384" s="112" t="s">
        <v>619</v>
      </c>
      <c r="H384" s="112" t="s">
        <v>395</v>
      </c>
      <c r="I384" s="113">
        <f t="shared" si="5"/>
        <v>78.484166666666667</v>
      </c>
      <c r="J384" s="114">
        <v>941.81</v>
      </c>
      <c r="K384" s="110">
        <v>45857</v>
      </c>
      <c r="L384" s="112" t="s">
        <v>1067</v>
      </c>
      <c r="M384" s="112"/>
      <c r="N384" s="112"/>
      <c r="O384" s="115"/>
    </row>
    <row r="385" spans="1:15" x14ac:dyDescent="0.35">
      <c r="A385" s="116">
        <v>45492</v>
      </c>
      <c r="B385" s="117" t="s">
        <v>579</v>
      </c>
      <c r="C385" s="111" t="s">
        <v>1669</v>
      </c>
      <c r="D385" s="117" t="s">
        <v>52</v>
      </c>
      <c r="E385" s="118" t="s">
        <v>113</v>
      </c>
      <c r="F385" s="118">
        <v>4195415</v>
      </c>
      <c r="G385" s="118" t="s">
        <v>102</v>
      </c>
      <c r="H385" s="118" t="s">
        <v>395</v>
      </c>
      <c r="I385" s="113">
        <f t="shared" si="5"/>
        <v>90.682500000000005</v>
      </c>
      <c r="J385" s="120">
        <v>1088.19</v>
      </c>
      <c r="K385" s="116">
        <v>45857</v>
      </c>
      <c r="L385" s="118" t="s">
        <v>1067</v>
      </c>
      <c r="M385" s="118"/>
      <c r="N385" s="118"/>
      <c r="O385" s="121"/>
    </row>
    <row r="386" spans="1:15" x14ac:dyDescent="0.35">
      <c r="A386" s="110">
        <v>45492</v>
      </c>
      <c r="B386" s="111" t="s">
        <v>579</v>
      </c>
      <c r="C386" s="111" t="s">
        <v>1669</v>
      </c>
      <c r="D386" s="111" t="s">
        <v>52</v>
      </c>
      <c r="E386" s="112" t="s">
        <v>396</v>
      </c>
      <c r="F386" s="112">
        <v>4195216</v>
      </c>
      <c r="G386" s="112" t="s">
        <v>620</v>
      </c>
      <c r="H386" s="112" t="s">
        <v>395</v>
      </c>
      <c r="I386" s="113">
        <f t="shared" si="5"/>
        <v>177.49583333333331</v>
      </c>
      <c r="J386" s="114">
        <v>2129.9499999999998</v>
      </c>
      <c r="K386" s="110">
        <v>45857</v>
      </c>
      <c r="L386" s="112" t="s">
        <v>1067</v>
      </c>
      <c r="M386" s="112"/>
      <c r="N386" s="112"/>
      <c r="O386" s="115"/>
    </row>
    <row r="387" spans="1:15" x14ac:dyDescent="0.35">
      <c r="A387" s="116">
        <v>45495</v>
      </c>
      <c r="B387" s="117" t="s">
        <v>579</v>
      </c>
      <c r="C387" s="111" t="s">
        <v>1669</v>
      </c>
      <c r="D387" s="117" t="s">
        <v>52</v>
      </c>
      <c r="E387" s="118" t="s">
        <v>396</v>
      </c>
      <c r="F387" s="118">
        <v>16269</v>
      </c>
      <c r="G387" s="118" t="s">
        <v>623</v>
      </c>
      <c r="H387" s="118" t="s">
        <v>307</v>
      </c>
      <c r="I387" s="113">
        <f t="shared" si="5"/>
        <v>183.72666666666666</v>
      </c>
      <c r="J387" s="120">
        <v>2204.7199999999998</v>
      </c>
      <c r="K387" s="116">
        <v>45860</v>
      </c>
      <c r="L387" s="118" t="s">
        <v>1067</v>
      </c>
      <c r="M387" s="118"/>
      <c r="N387" s="118"/>
      <c r="O387" s="121"/>
    </row>
    <row r="388" spans="1:15" x14ac:dyDescent="0.35">
      <c r="A388" s="110">
        <v>45495</v>
      </c>
      <c r="B388" s="111" t="s">
        <v>579</v>
      </c>
      <c r="C388" s="111" t="s">
        <v>1669</v>
      </c>
      <c r="D388" s="111" t="s">
        <v>66</v>
      </c>
      <c r="E388" s="112" t="s">
        <v>21</v>
      </c>
      <c r="F388" s="112"/>
      <c r="G388" s="112" t="s">
        <v>621</v>
      </c>
      <c r="H388" s="112" t="s">
        <v>5</v>
      </c>
      <c r="I388" s="113">
        <f t="shared" si="5"/>
        <v>152.90547263681592</v>
      </c>
      <c r="J388" s="114">
        <f>153.67*12/(1.005)</f>
        <v>1834.8656716417911</v>
      </c>
      <c r="K388" s="110">
        <v>45860</v>
      </c>
      <c r="L388" s="112" t="s">
        <v>1067</v>
      </c>
      <c r="M388" s="112"/>
      <c r="N388" s="112"/>
      <c r="O388" s="115"/>
    </row>
    <row r="389" spans="1:15" x14ac:dyDescent="0.35">
      <c r="A389" s="116">
        <v>45495</v>
      </c>
      <c r="B389" s="117" t="s">
        <v>579</v>
      </c>
      <c r="C389" s="111" t="s">
        <v>1669</v>
      </c>
      <c r="D389" s="117" t="s">
        <v>66</v>
      </c>
      <c r="E389" s="118" t="s">
        <v>14</v>
      </c>
      <c r="F389" s="118">
        <v>34295</v>
      </c>
      <c r="G389" s="118" t="s">
        <v>622</v>
      </c>
      <c r="H389" s="118" t="s">
        <v>477</v>
      </c>
      <c r="I389" s="113">
        <f t="shared" ref="I389:I400" si="6">J389/12</f>
        <v>249.32110091743118</v>
      </c>
      <c r="J389" s="120">
        <f>271.76*12/1.09</f>
        <v>2991.8532110091742</v>
      </c>
      <c r="K389" s="116">
        <v>45860</v>
      </c>
      <c r="L389" s="118" t="s">
        <v>1067</v>
      </c>
      <c r="M389" s="118"/>
      <c r="N389" s="118"/>
      <c r="O389" s="121"/>
    </row>
    <row r="390" spans="1:15" x14ac:dyDescent="0.35">
      <c r="A390" s="110">
        <v>45496</v>
      </c>
      <c r="B390" s="111" t="s">
        <v>579</v>
      </c>
      <c r="C390" s="111" t="s">
        <v>1669</v>
      </c>
      <c r="D390" s="111" t="s">
        <v>66</v>
      </c>
      <c r="E390" s="112" t="s">
        <v>21</v>
      </c>
      <c r="F390" s="112"/>
      <c r="G390" s="112" t="s">
        <v>624</v>
      </c>
      <c r="H390" s="112" t="s">
        <v>407</v>
      </c>
      <c r="I390" s="113">
        <f t="shared" si="6"/>
        <v>32.82587064676617</v>
      </c>
      <c r="J390" s="114">
        <f>32.99*12/(1.005)</f>
        <v>393.91044776119406</v>
      </c>
      <c r="K390" s="110">
        <v>45861</v>
      </c>
      <c r="L390" s="112" t="s">
        <v>1067</v>
      </c>
      <c r="M390" s="112"/>
      <c r="N390" s="112"/>
      <c r="O390" s="115"/>
    </row>
    <row r="391" spans="1:15" x14ac:dyDescent="0.35">
      <c r="A391" s="116">
        <v>45497</v>
      </c>
      <c r="B391" s="117" t="s">
        <v>579</v>
      </c>
      <c r="C391" s="111" t="s">
        <v>1669</v>
      </c>
      <c r="D391" s="117" t="s">
        <v>677</v>
      </c>
      <c r="E391" s="118" t="s">
        <v>678</v>
      </c>
      <c r="F391" s="118">
        <v>45665</v>
      </c>
      <c r="G391" s="118" t="s">
        <v>696</v>
      </c>
      <c r="H391" s="118" t="s">
        <v>148</v>
      </c>
      <c r="I391" s="113">
        <f t="shared" si="6"/>
        <v>184.97512437810948</v>
      </c>
      <c r="J391" s="120">
        <f>185.9*12/(1.005)</f>
        <v>2219.7014925373137</v>
      </c>
      <c r="K391" s="116">
        <v>45862</v>
      </c>
      <c r="L391" s="118" t="s">
        <v>1067</v>
      </c>
      <c r="M391" s="118"/>
      <c r="N391" s="118"/>
      <c r="O391" s="121"/>
    </row>
    <row r="392" spans="1:15" x14ac:dyDescent="0.35">
      <c r="A392" s="110">
        <v>45497</v>
      </c>
      <c r="B392" s="111" t="s">
        <v>579</v>
      </c>
      <c r="C392" s="111" t="s">
        <v>1669</v>
      </c>
      <c r="D392" s="111" t="s">
        <v>52</v>
      </c>
      <c r="E392" s="112" t="s">
        <v>459</v>
      </c>
      <c r="F392" s="112">
        <v>4195625</v>
      </c>
      <c r="G392" s="112" t="s">
        <v>629</v>
      </c>
      <c r="H392" s="112" t="s">
        <v>395</v>
      </c>
      <c r="I392" s="113">
        <f t="shared" si="6"/>
        <v>122.5425</v>
      </c>
      <c r="J392" s="114">
        <v>1470.51</v>
      </c>
      <c r="K392" s="110">
        <v>45497</v>
      </c>
      <c r="L392" s="112" t="s">
        <v>1067</v>
      </c>
      <c r="M392" s="112"/>
      <c r="N392" s="112"/>
      <c r="O392" s="115"/>
    </row>
    <row r="393" spans="1:15" x14ac:dyDescent="0.35">
      <c r="A393" s="116">
        <v>45497</v>
      </c>
      <c r="B393" s="117" t="s">
        <v>579</v>
      </c>
      <c r="C393" s="111" t="s">
        <v>1669</v>
      </c>
      <c r="D393" s="117" t="s">
        <v>66</v>
      </c>
      <c r="E393" s="118" t="s">
        <v>19</v>
      </c>
      <c r="F393" s="118">
        <v>148724</v>
      </c>
      <c r="G393" s="118" t="s">
        <v>626</v>
      </c>
      <c r="H393" s="118" t="s">
        <v>407</v>
      </c>
      <c r="I393" s="113">
        <f t="shared" si="6"/>
        <v>184.97512437810948</v>
      </c>
      <c r="J393" s="120">
        <f>+Tabla1[[#This Row],[PAGO MENSUAL]]*12/(1.005)</f>
        <v>2219.7014925373137</v>
      </c>
      <c r="K393" s="110">
        <v>45497</v>
      </c>
      <c r="L393" s="118" t="s">
        <v>1067</v>
      </c>
      <c r="M393" s="118"/>
      <c r="N393" s="118"/>
      <c r="O393" s="121"/>
    </row>
    <row r="394" spans="1:15" x14ac:dyDescent="0.35">
      <c r="A394" s="110">
        <v>45497</v>
      </c>
      <c r="B394" s="111" t="s">
        <v>579</v>
      </c>
      <c r="C394" s="111" t="s">
        <v>1669</v>
      </c>
      <c r="D394" s="111" t="s">
        <v>66</v>
      </c>
      <c r="E394" s="112" t="s">
        <v>19</v>
      </c>
      <c r="F394" s="112">
        <v>148725</v>
      </c>
      <c r="G394" s="112" t="s">
        <v>628</v>
      </c>
      <c r="H394" s="112" t="s">
        <v>407</v>
      </c>
      <c r="I394" s="113">
        <f t="shared" si="6"/>
        <v>41.552238805970156</v>
      </c>
      <c r="J394" s="114">
        <f>41.76*12/(1.005)</f>
        <v>498.62686567164184</v>
      </c>
      <c r="K394" s="110">
        <v>45497</v>
      </c>
      <c r="L394" s="112" t="s">
        <v>1067</v>
      </c>
      <c r="M394" s="112"/>
      <c r="N394" s="112"/>
      <c r="O394" s="115"/>
    </row>
    <row r="395" spans="1:15" x14ac:dyDescent="0.35">
      <c r="A395" s="116">
        <v>45498</v>
      </c>
      <c r="B395" s="117" t="s">
        <v>579</v>
      </c>
      <c r="C395" s="111" t="s">
        <v>1669</v>
      </c>
      <c r="D395" s="117" t="s">
        <v>52</v>
      </c>
      <c r="E395" s="118" t="s">
        <v>129</v>
      </c>
      <c r="F395" s="118" t="s">
        <v>632</v>
      </c>
      <c r="G395" s="118" t="s">
        <v>633</v>
      </c>
      <c r="H395" s="118" t="s">
        <v>3</v>
      </c>
      <c r="I395" s="113">
        <f t="shared" si="6"/>
        <v>196.19749999999999</v>
      </c>
      <c r="J395" s="120">
        <v>2354.37</v>
      </c>
      <c r="K395" s="116">
        <v>45863</v>
      </c>
      <c r="L395" s="118" t="s">
        <v>1067</v>
      </c>
      <c r="M395" s="118"/>
      <c r="N395" s="118"/>
      <c r="O395" s="121"/>
    </row>
    <row r="396" spans="1:15" x14ac:dyDescent="0.35">
      <c r="A396" s="110">
        <v>45498</v>
      </c>
      <c r="B396" s="111" t="s">
        <v>579</v>
      </c>
      <c r="C396" s="111" t="s">
        <v>1669</v>
      </c>
      <c r="D396" s="111" t="s">
        <v>52</v>
      </c>
      <c r="E396" s="112" t="s">
        <v>396</v>
      </c>
      <c r="F396" s="112"/>
      <c r="G396" s="112" t="s">
        <v>634</v>
      </c>
      <c r="H396" s="112" t="s">
        <v>307</v>
      </c>
      <c r="I396" s="113">
        <f t="shared" si="6"/>
        <v>129.55916666666667</v>
      </c>
      <c r="J396" s="114">
        <v>1554.71</v>
      </c>
      <c r="K396" s="110">
        <v>45863</v>
      </c>
      <c r="L396" s="112" t="s">
        <v>1067</v>
      </c>
      <c r="M396" s="112"/>
      <c r="N396" s="112"/>
      <c r="O396" s="115"/>
    </row>
    <row r="397" spans="1:15" x14ac:dyDescent="0.35">
      <c r="A397" s="116">
        <v>45498</v>
      </c>
      <c r="B397" s="117" t="s">
        <v>579</v>
      </c>
      <c r="C397" s="111" t="s">
        <v>1669</v>
      </c>
      <c r="D397" s="117" t="s">
        <v>66</v>
      </c>
      <c r="E397" s="118" t="s">
        <v>262</v>
      </c>
      <c r="F397" s="118">
        <v>4195743</v>
      </c>
      <c r="G397" s="118" t="s">
        <v>630</v>
      </c>
      <c r="H397" s="118" t="s">
        <v>395</v>
      </c>
      <c r="I397" s="113">
        <f t="shared" si="6"/>
        <v>286.04000000000002</v>
      </c>
      <c r="J397" s="120">
        <f>286.04*12</f>
        <v>3432.4800000000005</v>
      </c>
      <c r="K397" s="116">
        <v>45863</v>
      </c>
      <c r="L397" s="118" t="s">
        <v>1067</v>
      </c>
      <c r="M397" s="118"/>
      <c r="N397" s="118"/>
      <c r="O397" s="121"/>
    </row>
    <row r="398" spans="1:15" x14ac:dyDescent="0.35">
      <c r="A398" s="110">
        <v>45502</v>
      </c>
      <c r="B398" s="111" t="s">
        <v>579</v>
      </c>
      <c r="C398" s="111" t="s">
        <v>1669</v>
      </c>
      <c r="D398" s="111" t="s">
        <v>52</v>
      </c>
      <c r="E398" s="112" t="s">
        <v>129</v>
      </c>
      <c r="F398" s="112"/>
      <c r="G398" s="112" t="s">
        <v>636</v>
      </c>
      <c r="H398" s="112" t="s">
        <v>477</v>
      </c>
      <c r="I398" s="113">
        <f t="shared" si="6"/>
        <v>275.59083333333336</v>
      </c>
      <c r="J398" s="114">
        <v>3307.09</v>
      </c>
      <c r="K398" s="110">
        <v>45867</v>
      </c>
      <c r="L398" s="112" t="s">
        <v>1067</v>
      </c>
      <c r="M398" s="112"/>
      <c r="N398" s="112"/>
      <c r="O398" s="115"/>
    </row>
    <row r="399" spans="1:15" x14ac:dyDescent="0.35">
      <c r="A399" s="116">
        <v>45502</v>
      </c>
      <c r="B399" s="117" t="s">
        <v>579</v>
      </c>
      <c r="C399" s="111" t="s">
        <v>1669</v>
      </c>
      <c r="D399" s="117" t="s">
        <v>52</v>
      </c>
      <c r="E399" s="118" t="s">
        <v>459</v>
      </c>
      <c r="F399" s="118">
        <v>4195919</v>
      </c>
      <c r="G399" s="118" t="s">
        <v>637</v>
      </c>
      <c r="H399" s="118" t="s">
        <v>395</v>
      </c>
      <c r="I399" s="113">
        <f t="shared" si="6"/>
        <v>165.38666666666668</v>
      </c>
      <c r="J399" s="120">
        <v>1984.64</v>
      </c>
      <c r="K399" s="116">
        <v>45867</v>
      </c>
      <c r="L399" s="118" t="s">
        <v>1067</v>
      </c>
      <c r="M399" s="118"/>
      <c r="N399" s="118"/>
      <c r="O399" s="121"/>
    </row>
    <row r="400" spans="1:15" x14ac:dyDescent="0.35">
      <c r="A400" s="110">
        <v>45502</v>
      </c>
      <c r="B400" s="111" t="s">
        <v>579</v>
      </c>
      <c r="C400" s="111" t="s">
        <v>1669</v>
      </c>
      <c r="D400" s="111" t="s">
        <v>66</v>
      </c>
      <c r="E400" s="112" t="s">
        <v>14</v>
      </c>
      <c r="F400" s="112">
        <v>4195387</v>
      </c>
      <c r="G400" s="112" t="s">
        <v>635</v>
      </c>
      <c r="H400" s="112" t="s">
        <v>395</v>
      </c>
      <c r="I400" s="113">
        <f t="shared" si="6"/>
        <v>223.51</v>
      </c>
      <c r="J400" s="114">
        <f>223.51*12</f>
        <v>2682.12</v>
      </c>
      <c r="K400" s="110">
        <v>45867</v>
      </c>
      <c r="L400" s="112" t="s">
        <v>1067</v>
      </c>
      <c r="M400" s="112"/>
      <c r="N400" s="112"/>
      <c r="O400" s="115"/>
    </row>
    <row r="401" spans="1:15" x14ac:dyDescent="0.35">
      <c r="A401" s="116">
        <v>45505</v>
      </c>
      <c r="B401" s="117" t="s">
        <v>638</v>
      </c>
      <c r="C401" s="111" t="s">
        <v>1669</v>
      </c>
      <c r="D401" s="117" t="s">
        <v>52</v>
      </c>
      <c r="E401" s="118" t="s">
        <v>396</v>
      </c>
      <c r="F401" s="118"/>
      <c r="G401" s="118" t="s">
        <v>711</v>
      </c>
      <c r="H401" s="118" t="s">
        <v>748</v>
      </c>
      <c r="I401" s="119"/>
      <c r="J401" s="120"/>
      <c r="K401" s="116"/>
      <c r="L401" s="118"/>
      <c r="M401" s="118"/>
      <c r="N401" s="118"/>
      <c r="O401" s="121"/>
    </row>
    <row r="402" spans="1:15" x14ac:dyDescent="0.35">
      <c r="A402" s="110">
        <v>45505</v>
      </c>
      <c r="B402" s="111" t="s">
        <v>638</v>
      </c>
      <c r="C402" s="111" t="s">
        <v>1669</v>
      </c>
      <c r="D402" s="111" t="s">
        <v>66</v>
      </c>
      <c r="E402" s="112" t="s">
        <v>20</v>
      </c>
      <c r="F402" s="112"/>
      <c r="G402" s="112" t="s">
        <v>639</v>
      </c>
      <c r="H402" s="112" t="s">
        <v>395</v>
      </c>
      <c r="I402" s="113"/>
      <c r="J402" s="114"/>
      <c r="K402" s="110"/>
      <c r="L402" s="112"/>
      <c r="M402" s="112"/>
      <c r="N402" s="112"/>
      <c r="O402" s="115"/>
    </row>
    <row r="403" spans="1:15" x14ac:dyDescent="0.35">
      <c r="A403" s="116">
        <v>45506</v>
      </c>
      <c r="B403" s="117" t="s">
        <v>638</v>
      </c>
      <c r="C403" s="111" t="s">
        <v>1669</v>
      </c>
      <c r="D403" s="117" t="s">
        <v>52</v>
      </c>
      <c r="E403" s="118" t="s">
        <v>566</v>
      </c>
      <c r="F403" s="118"/>
      <c r="G403" s="118" t="s">
        <v>714</v>
      </c>
      <c r="H403" s="118" t="s">
        <v>307</v>
      </c>
      <c r="I403" s="119"/>
      <c r="J403" s="120"/>
      <c r="K403" s="116"/>
      <c r="L403" s="118"/>
      <c r="M403" s="118"/>
      <c r="N403" s="118"/>
      <c r="O403" s="121"/>
    </row>
    <row r="404" spans="1:15" x14ac:dyDescent="0.35">
      <c r="A404" s="110">
        <v>45506</v>
      </c>
      <c r="B404" s="111" t="s">
        <v>638</v>
      </c>
      <c r="C404" s="111" t="s">
        <v>1669</v>
      </c>
      <c r="D404" s="111" t="s">
        <v>66</v>
      </c>
      <c r="E404" s="112" t="s">
        <v>18</v>
      </c>
      <c r="F404" s="112"/>
      <c r="G404" s="112" t="s">
        <v>640</v>
      </c>
      <c r="H404" s="112" t="s">
        <v>5</v>
      </c>
      <c r="I404" s="113"/>
      <c r="J404" s="114"/>
      <c r="K404" s="110"/>
      <c r="L404" s="112"/>
      <c r="M404" s="112"/>
      <c r="N404" s="112"/>
      <c r="O404" s="115"/>
    </row>
    <row r="405" spans="1:15" x14ac:dyDescent="0.35">
      <c r="A405" s="116">
        <v>45509</v>
      </c>
      <c r="B405" s="117" t="s">
        <v>638</v>
      </c>
      <c r="C405" s="111" t="s">
        <v>1669</v>
      </c>
      <c r="D405" s="117" t="s">
        <v>52</v>
      </c>
      <c r="E405" s="118" t="s">
        <v>129</v>
      </c>
      <c r="F405" s="118"/>
      <c r="G405" s="118" t="s">
        <v>712</v>
      </c>
      <c r="H405" s="118" t="s">
        <v>3</v>
      </c>
      <c r="I405" s="119"/>
      <c r="J405" s="120"/>
      <c r="K405" s="116"/>
      <c r="L405" s="118"/>
      <c r="M405" s="118"/>
      <c r="N405" s="118"/>
      <c r="O405" s="121"/>
    </row>
    <row r="406" spans="1:15" x14ac:dyDescent="0.35">
      <c r="A406" s="110">
        <v>45509</v>
      </c>
      <c r="B406" s="111" t="s">
        <v>638</v>
      </c>
      <c r="C406" s="111" t="s">
        <v>1669</v>
      </c>
      <c r="D406" s="111" t="s">
        <v>52</v>
      </c>
      <c r="E406" s="112" t="s">
        <v>129</v>
      </c>
      <c r="F406" s="112"/>
      <c r="G406" s="112" t="s">
        <v>713</v>
      </c>
      <c r="H406" s="112" t="s">
        <v>3</v>
      </c>
      <c r="I406" s="113"/>
      <c r="J406" s="114"/>
      <c r="K406" s="110"/>
      <c r="L406" s="112"/>
      <c r="M406" s="112"/>
      <c r="N406" s="112"/>
      <c r="O406" s="115"/>
    </row>
    <row r="407" spans="1:15" x14ac:dyDescent="0.35">
      <c r="A407" s="116">
        <v>45510</v>
      </c>
      <c r="B407" s="117" t="s">
        <v>638</v>
      </c>
      <c r="C407" s="111" t="s">
        <v>1669</v>
      </c>
      <c r="D407" s="117" t="s">
        <v>52</v>
      </c>
      <c r="E407" s="118" t="s">
        <v>491</v>
      </c>
      <c r="F407" s="118"/>
      <c r="G407" s="118" t="s">
        <v>715</v>
      </c>
      <c r="H407" s="118" t="s">
        <v>395</v>
      </c>
      <c r="I407" s="119"/>
      <c r="J407" s="120"/>
      <c r="K407" s="116"/>
      <c r="L407" s="118"/>
      <c r="M407" s="118"/>
      <c r="N407" s="118"/>
      <c r="O407" s="121"/>
    </row>
    <row r="408" spans="1:15" x14ac:dyDescent="0.35">
      <c r="A408" s="110">
        <v>45511</v>
      </c>
      <c r="B408" s="111" t="s">
        <v>638</v>
      </c>
      <c r="C408" s="111" t="s">
        <v>1669</v>
      </c>
      <c r="D408" s="111" t="s">
        <v>52</v>
      </c>
      <c r="E408" s="112" t="s">
        <v>155</v>
      </c>
      <c r="F408" s="112"/>
      <c r="G408" s="112" t="s">
        <v>716</v>
      </c>
      <c r="H408" s="112" t="s">
        <v>395</v>
      </c>
      <c r="I408" s="113"/>
      <c r="J408" s="114"/>
      <c r="K408" s="110"/>
      <c r="L408" s="112"/>
      <c r="M408" s="112"/>
      <c r="N408" s="112"/>
      <c r="O408" s="115"/>
    </row>
    <row r="409" spans="1:15" x14ac:dyDescent="0.35">
      <c r="A409" s="116">
        <v>45511</v>
      </c>
      <c r="B409" s="117" t="s">
        <v>638</v>
      </c>
      <c r="C409" s="111" t="s">
        <v>1669</v>
      </c>
      <c r="D409" s="117" t="s">
        <v>52</v>
      </c>
      <c r="E409" s="118" t="s">
        <v>129</v>
      </c>
      <c r="F409" s="118"/>
      <c r="G409" s="118" t="s">
        <v>719</v>
      </c>
      <c r="H409" s="118" t="s">
        <v>4</v>
      </c>
      <c r="I409" s="119"/>
      <c r="J409" s="120"/>
      <c r="K409" s="116"/>
      <c r="L409" s="118"/>
      <c r="M409" s="118"/>
      <c r="N409" s="118"/>
      <c r="O409" s="121"/>
    </row>
    <row r="410" spans="1:15" x14ac:dyDescent="0.35">
      <c r="A410" s="110">
        <v>45511</v>
      </c>
      <c r="B410" s="111" t="s">
        <v>638</v>
      </c>
      <c r="C410" s="111" t="s">
        <v>1669</v>
      </c>
      <c r="D410" s="111" t="s">
        <v>52</v>
      </c>
      <c r="E410" s="112" t="s">
        <v>396</v>
      </c>
      <c r="F410" s="112"/>
      <c r="G410" s="112" t="s">
        <v>718</v>
      </c>
      <c r="H410" s="112" t="s">
        <v>3</v>
      </c>
      <c r="I410" s="113"/>
      <c r="J410" s="114"/>
      <c r="K410" s="110"/>
      <c r="L410" s="112"/>
      <c r="M410" s="112"/>
      <c r="N410" s="112"/>
      <c r="O410" s="115"/>
    </row>
    <row r="411" spans="1:15" x14ac:dyDescent="0.35">
      <c r="A411" s="116">
        <v>45512</v>
      </c>
      <c r="B411" s="117" t="s">
        <v>638</v>
      </c>
      <c r="C411" s="111" t="s">
        <v>1669</v>
      </c>
      <c r="D411" s="117" t="s">
        <v>66</v>
      </c>
      <c r="E411" s="118" t="s">
        <v>18</v>
      </c>
      <c r="F411" s="118"/>
      <c r="G411" s="118" t="s">
        <v>641</v>
      </c>
      <c r="H411" s="118" t="s">
        <v>5</v>
      </c>
      <c r="I411" s="119"/>
      <c r="J411" s="120"/>
      <c r="K411" s="116"/>
      <c r="L411" s="118"/>
      <c r="M411" s="118"/>
      <c r="N411" s="118"/>
      <c r="O411" s="121"/>
    </row>
    <row r="412" spans="1:15" x14ac:dyDescent="0.35">
      <c r="A412" s="110">
        <v>45516</v>
      </c>
      <c r="B412" s="111" t="s">
        <v>638</v>
      </c>
      <c r="C412" s="111" t="s">
        <v>1669</v>
      </c>
      <c r="D412" s="111" t="s">
        <v>66</v>
      </c>
      <c r="E412" s="112" t="s">
        <v>13</v>
      </c>
      <c r="F412" s="112"/>
      <c r="G412" s="112" t="s">
        <v>642</v>
      </c>
      <c r="H412" s="112" t="s">
        <v>5</v>
      </c>
      <c r="I412" s="113"/>
      <c r="J412" s="114"/>
      <c r="K412" s="110"/>
      <c r="L412" s="112"/>
      <c r="M412" s="112"/>
      <c r="N412" s="112"/>
      <c r="O412" s="115"/>
    </row>
    <row r="413" spans="1:15" x14ac:dyDescent="0.35">
      <c r="A413" s="116">
        <v>45516</v>
      </c>
      <c r="B413" s="117" t="s">
        <v>638</v>
      </c>
      <c r="C413" s="111" t="s">
        <v>1669</v>
      </c>
      <c r="D413" s="117" t="s">
        <v>66</v>
      </c>
      <c r="E413" s="118" t="s">
        <v>14</v>
      </c>
      <c r="F413" s="118"/>
      <c r="G413" s="118" t="s">
        <v>650</v>
      </c>
      <c r="H413" s="118" t="s">
        <v>5</v>
      </c>
      <c r="I413" s="119"/>
      <c r="J413" s="120"/>
      <c r="K413" s="116"/>
      <c r="L413" s="118"/>
      <c r="M413" s="118"/>
      <c r="N413" s="118"/>
      <c r="O413" s="121"/>
    </row>
    <row r="414" spans="1:15" x14ac:dyDescent="0.35">
      <c r="A414" s="110">
        <v>45518</v>
      </c>
      <c r="B414" s="111" t="s">
        <v>638</v>
      </c>
      <c r="C414" s="111" t="s">
        <v>1669</v>
      </c>
      <c r="D414" s="111" t="s">
        <v>66</v>
      </c>
      <c r="E414" s="112" t="s">
        <v>21</v>
      </c>
      <c r="F414" s="112" t="s">
        <v>643</v>
      </c>
      <c r="G414" s="112" t="s">
        <v>644</v>
      </c>
      <c r="H414" s="112" t="s">
        <v>3</v>
      </c>
      <c r="I414" s="113"/>
      <c r="J414" s="114"/>
      <c r="K414" s="110"/>
      <c r="L414" s="112"/>
      <c r="M414" s="112"/>
      <c r="N414" s="112"/>
      <c r="O414" s="115"/>
    </row>
    <row r="415" spans="1:15" x14ac:dyDescent="0.35">
      <c r="A415" s="116">
        <v>45518</v>
      </c>
      <c r="B415" s="117" t="s">
        <v>638</v>
      </c>
      <c r="C415" s="111" t="s">
        <v>1669</v>
      </c>
      <c r="D415" s="117" t="s">
        <v>66</v>
      </c>
      <c r="E415" s="118" t="s">
        <v>21</v>
      </c>
      <c r="F415" s="118"/>
      <c r="G415" s="118" t="s">
        <v>644</v>
      </c>
      <c r="H415" s="118" t="s">
        <v>307</v>
      </c>
      <c r="I415" s="119"/>
      <c r="J415" s="120"/>
      <c r="K415" s="116"/>
      <c r="L415" s="118"/>
      <c r="M415" s="118"/>
      <c r="N415" s="118"/>
      <c r="O415" s="121"/>
    </row>
    <row r="416" spans="1:15" x14ac:dyDescent="0.35">
      <c r="A416" s="110">
        <v>45519</v>
      </c>
      <c r="B416" s="111" t="s">
        <v>638</v>
      </c>
      <c r="C416" s="111" t="s">
        <v>1669</v>
      </c>
      <c r="D416" s="111" t="s">
        <v>66</v>
      </c>
      <c r="E416" s="112" t="s">
        <v>14</v>
      </c>
      <c r="F416" s="112"/>
      <c r="G416" s="112" t="s">
        <v>648</v>
      </c>
      <c r="H416" s="112" t="s">
        <v>3</v>
      </c>
      <c r="I416" s="113"/>
      <c r="J416" s="114"/>
      <c r="K416" s="110"/>
      <c r="L416" s="112"/>
      <c r="M416" s="112"/>
      <c r="N416" s="112"/>
      <c r="O416" s="115"/>
    </row>
    <row r="417" spans="1:15" x14ac:dyDescent="0.35">
      <c r="A417" s="116">
        <v>45520</v>
      </c>
      <c r="B417" s="117" t="s">
        <v>638</v>
      </c>
      <c r="C417" s="111" t="s">
        <v>1669</v>
      </c>
      <c r="D417" s="117" t="s">
        <v>52</v>
      </c>
      <c r="E417" s="118" t="s">
        <v>466</v>
      </c>
      <c r="F417" s="118"/>
      <c r="G417" s="118" t="s">
        <v>723</v>
      </c>
      <c r="H417" s="118" t="s">
        <v>395</v>
      </c>
      <c r="I417" s="119"/>
      <c r="J417" s="120"/>
      <c r="K417" s="116"/>
      <c r="L417" s="118"/>
      <c r="M417" s="118"/>
      <c r="N417" s="118"/>
      <c r="O417" s="121"/>
    </row>
    <row r="418" spans="1:15" x14ac:dyDescent="0.35">
      <c r="A418" s="110">
        <v>45520</v>
      </c>
      <c r="B418" s="111" t="s">
        <v>638</v>
      </c>
      <c r="C418" s="111" t="s">
        <v>1669</v>
      </c>
      <c r="D418" s="111" t="s">
        <v>52</v>
      </c>
      <c r="E418" s="112" t="s">
        <v>155</v>
      </c>
      <c r="F418" s="112"/>
      <c r="G418" s="112" t="s">
        <v>720</v>
      </c>
      <c r="H418" s="112" t="s">
        <v>749</v>
      </c>
      <c r="I418" s="113"/>
      <c r="J418" s="114"/>
      <c r="K418" s="110"/>
      <c r="L418" s="112"/>
      <c r="M418" s="112"/>
      <c r="N418" s="112"/>
      <c r="O418" s="115"/>
    </row>
    <row r="419" spans="1:15" x14ac:dyDescent="0.35">
      <c r="A419" s="116">
        <v>45520</v>
      </c>
      <c r="B419" s="117" t="s">
        <v>638</v>
      </c>
      <c r="C419" s="111" t="s">
        <v>1669</v>
      </c>
      <c r="D419" s="117" t="s">
        <v>52</v>
      </c>
      <c r="E419" s="118" t="s">
        <v>155</v>
      </c>
      <c r="F419" s="118"/>
      <c r="G419" s="118" t="s">
        <v>722</v>
      </c>
      <c r="H419" s="118" t="s">
        <v>395</v>
      </c>
      <c r="I419" s="119"/>
      <c r="J419" s="120"/>
      <c r="K419" s="116"/>
      <c r="L419" s="118"/>
      <c r="M419" s="118"/>
      <c r="N419" s="118"/>
      <c r="O419" s="121"/>
    </row>
    <row r="420" spans="1:15" x14ac:dyDescent="0.35">
      <c r="A420" s="110">
        <v>45520</v>
      </c>
      <c r="B420" s="111" t="s">
        <v>638</v>
      </c>
      <c r="C420" s="111" t="s">
        <v>1669</v>
      </c>
      <c r="D420" s="111" t="s">
        <v>52</v>
      </c>
      <c r="E420" s="112" t="s">
        <v>155</v>
      </c>
      <c r="F420" s="112"/>
      <c r="G420" s="112" t="s">
        <v>724</v>
      </c>
      <c r="H420" s="112" t="s">
        <v>395</v>
      </c>
      <c r="I420" s="113"/>
      <c r="J420" s="114"/>
      <c r="K420" s="110"/>
      <c r="L420" s="112"/>
      <c r="M420" s="112"/>
      <c r="N420" s="112"/>
      <c r="O420" s="115"/>
    </row>
    <row r="421" spans="1:15" x14ac:dyDescent="0.35">
      <c r="A421" s="116">
        <v>45520</v>
      </c>
      <c r="B421" s="117" t="s">
        <v>638</v>
      </c>
      <c r="C421" s="111" t="s">
        <v>1669</v>
      </c>
      <c r="D421" s="117" t="s">
        <v>52</v>
      </c>
      <c r="E421" s="118" t="s">
        <v>155</v>
      </c>
      <c r="F421" s="118"/>
      <c r="G421" s="118" t="s">
        <v>725</v>
      </c>
      <c r="H421" s="118" t="s">
        <v>586</v>
      </c>
      <c r="I421" s="119"/>
      <c r="J421" s="120"/>
      <c r="K421" s="116"/>
      <c r="L421" s="118"/>
      <c r="M421" s="118"/>
      <c r="N421" s="118"/>
      <c r="O421" s="121"/>
    </row>
    <row r="422" spans="1:15" x14ac:dyDescent="0.35">
      <c r="A422" s="110">
        <v>45520</v>
      </c>
      <c r="B422" s="111" t="s">
        <v>638</v>
      </c>
      <c r="C422" s="111" t="s">
        <v>1669</v>
      </c>
      <c r="D422" s="111" t="s">
        <v>52</v>
      </c>
      <c r="E422" s="112" t="s">
        <v>113</v>
      </c>
      <c r="F422" s="112"/>
      <c r="G422" s="112" t="s">
        <v>721</v>
      </c>
      <c r="H422" s="112" t="s">
        <v>749</v>
      </c>
      <c r="I422" s="113"/>
      <c r="J422" s="114"/>
      <c r="K422" s="110"/>
      <c r="L422" s="112"/>
      <c r="M422" s="112"/>
      <c r="N422" s="112"/>
      <c r="O422" s="115"/>
    </row>
    <row r="423" spans="1:15" x14ac:dyDescent="0.35">
      <c r="A423" s="116">
        <v>45520</v>
      </c>
      <c r="B423" s="117" t="s">
        <v>638</v>
      </c>
      <c r="C423" s="111" t="s">
        <v>1669</v>
      </c>
      <c r="D423" s="117" t="s">
        <v>52</v>
      </c>
      <c r="E423" s="118" t="s">
        <v>113</v>
      </c>
      <c r="F423" s="118"/>
      <c r="G423" s="118" t="s">
        <v>727</v>
      </c>
      <c r="H423" s="118" t="s">
        <v>477</v>
      </c>
      <c r="I423" s="119"/>
      <c r="J423" s="120"/>
      <c r="K423" s="116"/>
      <c r="L423" s="118"/>
      <c r="M423" s="118"/>
      <c r="N423" s="118"/>
      <c r="O423" s="121"/>
    </row>
    <row r="424" spans="1:15" x14ac:dyDescent="0.35">
      <c r="A424" s="110">
        <v>45520</v>
      </c>
      <c r="B424" s="111" t="s">
        <v>638</v>
      </c>
      <c r="C424" s="111" t="s">
        <v>1669</v>
      </c>
      <c r="D424" s="111" t="s">
        <v>52</v>
      </c>
      <c r="E424" s="112" t="s">
        <v>483</v>
      </c>
      <c r="F424" s="112"/>
      <c r="G424" s="112" t="s">
        <v>726</v>
      </c>
      <c r="H424" s="112" t="s">
        <v>395</v>
      </c>
      <c r="I424" s="113"/>
      <c r="J424" s="114"/>
      <c r="K424" s="110"/>
      <c r="L424" s="112"/>
      <c r="M424" s="112"/>
      <c r="N424" s="112"/>
      <c r="O424" s="115"/>
    </row>
    <row r="425" spans="1:15" x14ac:dyDescent="0.35">
      <c r="A425" s="116">
        <v>45520</v>
      </c>
      <c r="B425" s="117" t="s">
        <v>638</v>
      </c>
      <c r="C425" s="111" t="s">
        <v>1669</v>
      </c>
      <c r="D425" s="117" t="s">
        <v>66</v>
      </c>
      <c r="E425" s="118" t="s">
        <v>14</v>
      </c>
      <c r="F425" s="118"/>
      <c r="G425" s="118" t="s">
        <v>649</v>
      </c>
      <c r="H425" s="118" t="s">
        <v>148</v>
      </c>
      <c r="I425" s="119"/>
      <c r="J425" s="120"/>
      <c r="K425" s="116"/>
      <c r="L425" s="118"/>
      <c r="M425" s="118"/>
      <c r="N425" s="118"/>
      <c r="O425" s="121"/>
    </row>
    <row r="426" spans="1:15" x14ac:dyDescent="0.35">
      <c r="A426" s="110">
        <v>45520</v>
      </c>
      <c r="B426" s="111" t="s">
        <v>638</v>
      </c>
      <c r="C426" s="111" t="s">
        <v>1669</v>
      </c>
      <c r="D426" s="111" t="s">
        <v>66</v>
      </c>
      <c r="E426" s="112" t="s">
        <v>15</v>
      </c>
      <c r="F426" s="112"/>
      <c r="G426" s="112" t="s">
        <v>659</v>
      </c>
      <c r="H426" s="112" t="s">
        <v>307</v>
      </c>
      <c r="I426" s="113"/>
      <c r="J426" s="114"/>
      <c r="K426" s="110"/>
      <c r="L426" s="112"/>
      <c r="M426" s="112"/>
      <c r="N426" s="112"/>
      <c r="O426" s="115"/>
    </row>
    <row r="427" spans="1:15" x14ac:dyDescent="0.35">
      <c r="A427" s="116">
        <v>45523</v>
      </c>
      <c r="B427" s="117" t="s">
        <v>638</v>
      </c>
      <c r="C427" s="111" t="s">
        <v>1669</v>
      </c>
      <c r="D427" s="117" t="s">
        <v>52</v>
      </c>
      <c r="E427" s="118" t="s">
        <v>155</v>
      </c>
      <c r="F427" s="118"/>
      <c r="G427" s="118" t="s">
        <v>728</v>
      </c>
      <c r="H427" s="118" t="s">
        <v>3</v>
      </c>
      <c r="I427" s="119"/>
      <c r="J427" s="120"/>
      <c r="K427" s="116"/>
      <c r="L427" s="118"/>
      <c r="M427" s="118"/>
      <c r="N427" s="118"/>
      <c r="O427" s="121"/>
    </row>
    <row r="428" spans="1:15" x14ac:dyDescent="0.35">
      <c r="A428" s="110">
        <v>45523</v>
      </c>
      <c r="B428" s="111" t="s">
        <v>638</v>
      </c>
      <c r="C428" s="111" t="s">
        <v>1669</v>
      </c>
      <c r="D428" s="111" t="s">
        <v>52</v>
      </c>
      <c r="E428" s="112" t="s">
        <v>155</v>
      </c>
      <c r="F428" s="112"/>
      <c r="G428" s="112" t="s">
        <v>730</v>
      </c>
      <c r="H428" s="112" t="s">
        <v>395</v>
      </c>
      <c r="I428" s="113"/>
      <c r="J428" s="114"/>
      <c r="K428" s="110"/>
      <c r="L428" s="112"/>
      <c r="M428" s="112"/>
      <c r="N428" s="112"/>
      <c r="O428" s="115"/>
    </row>
    <row r="429" spans="1:15" x14ac:dyDescent="0.35">
      <c r="A429" s="116">
        <v>45523</v>
      </c>
      <c r="B429" s="117" t="s">
        <v>638</v>
      </c>
      <c r="C429" s="111" t="s">
        <v>1669</v>
      </c>
      <c r="D429" s="117" t="s">
        <v>52</v>
      </c>
      <c r="E429" s="118" t="s">
        <v>491</v>
      </c>
      <c r="F429" s="118"/>
      <c r="G429" s="118" t="s">
        <v>729</v>
      </c>
      <c r="H429" s="118" t="s">
        <v>395</v>
      </c>
      <c r="I429" s="119"/>
      <c r="J429" s="120"/>
      <c r="K429" s="116"/>
      <c r="L429" s="118"/>
      <c r="M429" s="118"/>
      <c r="N429" s="118"/>
      <c r="O429" s="121"/>
    </row>
    <row r="430" spans="1:15" x14ac:dyDescent="0.35">
      <c r="A430" s="110">
        <v>45524</v>
      </c>
      <c r="B430" s="111" t="s">
        <v>638</v>
      </c>
      <c r="C430" s="111" t="s">
        <v>1669</v>
      </c>
      <c r="D430" s="111" t="s">
        <v>52</v>
      </c>
      <c r="E430" s="112" t="s">
        <v>155</v>
      </c>
      <c r="F430" s="112"/>
      <c r="G430" s="112" t="s">
        <v>731</v>
      </c>
      <c r="H430" s="112" t="s">
        <v>395</v>
      </c>
      <c r="I430" s="113"/>
      <c r="J430" s="114"/>
      <c r="K430" s="110"/>
      <c r="L430" s="112"/>
      <c r="M430" s="112"/>
      <c r="N430" s="112"/>
      <c r="O430" s="115"/>
    </row>
    <row r="431" spans="1:15" x14ac:dyDescent="0.35">
      <c r="A431" s="116">
        <v>45524</v>
      </c>
      <c r="B431" s="117" t="s">
        <v>638</v>
      </c>
      <c r="C431" s="111" t="s">
        <v>1669</v>
      </c>
      <c r="D431" s="117" t="s">
        <v>52</v>
      </c>
      <c r="E431" s="118" t="s">
        <v>483</v>
      </c>
      <c r="F431" s="118"/>
      <c r="G431" s="118" t="s">
        <v>732</v>
      </c>
      <c r="H431" s="118" t="s">
        <v>395</v>
      </c>
      <c r="I431" s="119"/>
      <c r="J431" s="120"/>
      <c r="K431" s="116"/>
      <c r="L431" s="118"/>
      <c r="M431" s="118"/>
      <c r="N431" s="118"/>
      <c r="O431" s="121"/>
    </row>
    <row r="432" spans="1:15" x14ac:dyDescent="0.35">
      <c r="A432" s="110">
        <v>45524</v>
      </c>
      <c r="B432" s="111" t="s">
        <v>638</v>
      </c>
      <c r="C432" s="111" t="s">
        <v>1669</v>
      </c>
      <c r="D432" s="111" t="s">
        <v>66</v>
      </c>
      <c r="E432" s="112" t="s">
        <v>14</v>
      </c>
      <c r="F432" s="112">
        <v>4197294</v>
      </c>
      <c r="G432" s="112" t="s">
        <v>655</v>
      </c>
      <c r="H432" s="112" t="s">
        <v>395</v>
      </c>
      <c r="I432" s="113"/>
      <c r="J432" s="114"/>
      <c r="K432" s="110"/>
      <c r="L432" s="112"/>
      <c r="M432" s="112"/>
      <c r="N432" s="112"/>
      <c r="O432" s="115"/>
    </row>
    <row r="433" spans="1:15" x14ac:dyDescent="0.35">
      <c r="A433" s="116">
        <v>45524</v>
      </c>
      <c r="B433" s="117" t="s">
        <v>638</v>
      </c>
      <c r="C433" s="111" t="s">
        <v>1669</v>
      </c>
      <c r="D433" s="117" t="s">
        <v>66</v>
      </c>
      <c r="E433" s="118" t="s">
        <v>16</v>
      </c>
      <c r="F433" s="118"/>
      <c r="G433" s="118" t="s">
        <v>658</v>
      </c>
      <c r="H433" s="118" t="s">
        <v>307</v>
      </c>
      <c r="I433" s="119"/>
      <c r="J433" s="120"/>
      <c r="K433" s="116"/>
      <c r="L433" s="118"/>
      <c r="M433" s="118"/>
      <c r="N433" s="118"/>
      <c r="O433" s="121"/>
    </row>
    <row r="434" spans="1:15" x14ac:dyDescent="0.35">
      <c r="A434" s="110">
        <v>45525</v>
      </c>
      <c r="B434" s="111" t="s">
        <v>638</v>
      </c>
      <c r="C434" s="111" t="s">
        <v>1669</v>
      </c>
      <c r="D434" s="111" t="s">
        <v>52</v>
      </c>
      <c r="E434" s="112" t="s">
        <v>129</v>
      </c>
      <c r="F434" s="112"/>
      <c r="G434" s="112" t="s">
        <v>734</v>
      </c>
      <c r="H434" s="112" t="s">
        <v>395</v>
      </c>
      <c r="I434" s="113"/>
      <c r="J434" s="114"/>
      <c r="K434" s="110"/>
      <c r="L434" s="112"/>
      <c r="M434" s="112"/>
      <c r="N434" s="112"/>
      <c r="O434" s="115"/>
    </row>
    <row r="435" spans="1:15" x14ac:dyDescent="0.35">
      <c r="A435" s="116">
        <v>45525</v>
      </c>
      <c r="B435" s="117" t="s">
        <v>638</v>
      </c>
      <c r="C435" s="111" t="s">
        <v>1669</v>
      </c>
      <c r="D435" s="117" t="s">
        <v>52</v>
      </c>
      <c r="E435" s="118" t="s">
        <v>129</v>
      </c>
      <c r="F435" s="118"/>
      <c r="G435" s="118" t="s">
        <v>734</v>
      </c>
      <c r="H435" s="118" t="s">
        <v>395</v>
      </c>
      <c r="I435" s="119"/>
      <c r="J435" s="120"/>
      <c r="K435" s="116"/>
      <c r="L435" s="118"/>
      <c r="M435" s="118"/>
      <c r="N435" s="118"/>
      <c r="O435" s="121"/>
    </row>
    <row r="436" spans="1:15" x14ac:dyDescent="0.35">
      <c r="A436" s="110">
        <v>45525</v>
      </c>
      <c r="B436" s="111" t="s">
        <v>638</v>
      </c>
      <c r="C436" s="111" t="s">
        <v>1669</v>
      </c>
      <c r="D436" s="111" t="s">
        <v>52</v>
      </c>
      <c r="E436" s="112" t="s">
        <v>396</v>
      </c>
      <c r="F436" s="112"/>
      <c r="G436" s="112" t="s">
        <v>733</v>
      </c>
      <c r="H436" s="112" t="s">
        <v>307</v>
      </c>
      <c r="I436" s="113"/>
      <c r="J436" s="114"/>
      <c r="K436" s="110"/>
      <c r="L436" s="112"/>
      <c r="M436" s="112"/>
      <c r="N436" s="112"/>
      <c r="O436" s="115"/>
    </row>
    <row r="437" spans="1:15" x14ac:dyDescent="0.35">
      <c r="A437" s="116">
        <v>45525</v>
      </c>
      <c r="B437" s="117" t="s">
        <v>638</v>
      </c>
      <c r="C437" s="111" t="s">
        <v>1669</v>
      </c>
      <c r="D437" s="117" t="s">
        <v>66</v>
      </c>
      <c r="E437" s="118" t="s">
        <v>14</v>
      </c>
      <c r="F437" s="118" t="s">
        <v>651</v>
      </c>
      <c r="G437" s="118" t="s">
        <v>649</v>
      </c>
      <c r="H437" s="118" t="s">
        <v>3</v>
      </c>
      <c r="I437" s="119"/>
      <c r="J437" s="120"/>
      <c r="K437" s="116"/>
      <c r="L437" s="118"/>
      <c r="M437" s="118"/>
      <c r="N437" s="118"/>
      <c r="O437" s="121"/>
    </row>
    <row r="438" spans="1:15" x14ac:dyDescent="0.35">
      <c r="A438" s="110">
        <v>45527</v>
      </c>
      <c r="B438" s="111" t="s">
        <v>638</v>
      </c>
      <c r="C438" s="111" t="s">
        <v>1669</v>
      </c>
      <c r="D438" s="111" t="s">
        <v>52</v>
      </c>
      <c r="E438" s="112" t="s">
        <v>466</v>
      </c>
      <c r="F438" s="112"/>
      <c r="G438" s="112" t="s">
        <v>735</v>
      </c>
      <c r="H438" s="112" t="s">
        <v>4</v>
      </c>
      <c r="I438" s="113"/>
      <c r="J438" s="114"/>
      <c r="K438" s="110"/>
      <c r="L438" s="112"/>
      <c r="M438" s="112"/>
      <c r="N438" s="112"/>
      <c r="O438" s="115"/>
    </row>
    <row r="439" spans="1:15" x14ac:dyDescent="0.35">
      <c r="A439" s="116">
        <v>45527</v>
      </c>
      <c r="B439" s="117" t="s">
        <v>638</v>
      </c>
      <c r="C439" s="111" t="s">
        <v>1669</v>
      </c>
      <c r="D439" s="117" t="s">
        <v>52</v>
      </c>
      <c r="E439" s="118" t="s">
        <v>466</v>
      </c>
      <c r="F439" s="118"/>
      <c r="G439" s="118" t="s">
        <v>736</v>
      </c>
      <c r="H439" s="118" t="s">
        <v>4</v>
      </c>
      <c r="I439" s="119"/>
      <c r="J439" s="120"/>
      <c r="K439" s="116"/>
      <c r="L439" s="118"/>
      <c r="M439" s="118"/>
      <c r="N439" s="118"/>
      <c r="O439" s="121"/>
    </row>
    <row r="440" spans="1:15" x14ac:dyDescent="0.35">
      <c r="A440" s="110">
        <v>45527</v>
      </c>
      <c r="B440" s="111" t="s">
        <v>638</v>
      </c>
      <c r="C440" s="111" t="s">
        <v>1669</v>
      </c>
      <c r="D440" s="111" t="s">
        <v>52</v>
      </c>
      <c r="E440" s="112" t="s">
        <v>396</v>
      </c>
      <c r="F440" s="112"/>
      <c r="G440" s="112" t="s">
        <v>737</v>
      </c>
      <c r="H440" s="112" t="s">
        <v>395</v>
      </c>
      <c r="I440" s="113"/>
      <c r="J440" s="114"/>
      <c r="K440" s="110"/>
      <c r="L440" s="112"/>
      <c r="M440" s="112"/>
      <c r="N440" s="112"/>
      <c r="O440" s="115"/>
    </row>
    <row r="441" spans="1:15" x14ac:dyDescent="0.35">
      <c r="A441" s="116">
        <v>45527</v>
      </c>
      <c r="B441" s="117" t="s">
        <v>638</v>
      </c>
      <c r="C441" s="111" t="s">
        <v>1669</v>
      </c>
      <c r="D441" s="117" t="s">
        <v>52</v>
      </c>
      <c r="E441" s="118" t="s">
        <v>487</v>
      </c>
      <c r="F441" s="118"/>
      <c r="G441" s="118" t="s">
        <v>738</v>
      </c>
      <c r="H441" s="118" t="s">
        <v>395</v>
      </c>
      <c r="I441" s="119"/>
      <c r="J441" s="120"/>
      <c r="K441" s="116"/>
      <c r="L441" s="118"/>
      <c r="M441" s="118"/>
      <c r="N441" s="118"/>
      <c r="O441" s="121"/>
    </row>
    <row r="442" spans="1:15" x14ac:dyDescent="0.35">
      <c r="A442" s="110">
        <v>45528</v>
      </c>
      <c r="B442" s="111" t="s">
        <v>638</v>
      </c>
      <c r="C442" s="111" t="s">
        <v>1669</v>
      </c>
      <c r="D442" s="111" t="s">
        <v>52</v>
      </c>
      <c r="E442" s="112" t="s">
        <v>487</v>
      </c>
      <c r="F442" s="112"/>
      <c r="G442" s="112" t="s">
        <v>739</v>
      </c>
      <c r="H442" s="112" t="s">
        <v>4</v>
      </c>
      <c r="I442" s="113"/>
      <c r="J442" s="114"/>
      <c r="K442" s="110"/>
      <c r="L442" s="112"/>
      <c r="M442" s="112"/>
      <c r="N442" s="112"/>
      <c r="O442" s="115"/>
    </row>
    <row r="443" spans="1:15" x14ac:dyDescent="0.35">
      <c r="A443" s="116">
        <v>45529</v>
      </c>
      <c r="B443" s="117" t="s">
        <v>638</v>
      </c>
      <c r="C443" s="111" t="s">
        <v>1669</v>
      </c>
      <c r="D443" s="117" t="s">
        <v>66</v>
      </c>
      <c r="E443" s="118" t="s">
        <v>16</v>
      </c>
      <c r="F443" s="118" t="s">
        <v>656</v>
      </c>
      <c r="G443" s="118" t="s">
        <v>657</v>
      </c>
      <c r="H443" s="118" t="s">
        <v>148</v>
      </c>
      <c r="I443" s="119"/>
      <c r="J443" s="120"/>
      <c r="K443" s="116"/>
      <c r="L443" s="118"/>
      <c r="M443" s="118"/>
      <c r="N443" s="118"/>
      <c r="O443" s="121"/>
    </row>
    <row r="444" spans="1:15" x14ac:dyDescent="0.35">
      <c r="A444" s="110">
        <v>45529</v>
      </c>
      <c r="B444" s="111" t="s">
        <v>638</v>
      </c>
      <c r="C444" s="111" t="s">
        <v>1669</v>
      </c>
      <c r="D444" s="111" t="s">
        <v>66</v>
      </c>
      <c r="E444" s="112" t="s">
        <v>20</v>
      </c>
      <c r="F444" s="112"/>
      <c r="G444" s="112" t="s">
        <v>647</v>
      </c>
      <c r="H444" s="112" t="s">
        <v>5</v>
      </c>
      <c r="I444" s="113"/>
      <c r="J444" s="114"/>
      <c r="K444" s="110"/>
      <c r="L444" s="112"/>
      <c r="M444" s="112"/>
      <c r="N444" s="112"/>
      <c r="O444" s="115"/>
    </row>
    <row r="445" spans="1:15" x14ac:dyDescent="0.35">
      <c r="A445" s="116">
        <v>45530</v>
      </c>
      <c r="B445" s="117" t="s">
        <v>638</v>
      </c>
      <c r="C445" s="111" t="s">
        <v>1669</v>
      </c>
      <c r="D445" s="117" t="s">
        <v>52</v>
      </c>
      <c r="E445" s="118" t="s">
        <v>129</v>
      </c>
      <c r="F445" s="118"/>
      <c r="G445" s="118" t="s">
        <v>741</v>
      </c>
      <c r="H445" s="118" t="s">
        <v>307</v>
      </c>
      <c r="I445" s="119"/>
      <c r="J445" s="120"/>
      <c r="K445" s="116"/>
      <c r="L445" s="118"/>
      <c r="M445" s="118"/>
      <c r="N445" s="118"/>
      <c r="O445" s="121"/>
    </row>
    <row r="446" spans="1:15" x14ac:dyDescent="0.35">
      <c r="A446" s="110">
        <v>45530</v>
      </c>
      <c r="B446" s="111" t="s">
        <v>638</v>
      </c>
      <c r="C446" s="111" t="s">
        <v>1669</v>
      </c>
      <c r="D446" s="111" t="s">
        <v>52</v>
      </c>
      <c r="E446" s="112" t="s">
        <v>459</v>
      </c>
      <c r="F446" s="112"/>
      <c r="G446" s="112" t="s">
        <v>740</v>
      </c>
      <c r="H446" s="112" t="s">
        <v>395</v>
      </c>
      <c r="I446" s="113"/>
      <c r="J446" s="114"/>
      <c r="K446" s="110"/>
      <c r="L446" s="112"/>
      <c r="M446" s="112"/>
      <c r="N446" s="112"/>
      <c r="O446" s="115"/>
    </row>
    <row r="447" spans="1:15" x14ac:dyDescent="0.35">
      <c r="A447" s="116">
        <v>45530</v>
      </c>
      <c r="B447" s="117" t="s">
        <v>638</v>
      </c>
      <c r="C447" s="111" t="s">
        <v>1669</v>
      </c>
      <c r="D447" s="117" t="s">
        <v>66</v>
      </c>
      <c r="E447" s="118" t="s">
        <v>14</v>
      </c>
      <c r="F447" s="118">
        <v>4197700</v>
      </c>
      <c r="G447" s="118" t="s">
        <v>653</v>
      </c>
      <c r="H447" s="118" t="s">
        <v>395</v>
      </c>
      <c r="I447" s="119"/>
      <c r="J447" s="120"/>
      <c r="K447" s="116"/>
      <c r="L447" s="118"/>
      <c r="M447" s="118"/>
      <c r="N447" s="118"/>
      <c r="O447" s="121"/>
    </row>
    <row r="448" spans="1:15" x14ac:dyDescent="0.35">
      <c r="A448" s="110">
        <v>45530</v>
      </c>
      <c r="B448" s="111" t="s">
        <v>638</v>
      </c>
      <c r="C448" s="111" t="s">
        <v>1669</v>
      </c>
      <c r="D448" s="111" t="s">
        <v>66</v>
      </c>
      <c r="E448" s="112" t="s">
        <v>18</v>
      </c>
      <c r="F448" s="112"/>
      <c r="G448" s="112" t="s">
        <v>489</v>
      </c>
      <c r="H448" s="112" t="s">
        <v>307</v>
      </c>
      <c r="I448" s="113"/>
      <c r="J448" s="114"/>
      <c r="K448" s="110"/>
      <c r="L448" s="112"/>
      <c r="M448" s="112"/>
      <c r="N448" s="112"/>
      <c r="O448" s="115"/>
    </row>
    <row r="449" spans="1:15" x14ac:dyDescent="0.35">
      <c r="A449" s="116">
        <v>45530</v>
      </c>
      <c r="B449" s="117" t="s">
        <v>638</v>
      </c>
      <c r="C449" s="111" t="s">
        <v>1669</v>
      </c>
      <c r="D449" s="117" t="s">
        <v>66</v>
      </c>
      <c r="E449" s="118" t="s">
        <v>18</v>
      </c>
      <c r="F449" s="118"/>
      <c r="G449" s="118" t="s">
        <v>489</v>
      </c>
      <c r="H449" s="118" t="s">
        <v>307</v>
      </c>
      <c r="I449" s="119"/>
      <c r="J449" s="120"/>
      <c r="K449" s="116"/>
      <c r="L449" s="118"/>
      <c r="M449" s="118"/>
      <c r="N449" s="118"/>
      <c r="O449" s="121"/>
    </row>
    <row r="450" spans="1:15" x14ac:dyDescent="0.35">
      <c r="A450" s="110">
        <v>45531</v>
      </c>
      <c r="B450" s="111" t="s">
        <v>638</v>
      </c>
      <c r="C450" s="111" t="s">
        <v>1669</v>
      </c>
      <c r="D450" s="111" t="s">
        <v>52</v>
      </c>
      <c r="E450" s="112" t="s">
        <v>129</v>
      </c>
      <c r="F450" s="112"/>
      <c r="G450" s="112" t="s">
        <v>717</v>
      </c>
      <c r="H450" s="112" t="s">
        <v>395</v>
      </c>
      <c r="I450" s="113"/>
      <c r="J450" s="114"/>
      <c r="K450" s="110"/>
      <c r="L450" s="112"/>
      <c r="M450" s="112"/>
      <c r="N450" s="112"/>
      <c r="O450" s="115"/>
    </row>
    <row r="451" spans="1:15" x14ac:dyDescent="0.35">
      <c r="A451" s="116">
        <v>45531</v>
      </c>
      <c r="B451" s="117" t="s">
        <v>638</v>
      </c>
      <c r="C451" s="111" t="s">
        <v>1669</v>
      </c>
      <c r="D451" s="117" t="s">
        <v>52</v>
      </c>
      <c r="E451" s="118" t="s">
        <v>129</v>
      </c>
      <c r="F451" s="118"/>
      <c r="G451" s="118" t="s">
        <v>742</v>
      </c>
      <c r="H451" s="118" t="s">
        <v>395</v>
      </c>
      <c r="I451" s="119"/>
      <c r="J451" s="120"/>
      <c r="K451" s="116"/>
      <c r="L451" s="118"/>
      <c r="M451" s="118"/>
      <c r="N451" s="118"/>
      <c r="O451" s="121"/>
    </row>
    <row r="452" spans="1:15" x14ac:dyDescent="0.35">
      <c r="A452" s="110">
        <v>45532</v>
      </c>
      <c r="B452" s="111" t="s">
        <v>638</v>
      </c>
      <c r="C452" s="111" t="s">
        <v>1669</v>
      </c>
      <c r="D452" s="111" t="s">
        <v>52</v>
      </c>
      <c r="E452" s="112" t="s">
        <v>155</v>
      </c>
      <c r="F452" s="112"/>
      <c r="G452" s="112" t="s">
        <v>743</v>
      </c>
      <c r="H452" s="112" t="s">
        <v>395</v>
      </c>
      <c r="I452" s="113"/>
      <c r="J452" s="114"/>
      <c r="K452" s="110"/>
      <c r="L452" s="112"/>
      <c r="M452" s="112"/>
      <c r="N452" s="112"/>
      <c r="O452" s="115"/>
    </row>
    <row r="453" spans="1:15" x14ac:dyDescent="0.35">
      <c r="A453" s="116">
        <v>45532</v>
      </c>
      <c r="B453" s="117" t="s">
        <v>638</v>
      </c>
      <c r="C453" s="111" t="s">
        <v>1669</v>
      </c>
      <c r="D453" s="117" t="s">
        <v>52</v>
      </c>
      <c r="E453" s="118" t="s">
        <v>487</v>
      </c>
      <c r="F453" s="118"/>
      <c r="G453" s="118" t="s">
        <v>744</v>
      </c>
      <c r="H453" s="118" t="s">
        <v>395</v>
      </c>
      <c r="I453" s="119"/>
      <c r="J453" s="120"/>
      <c r="K453" s="116"/>
      <c r="L453" s="118"/>
      <c r="M453" s="118"/>
      <c r="N453" s="118"/>
      <c r="O453" s="121"/>
    </row>
    <row r="454" spans="1:15" x14ac:dyDescent="0.35">
      <c r="A454" s="110">
        <v>45532</v>
      </c>
      <c r="B454" s="111" t="s">
        <v>638</v>
      </c>
      <c r="C454" s="111" t="s">
        <v>1669</v>
      </c>
      <c r="D454" s="111" t="s">
        <v>66</v>
      </c>
      <c r="E454" s="112" t="s">
        <v>19</v>
      </c>
      <c r="F454" s="112"/>
      <c r="G454" s="112" t="s">
        <v>151</v>
      </c>
      <c r="H454" s="112" t="s">
        <v>307</v>
      </c>
      <c r="I454" s="113"/>
      <c r="J454" s="114"/>
      <c r="K454" s="110"/>
      <c r="L454" s="112"/>
      <c r="M454" s="112"/>
      <c r="N454" s="112"/>
      <c r="O454" s="115"/>
    </row>
    <row r="455" spans="1:15" x14ac:dyDescent="0.35">
      <c r="A455" s="116">
        <v>45532</v>
      </c>
      <c r="B455" s="117" t="s">
        <v>638</v>
      </c>
      <c r="C455" s="111" t="s">
        <v>1669</v>
      </c>
      <c r="D455" s="117" t="s">
        <v>66</v>
      </c>
      <c r="E455" s="118" t="s">
        <v>17</v>
      </c>
      <c r="F455" s="118">
        <v>34619</v>
      </c>
      <c r="G455" s="118" t="s">
        <v>652</v>
      </c>
      <c r="H455" s="118" t="s">
        <v>477</v>
      </c>
      <c r="I455" s="119"/>
      <c r="J455" s="120"/>
      <c r="K455" s="116"/>
      <c r="L455" s="118"/>
      <c r="M455" s="118"/>
      <c r="N455" s="118"/>
      <c r="O455" s="121"/>
    </row>
    <row r="456" spans="1:15" x14ac:dyDescent="0.35">
      <c r="A456" s="110">
        <v>45533</v>
      </c>
      <c r="B456" s="111" t="s">
        <v>638</v>
      </c>
      <c r="C456" s="111" t="s">
        <v>1669</v>
      </c>
      <c r="D456" s="111" t="s">
        <v>66</v>
      </c>
      <c r="E456" s="112" t="s">
        <v>11</v>
      </c>
      <c r="F456" s="112"/>
      <c r="G456" s="112" t="s">
        <v>662</v>
      </c>
      <c r="H456" s="112" t="s">
        <v>148</v>
      </c>
      <c r="I456" s="113"/>
      <c r="J456" s="114"/>
      <c r="K456" s="110"/>
      <c r="L456" s="112"/>
      <c r="M456" s="112"/>
      <c r="N456" s="112"/>
      <c r="O456" s="115"/>
    </row>
    <row r="457" spans="1:15" x14ac:dyDescent="0.35">
      <c r="A457" s="116">
        <v>45533</v>
      </c>
      <c r="B457" s="117" t="s">
        <v>638</v>
      </c>
      <c r="C457" s="111" t="s">
        <v>1669</v>
      </c>
      <c r="D457" s="117" t="s">
        <v>66</v>
      </c>
      <c r="E457" s="118" t="s">
        <v>13</v>
      </c>
      <c r="F457" s="118" t="s">
        <v>660</v>
      </c>
      <c r="G457" s="118" t="s">
        <v>661</v>
      </c>
      <c r="H457" s="118" t="s">
        <v>3</v>
      </c>
      <c r="I457" s="119"/>
      <c r="J457" s="120"/>
      <c r="K457" s="116"/>
      <c r="L457" s="118"/>
      <c r="M457" s="118"/>
      <c r="N457" s="118"/>
      <c r="O457" s="121"/>
    </row>
    <row r="458" spans="1:15" x14ac:dyDescent="0.35">
      <c r="A458" s="110">
        <v>45534</v>
      </c>
      <c r="B458" s="111" t="s">
        <v>638</v>
      </c>
      <c r="C458" s="111" t="s">
        <v>1669</v>
      </c>
      <c r="D458" s="111" t="s">
        <v>677</v>
      </c>
      <c r="E458" s="112" t="s">
        <v>678</v>
      </c>
      <c r="F458" s="112">
        <v>46189</v>
      </c>
      <c r="G458" s="112" t="s">
        <v>697</v>
      </c>
      <c r="H458" s="112" t="s">
        <v>148</v>
      </c>
      <c r="I458" s="113"/>
      <c r="J458" s="114"/>
      <c r="K458" s="110"/>
      <c r="L458" s="112"/>
      <c r="M458" s="112"/>
      <c r="N458" s="112"/>
      <c r="O458" s="115"/>
    </row>
    <row r="459" spans="1:15" x14ac:dyDescent="0.35">
      <c r="A459" s="116">
        <v>45534</v>
      </c>
      <c r="B459" s="117" t="s">
        <v>638</v>
      </c>
      <c r="C459" s="111" t="s">
        <v>1669</v>
      </c>
      <c r="D459" s="117" t="s">
        <v>52</v>
      </c>
      <c r="E459" s="118" t="s">
        <v>155</v>
      </c>
      <c r="F459" s="118"/>
      <c r="G459" s="118" t="s">
        <v>745</v>
      </c>
      <c r="H459" s="118" t="s">
        <v>307</v>
      </c>
      <c r="I459" s="119"/>
      <c r="J459" s="120"/>
      <c r="K459" s="116"/>
      <c r="L459" s="118"/>
      <c r="M459" s="118"/>
      <c r="N459" s="118"/>
      <c r="O459" s="121"/>
    </row>
    <row r="460" spans="1:15" x14ac:dyDescent="0.35">
      <c r="A460" s="110">
        <v>45534</v>
      </c>
      <c r="B460" s="111" t="s">
        <v>638</v>
      </c>
      <c r="C460" s="111" t="s">
        <v>1669</v>
      </c>
      <c r="D460" s="111" t="s">
        <v>52</v>
      </c>
      <c r="E460" s="112" t="s">
        <v>155</v>
      </c>
      <c r="F460" s="112"/>
      <c r="G460" s="112" t="s">
        <v>746</v>
      </c>
      <c r="H460" s="112" t="s">
        <v>395</v>
      </c>
      <c r="I460" s="113"/>
      <c r="J460" s="114"/>
      <c r="K460" s="110"/>
      <c r="L460" s="112"/>
      <c r="M460" s="112"/>
      <c r="N460" s="112"/>
      <c r="O460" s="115"/>
    </row>
    <row r="461" spans="1:15" x14ac:dyDescent="0.35">
      <c r="A461" s="116">
        <v>45534</v>
      </c>
      <c r="B461" s="117" t="s">
        <v>638</v>
      </c>
      <c r="C461" s="111" t="s">
        <v>1669</v>
      </c>
      <c r="D461" s="117" t="s">
        <v>52</v>
      </c>
      <c r="E461" s="118" t="s">
        <v>459</v>
      </c>
      <c r="F461" s="118"/>
      <c r="G461" s="118" t="s">
        <v>747</v>
      </c>
      <c r="H461" s="118" t="s">
        <v>307</v>
      </c>
      <c r="I461" s="119"/>
      <c r="J461" s="120"/>
      <c r="K461" s="116"/>
      <c r="L461" s="118"/>
      <c r="M461" s="118"/>
      <c r="N461" s="118"/>
      <c r="O461" s="121"/>
    </row>
    <row r="462" spans="1:15" x14ac:dyDescent="0.35">
      <c r="A462" s="110">
        <v>45534</v>
      </c>
      <c r="B462" s="111" t="s">
        <v>638</v>
      </c>
      <c r="C462" s="111" t="s">
        <v>1669</v>
      </c>
      <c r="D462" s="111" t="s">
        <v>66</v>
      </c>
      <c r="E462" s="112" t="s">
        <v>12</v>
      </c>
      <c r="F462" s="112"/>
      <c r="G462" s="112" t="s">
        <v>664</v>
      </c>
      <c r="H462" s="112" t="s">
        <v>407</v>
      </c>
      <c r="I462" s="113"/>
      <c r="J462" s="114"/>
      <c r="K462" s="110"/>
      <c r="L462" s="112"/>
      <c r="M462" s="112"/>
      <c r="N462" s="112"/>
      <c r="O462" s="115"/>
    </row>
    <row r="463" spans="1:15" x14ac:dyDescent="0.35">
      <c r="A463" s="116">
        <v>45534</v>
      </c>
      <c r="B463" s="117" t="s">
        <v>638</v>
      </c>
      <c r="C463" s="111" t="s">
        <v>1669</v>
      </c>
      <c r="D463" s="117" t="s">
        <v>66</v>
      </c>
      <c r="E463" s="118" t="s">
        <v>12</v>
      </c>
      <c r="F463" s="118"/>
      <c r="G463" s="118" t="s">
        <v>665</v>
      </c>
      <c r="H463" s="118" t="s">
        <v>407</v>
      </c>
      <c r="I463" s="119"/>
      <c r="J463" s="120"/>
      <c r="K463" s="116"/>
      <c r="L463" s="118"/>
      <c r="M463" s="118"/>
      <c r="N463" s="118"/>
      <c r="O463" s="121"/>
    </row>
    <row r="464" spans="1:15" x14ac:dyDescent="0.35">
      <c r="A464" s="110">
        <v>45539</v>
      </c>
      <c r="B464" s="111" t="s">
        <v>666</v>
      </c>
      <c r="C464" s="111" t="s">
        <v>1669</v>
      </c>
      <c r="D464" s="111" t="s">
        <v>677</v>
      </c>
      <c r="E464" s="112" t="s">
        <v>678</v>
      </c>
      <c r="F464" s="112">
        <v>46287</v>
      </c>
      <c r="G464" s="112" t="s">
        <v>695</v>
      </c>
      <c r="H464" s="112" t="s">
        <v>148</v>
      </c>
      <c r="I464" s="113"/>
      <c r="J464" s="114"/>
      <c r="K464" s="110"/>
      <c r="L464" s="112"/>
      <c r="M464" s="112"/>
      <c r="N464" s="112"/>
      <c r="O464" s="115"/>
    </row>
    <row r="465" spans="1:15" x14ac:dyDescent="0.35">
      <c r="A465" s="116">
        <v>45539</v>
      </c>
      <c r="B465" s="117" t="s">
        <v>666</v>
      </c>
      <c r="C465" s="111" t="s">
        <v>1669</v>
      </c>
      <c r="D465" s="117" t="s">
        <v>52</v>
      </c>
      <c r="E465" s="118" t="s">
        <v>569</v>
      </c>
      <c r="F465" s="118"/>
      <c r="G465" s="118" t="s">
        <v>760</v>
      </c>
      <c r="H465" s="118" t="s">
        <v>3</v>
      </c>
      <c r="I465" s="119"/>
      <c r="J465" s="120"/>
      <c r="K465" s="116"/>
      <c r="L465" s="118"/>
      <c r="M465" s="118"/>
      <c r="N465" s="118"/>
      <c r="O465" s="121"/>
    </row>
    <row r="466" spans="1:15" x14ac:dyDescent="0.35">
      <c r="A466" s="110">
        <v>45540</v>
      </c>
      <c r="B466" s="111" t="s">
        <v>666</v>
      </c>
      <c r="C466" s="111" t="s">
        <v>1669</v>
      </c>
      <c r="D466" s="111" t="s">
        <v>52</v>
      </c>
      <c r="E466" s="112" t="s">
        <v>129</v>
      </c>
      <c r="F466" s="112"/>
      <c r="G466" s="112" t="s">
        <v>762</v>
      </c>
      <c r="H466" s="112" t="s">
        <v>307</v>
      </c>
      <c r="I466" s="113"/>
      <c r="J466" s="114"/>
      <c r="K466" s="110"/>
      <c r="L466" s="112"/>
      <c r="M466" s="112"/>
      <c r="N466" s="112"/>
      <c r="O466" s="115"/>
    </row>
    <row r="467" spans="1:15" x14ac:dyDescent="0.35">
      <c r="A467" s="116">
        <v>45540</v>
      </c>
      <c r="B467" s="117" t="s">
        <v>666</v>
      </c>
      <c r="C467" s="111" t="s">
        <v>1669</v>
      </c>
      <c r="D467" s="117" t="s">
        <v>52</v>
      </c>
      <c r="E467" s="118" t="s">
        <v>566</v>
      </c>
      <c r="F467" s="118"/>
      <c r="G467" s="118" t="s">
        <v>761</v>
      </c>
      <c r="H467" s="118" t="s">
        <v>395</v>
      </c>
      <c r="I467" s="119"/>
      <c r="J467" s="120"/>
      <c r="K467" s="116"/>
      <c r="L467" s="118"/>
      <c r="M467" s="118"/>
      <c r="N467" s="118"/>
      <c r="O467" s="121"/>
    </row>
    <row r="468" spans="1:15" x14ac:dyDescent="0.35">
      <c r="A468" s="110">
        <v>45540</v>
      </c>
      <c r="B468" s="111" t="s">
        <v>666</v>
      </c>
      <c r="C468" s="111" t="s">
        <v>1669</v>
      </c>
      <c r="D468" s="111" t="s">
        <v>66</v>
      </c>
      <c r="E468" s="112" t="s">
        <v>11</v>
      </c>
      <c r="F468" s="112"/>
      <c r="G468" s="112" t="s">
        <v>779</v>
      </c>
      <c r="H468" s="112" t="s">
        <v>395</v>
      </c>
      <c r="I468" s="113"/>
      <c r="J468" s="114"/>
      <c r="K468" s="110"/>
      <c r="L468" s="112"/>
      <c r="M468" s="112"/>
      <c r="N468" s="112"/>
      <c r="O468" s="115"/>
    </row>
    <row r="469" spans="1:15" x14ac:dyDescent="0.35">
      <c r="A469" s="116">
        <v>45544</v>
      </c>
      <c r="B469" s="117" t="s">
        <v>666</v>
      </c>
      <c r="C469" s="111" t="s">
        <v>1669</v>
      </c>
      <c r="D469" s="117" t="s">
        <v>66</v>
      </c>
      <c r="E469" s="118" t="s">
        <v>11</v>
      </c>
      <c r="F469" s="118">
        <v>4198736</v>
      </c>
      <c r="G469" s="118" t="s">
        <v>359</v>
      </c>
      <c r="H469" s="118" t="s">
        <v>395</v>
      </c>
      <c r="I469" s="119"/>
      <c r="J469" s="120"/>
      <c r="K469" s="116"/>
      <c r="L469" s="118"/>
      <c r="M469" s="118"/>
      <c r="N469" s="118"/>
      <c r="O469" s="121"/>
    </row>
    <row r="470" spans="1:15" x14ac:dyDescent="0.35">
      <c r="A470" s="110">
        <v>45544</v>
      </c>
      <c r="B470" s="111" t="s">
        <v>666</v>
      </c>
      <c r="C470" s="111" t="s">
        <v>1669</v>
      </c>
      <c r="D470" s="111" t="s">
        <v>66</v>
      </c>
      <c r="E470" s="112" t="s">
        <v>681</v>
      </c>
      <c r="F470" s="112">
        <v>4198721</v>
      </c>
      <c r="G470" s="112" t="s">
        <v>684</v>
      </c>
      <c r="H470" s="112" t="s">
        <v>395</v>
      </c>
      <c r="I470" s="113"/>
      <c r="J470" s="114"/>
      <c r="K470" s="110"/>
      <c r="L470" s="112"/>
      <c r="M470" s="112"/>
      <c r="N470" s="112"/>
      <c r="O470" s="115"/>
    </row>
    <row r="471" spans="1:15" x14ac:dyDescent="0.35">
      <c r="A471" s="116">
        <v>45544</v>
      </c>
      <c r="B471" s="117" t="s">
        <v>666</v>
      </c>
      <c r="C471" s="111" t="s">
        <v>1669</v>
      </c>
      <c r="D471" s="117" t="s">
        <v>66</v>
      </c>
      <c r="E471" s="118" t="s">
        <v>18</v>
      </c>
      <c r="F471" s="118"/>
      <c r="G471" s="118" t="s">
        <v>667</v>
      </c>
      <c r="H471" s="118" t="s">
        <v>5</v>
      </c>
      <c r="I471" s="119"/>
      <c r="J471" s="120"/>
      <c r="K471" s="116"/>
      <c r="L471" s="118"/>
      <c r="M471" s="118"/>
      <c r="N471" s="118"/>
      <c r="O471" s="121"/>
    </row>
    <row r="472" spans="1:15" x14ac:dyDescent="0.35">
      <c r="A472" s="110">
        <v>45544</v>
      </c>
      <c r="B472" s="111" t="s">
        <v>666</v>
      </c>
      <c r="C472" s="111" t="s">
        <v>1669</v>
      </c>
      <c r="D472" s="111" t="s">
        <v>66</v>
      </c>
      <c r="E472" s="112" t="s">
        <v>158</v>
      </c>
      <c r="F472" s="112"/>
      <c r="G472" s="112" t="s">
        <v>691</v>
      </c>
      <c r="H472" s="112" t="s">
        <v>5</v>
      </c>
      <c r="I472" s="113"/>
      <c r="J472" s="114"/>
      <c r="K472" s="110"/>
      <c r="L472" s="112"/>
      <c r="M472" s="112"/>
      <c r="N472" s="112"/>
      <c r="O472" s="115"/>
    </row>
    <row r="473" spans="1:15" x14ac:dyDescent="0.35">
      <c r="A473" s="116">
        <v>45544</v>
      </c>
      <c r="B473" s="117" t="s">
        <v>666</v>
      </c>
      <c r="C473" s="111" t="s">
        <v>1669</v>
      </c>
      <c r="D473" s="117" t="s">
        <v>66</v>
      </c>
      <c r="E473" s="118" t="s">
        <v>158</v>
      </c>
      <c r="F473" s="118"/>
      <c r="G473" s="118" t="s">
        <v>691</v>
      </c>
      <c r="H473" s="118" t="s">
        <v>3</v>
      </c>
      <c r="I473" s="119"/>
      <c r="J473" s="120"/>
      <c r="K473" s="116"/>
      <c r="L473" s="118"/>
      <c r="M473" s="118"/>
      <c r="N473" s="118"/>
      <c r="O473" s="121"/>
    </row>
    <row r="474" spans="1:15" x14ac:dyDescent="0.35">
      <c r="A474" s="110">
        <v>45545</v>
      </c>
      <c r="B474" s="111" t="s">
        <v>666</v>
      </c>
      <c r="C474" s="111" t="s">
        <v>1669</v>
      </c>
      <c r="D474" s="111" t="s">
        <v>677</v>
      </c>
      <c r="E474" s="112" t="s">
        <v>678</v>
      </c>
      <c r="F474" s="112">
        <v>46348</v>
      </c>
      <c r="G474" s="112" t="s">
        <v>679</v>
      </c>
      <c r="H474" s="112" t="s">
        <v>148</v>
      </c>
      <c r="I474" s="113"/>
      <c r="J474" s="114"/>
      <c r="K474" s="110"/>
      <c r="L474" s="112"/>
      <c r="M474" s="112"/>
      <c r="N474" s="112"/>
      <c r="O474" s="115"/>
    </row>
    <row r="475" spans="1:15" x14ac:dyDescent="0.35">
      <c r="A475" s="116">
        <v>45545</v>
      </c>
      <c r="B475" s="117" t="s">
        <v>666</v>
      </c>
      <c r="C475" s="111" t="s">
        <v>1669</v>
      </c>
      <c r="D475" s="117" t="s">
        <v>66</v>
      </c>
      <c r="E475" s="118" t="s">
        <v>14</v>
      </c>
      <c r="F475" s="118">
        <v>4198826</v>
      </c>
      <c r="G475" s="118" t="s">
        <v>682</v>
      </c>
      <c r="H475" s="118" t="s">
        <v>395</v>
      </c>
      <c r="I475" s="119"/>
      <c r="J475" s="120"/>
      <c r="K475" s="116"/>
      <c r="L475" s="118"/>
      <c r="M475" s="118"/>
      <c r="N475" s="118"/>
      <c r="O475" s="121"/>
    </row>
    <row r="476" spans="1:15" x14ac:dyDescent="0.35">
      <c r="A476" s="110">
        <v>45547</v>
      </c>
      <c r="B476" s="111" t="s">
        <v>666</v>
      </c>
      <c r="C476" s="111" t="s">
        <v>1669</v>
      </c>
      <c r="D476" s="111" t="s">
        <v>52</v>
      </c>
      <c r="E476" s="112" t="s">
        <v>155</v>
      </c>
      <c r="F476" s="112"/>
      <c r="G476" s="112" t="s">
        <v>763</v>
      </c>
      <c r="H476" s="112" t="s">
        <v>748</v>
      </c>
      <c r="I476" s="113"/>
      <c r="J476" s="114"/>
      <c r="K476" s="110"/>
      <c r="L476" s="112"/>
      <c r="M476" s="112"/>
      <c r="N476" s="112"/>
      <c r="O476" s="115"/>
    </row>
    <row r="477" spans="1:15" x14ac:dyDescent="0.35">
      <c r="A477" s="116">
        <v>45547</v>
      </c>
      <c r="B477" s="117" t="s">
        <v>666</v>
      </c>
      <c r="C477" s="111" t="s">
        <v>1669</v>
      </c>
      <c r="D477" s="117" t="s">
        <v>52</v>
      </c>
      <c r="E477" s="118" t="s">
        <v>487</v>
      </c>
      <c r="F477" s="118"/>
      <c r="G477" s="118" t="s">
        <v>764</v>
      </c>
      <c r="H477" s="118" t="s">
        <v>395</v>
      </c>
      <c r="I477" s="119"/>
      <c r="J477" s="120"/>
      <c r="K477" s="116"/>
      <c r="L477" s="118"/>
      <c r="M477" s="118"/>
      <c r="N477" s="118"/>
      <c r="O477" s="121"/>
    </row>
    <row r="478" spans="1:15" x14ac:dyDescent="0.35">
      <c r="A478" s="110">
        <v>45548</v>
      </c>
      <c r="B478" s="111" t="s">
        <v>666</v>
      </c>
      <c r="C478" s="111" t="s">
        <v>1669</v>
      </c>
      <c r="D478" s="111" t="s">
        <v>52</v>
      </c>
      <c r="E478" s="112" t="s">
        <v>129</v>
      </c>
      <c r="F478" s="112"/>
      <c r="G478" s="112" t="s">
        <v>766</v>
      </c>
      <c r="H478" s="112" t="s">
        <v>395</v>
      </c>
      <c r="I478" s="113"/>
      <c r="J478" s="114"/>
      <c r="K478" s="110"/>
      <c r="L478" s="112"/>
      <c r="M478" s="112"/>
      <c r="N478" s="112"/>
      <c r="O478" s="115"/>
    </row>
    <row r="479" spans="1:15" x14ac:dyDescent="0.35">
      <c r="A479" s="116">
        <v>45548</v>
      </c>
      <c r="B479" s="117" t="s">
        <v>666</v>
      </c>
      <c r="C479" s="111" t="s">
        <v>1669</v>
      </c>
      <c r="D479" s="117" t="s">
        <v>52</v>
      </c>
      <c r="E479" s="118" t="s">
        <v>113</v>
      </c>
      <c r="F479" s="118"/>
      <c r="G479" s="118" t="s">
        <v>767</v>
      </c>
      <c r="H479" s="118" t="s">
        <v>477</v>
      </c>
      <c r="I479" s="119"/>
      <c r="J479" s="120"/>
      <c r="K479" s="116"/>
      <c r="L479" s="118"/>
      <c r="M479" s="118"/>
      <c r="N479" s="118"/>
      <c r="O479" s="121"/>
    </row>
    <row r="480" spans="1:15" x14ac:dyDescent="0.35">
      <c r="A480" s="110">
        <v>45548</v>
      </c>
      <c r="B480" s="111" t="s">
        <v>666</v>
      </c>
      <c r="C480" s="111" t="s">
        <v>1669</v>
      </c>
      <c r="D480" s="111" t="s">
        <v>52</v>
      </c>
      <c r="E480" s="112" t="s">
        <v>396</v>
      </c>
      <c r="F480" s="112"/>
      <c r="G480" s="112" t="s">
        <v>765</v>
      </c>
      <c r="H480" s="112" t="s">
        <v>395</v>
      </c>
      <c r="I480" s="113"/>
      <c r="J480" s="114"/>
      <c r="K480" s="110"/>
      <c r="L480" s="112"/>
      <c r="M480" s="112"/>
      <c r="N480" s="112"/>
      <c r="O480" s="115"/>
    </row>
    <row r="481" spans="1:15" x14ac:dyDescent="0.35">
      <c r="A481" s="116">
        <v>45548</v>
      </c>
      <c r="B481" s="117" t="s">
        <v>666</v>
      </c>
      <c r="C481" s="111" t="s">
        <v>1669</v>
      </c>
      <c r="D481" s="117" t="s">
        <v>66</v>
      </c>
      <c r="E481" s="118" t="s">
        <v>11</v>
      </c>
      <c r="F481" s="118">
        <v>34810</v>
      </c>
      <c r="G481" s="118" t="s">
        <v>693</v>
      </c>
      <c r="H481" s="118" t="s">
        <v>477</v>
      </c>
      <c r="I481" s="119"/>
      <c r="J481" s="120"/>
      <c r="K481" s="116"/>
      <c r="L481" s="118"/>
      <c r="M481" s="118"/>
      <c r="N481" s="118"/>
      <c r="O481" s="121"/>
    </row>
    <row r="482" spans="1:15" x14ac:dyDescent="0.35">
      <c r="A482" s="110">
        <v>45549</v>
      </c>
      <c r="B482" s="111" t="s">
        <v>666</v>
      </c>
      <c r="C482" s="111" t="s">
        <v>1669</v>
      </c>
      <c r="D482" s="111" t="s">
        <v>52</v>
      </c>
      <c r="E482" s="112" t="s">
        <v>566</v>
      </c>
      <c r="F482" s="112"/>
      <c r="G482" s="112" t="s">
        <v>687</v>
      </c>
      <c r="H482" s="112" t="s">
        <v>132</v>
      </c>
      <c r="I482" s="113"/>
      <c r="J482" s="114"/>
      <c r="K482" s="110"/>
      <c r="L482" s="112"/>
      <c r="M482" s="112"/>
      <c r="N482" s="112"/>
      <c r="O482" s="115"/>
    </row>
    <row r="483" spans="1:15" x14ac:dyDescent="0.35">
      <c r="A483" s="116">
        <v>45551</v>
      </c>
      <c r="B483" s="117" t="s">
        <v>666</v>
      </c>
      <c r="C483" s="111" t="s">
        <v>1669</v>
      </c>
      <c r="D483" s="117" t="s">
        <v>52</v>
      </c>
      <c r="E483" s="118" t="s">
        <v>155</v>
      </c>
      <c r="F483" s="118"/>
      <c r="G483" s="118" t="s">
        <v>768</v>
      </c>
      <c r="H483" s="118" t="s">
        <v>395</v>
      </c>
      <c r="I483" s="119"/>
      <c r="J483" s="120"/>
      <c r="K483" s="116"/>
      <c r="L483" s="118"/>
      <c r="M483" s="118"/>
      <c r="N483" s="118"/>
      <c r="O483" s="121"/>
    </row>
    <row r="484" spans="1:15" x14ac:dyDescent="0.35">
      <c r="A484" s="110">
        <v>45551</v>
      </c>
      <c r="B484" s="111" t="s">
        <v>666</v>
      </c>
      <c r="C484" s="111" t="s">
        <v>1669</v>
      </c>
      <c r="D484" s="111" t="s">
        <v>52</v>
      </c>
      <c r="E484" s="112" t="s">
        <v>459</v>
      </c>
      <c r="F484" s="112"/>
      <c r="G484" s="112" t="s">
        <v>769</v>
      </c>
      <c r="H484" s="112" t="s">
        <v>395</v>
      </c>
      <c r="I484" s="113"/>
      <c r="J484" s="114"/>
      <c r="K484" s="110"/>
      <c r="L484" s="112"/>
      <c r="M484" s="112"/>
      <c r="N484" s="112"/>
      <c r="O484" s="115"/>
    </row>
    <row r="485" spans="1:15" x14ac:dyDescent="0.35">
      <c r="A485" s="116">
        <v>45551</v>
      </c>
      <c r="B485" s="117" t="s">
        <v>666</v>
      </c>
      <c r="C485" s="111" t="s">
        <v>1669</v>
      </c>
      <c r="D485" s="117" t="s">
        <v>66</v>
      </c>
      <c r="E485" s="118" t="s">
        <v>11</v>
      </c>
      <c r="F485" s="118"/>
      <c r="G485" s="118" t="s">
        <v>782</v>
      </c>
      <c r="H485" s="118" t="s">
        <v>3</v>
      </c>
      <c r="I485" s="119"/>
      <c r="J485" s="120"/>
      <c r="K485" s="116"/>
      <c r="L485" s="118"/>
      <c r="M485" s="118"/>
      <c r="N485" s="118"/>
      <c r="O485" s="121"/>
    </row>
    <row r="486" spans="1:15" x14ac:dyDescent="0.35">
      <c r="A486" s="110">
        <v>45552</v>
      </c>
      <c r="B486" s="111" t="s">
        <v>666</v>
      </c>
      <c r="C486" s="111" t="s">
        <v>1669</v>
      </c>
      <c r="D486" s="111" t="s">
        <v>66</v>
      </c>
      <c r="E486" s="112" t="s">
        <v>218</v>
      </c>
      <c r="F486" s="112">
        <v>4199267</v>
      </c>
      <c r="G486" s="112" t="s">
        <v>685</v>
      </c>
      <c r="H486" s="112" t="s">
        <v>395</v>
      </c>
      <c r="I486" s="113"/>
      <c r="J486" s="114"/>
      <c r="K486" s="110"/>
      <c r="L486" s="112"/>
      <c r="M486" s="112"/>
      <c r="N486" s="112"/>
      <c r="O486" s="115"/>
    </row>
    <row r="487" spans="1:15" x14ac:dyDescent="0.35">
      <c r="A487" s="116">
        <v>45553</v>
      </c>
      <c r="B487" s="117" t="s">
        <v>666</v>
      </c>
      <c r="C487" s="111" t="s">
        <v>1669</v>
      </c>
      <c r="D487" s="117" t="s">
        <v>52</v>
      </c>
      <c r="E487" s="118" t="s">
        <v>129</v>
      </c>
      <c r="F487" s="118"/>
      <c r="G487" s="118" t="s">
        <v>770</v>
      </c>
      <c r="H487" s="118" t="s">
        <v>395</v>
      </c>
      <c r="I487" s="119"/>
      <c r="J487" s="120"/>
      <c r="K487" s="116"/>
      <c r="L487" s="118"/>
      <c r="M487" s="118"/>
      <c r="N487" s="118"/>
      <c r="O487" s="121"/>
    </row>
    <row r="488" spans="1:15" x14ac:dyDescent="0.35">
      <c r="A488" s="110">
        <v>45553</v>
      </c>
      <c r="B488" s="111" t="s">
        <v>666</v>
      </c>
      <c r="C488" s="111" t="s">
        <v>1669</v>
      </c>
      <c r="D488" s="111" t="s">
        <v>66</v>
      </c>
      <c r="E488" s="112" t="s">
        <v>218</v>
      </c>
      <c r="F488" s="112"/>
      <c r="G488" s="112" t="s">
        <v>692</v>
      </c>
      <c r="H488" s="112" t="s">
        <v>3</v>
      </c>
      <c r="I488" s="113"/>
      <c r="J488" s="114"/>
      <c r="K488" s="110"/>
      <c r="L488" s="112"/>
      <c r="M488" s="112"/>
      <c r="N488" s="112"/>
      <c r="O488" s="115"/>
    </row>
    <row r="489" spans="1:15" x14ac:dyDescent="0.35">
      <c r="A489" s="116">
        <v>45553</v>
      </c>
      <c r="B489" s="117" t="s">
        <v>666</v>
      </c>
      <c r="C489" s="111" t="s">
        <v>1669</v>
      </c>
      <c r="D489" s="117" t="s">
        <v>66</v>
      </c>
      <c r="E489" s="118" t="s">
        <v>218</v>
      </c>
      <c r="F489" s="118"/>
      <c r="G489" s="118" t="s">
        <v>694</v>
      </c>
      <c r="H489" s="118" t="s">
        <v>477</v>
      </c>
      <c r="I489" s="119"/>
      <c r="J489" s="120"/>
      <c r="K489" s="116"/>
      <c r="L489" s="118"/>
      <c r="M489" s="118"/>
      <c r="N489" s="118"/>
      <c r="O489" s="121"/>
    </row>
    <row r="490" spans="1:15" x14ac:dyDescent="0.35">
      <c r="A490" s="110">
        <v>45553</v>
      </c>
      <c r="B490" s="111" t="s">
        <v>666</v>
      </c>
      <c r="C490" s="111" t="s">
        <v>1669</v>
      </c>
      <c r="D490" s="111" t="s">
        <v>66</v>
      </c>
      <c r="E490" s="112" t="s">
        <v>240</v>
      </c>
      <c r="F490" s="112"/>
      <c r="G490" s="112" t="s">
        <v>688</v>
      </c>
      <c r="H490" s="112" t="s">
        <v>132</v>
      </c>
      <c r="I490" s="113"/>
      <c r="J490" s="114"/>
      <c r="K490" s="110"/>
      <c r="L490" s="112"/>
      <c r="M490" s="112"/>
      <c r="N490" s="112"/>
      <c r="O490" s="115"/>
    </row>
    <row r="491" spans="1:15" x14ac:dyDescent="0.35">
      <c r="A491" s="116">
        <v>45554</v>
      </c>
      <c r="B491" s="117" t="s">
        <v>666</v>
      </c>
      <c r="C491" s="111" t="s">
        <v>1669</v>
      </c>
      <c r="D491" s="117" t="s">
        <v>52</v>
      </c>
      <c r="E491" s="118" t="s">
        <v>396</v>
      </c>
      <c r="F491" s="118"/>
      <c r="G491" s="118" t="s">
        <v>771</v>
      </c>
      <c r="H491" s="118" t="s">
        <v>307</v>
      </c>
      <c r="I491" s="119"/>
      <c r="J491" s="120"/>
      <c r="K491" s="116"/>
      <c r="L491" s="118"/>
      <c r="M491" s="118"/>
      <c r="N491" s="118"/>
      <c r="O491" s="121"/>
    </row>
    <row r="492" spans="1:15" x14ac:dyDescent="0.35">
      <c r="A492" s="110">
        <v>45554</v>
      </c>
      <c r="B492" s="111" t="s">
        <v>666</v>
      </c>
      <c r="C492" s="111" t="s">
        <v>1669</v>
      </c>
      <c r="D492" s="111" t="s">
        <v>66</v>
      </c>
      <c r="E492" s="112" t="s">
        <v>16</v>
      </c>
      <c r="F492" s="112"/>
      <c r="G492" s="112" t="s">
        <v>689</v>
      </c>
      <c r="H492" s="112" t="s">
        <v>132</v>
      </c>
      <c r="I492" s="113"/>
      <c r="J492" s="114"/>
      <c r="K492" s="110"/>
      <c r="L492" s="112"/>
      <c r="M492" s="112"/>
      <c r="N492" s="112"/>
      <c r="O492" s="115"/>
    </row>
    <row r="493" spans="1:15" x14ac:dyDescent="0.35">
      <c r="A493" s="116">
        <v>45554</v>
      </c>
      <c r="B493" s="117" t="s">
        <v>666</v>
      </c>
      <c r="C493" s="111" t="s">
        <v>1669</v>
      </c>
      <c r="D493" s="117" t="s">
        <v>66</v>
      </c>
      <c r="E493" s="118" t="s">
        <v>16</v>
      </c>
      <c r="F493" s="118"/>
      <c r="G493" s="118" t="s">
        <v>690</v>
      </c>
      <c r="H493" s="118" t="s">
        <v>132</v>
      </c>
      <c r="I493" s="119"/>
      <c r="J493" s="120"/>
      <c r="K493" s="116"/>
      <c r="L493" s="118"/>
      <c r="M493" s="118"/>
      <c r="N493" s="118"/>
      <c r="O493" s="121"/>
    </row>
    <row r="494" spans="1:15" x14ac:dyDescent="0.35">
      <c r="A494" s="110">
        <v>45558</v>
      </c>
      <c r="B494" s="111" t="s">
        <v>666</v>
      </c>
      <c r="C494" s="111" t="s">
        <v>1669</v>
      </c>
      <c r="D494" s="111" t="s">
        <v>52</v>
      </c>
      <c r="E494" s="112" t="s">
        <v>129</v>
      </c>
      <c r="F494" s="112"/>
      <c r="G494" s="112" t="s">
        <v>772</v>
      </c>
      <c r="H494" s="112" t="s">
        <v>307</v>
      </c>
      <c r="I494" s="113"/>
      <c r="J494" s="114"/>
      <c r="K494" s="110"/>
      <c r="L494" s="112"/>
      <c r="M494" s="112"/>
      <c r="N494" s="112"/>
      <c r="O494" s="115"/>
    </row>
    <row r="495" spans="1:15" x14ac:dyDescent="0.35">
      <c r="A495" s="116">
        <v>45560</v>
      </c>
      <c r="B495" s="117" t="s">
        <v>666</v>
      </c>
      <c r="C495" s="111" t="s">
        <v>1669</v>
      </c>
      <c r="D495" s="117" t="s">
        <v>66</v>
      </c>
      <c r="E495" s="118" t="s">
        <v>20</v>
      </c>
      <c r="F495" s="118"/>
      <c r="G495" s="118" t="s">
        <v>703</v>
      </c>
      <c r="H495" s="118" t="s">
        <v>477</v>
      </c>
      <c r="I495" s="119"/>
      <c r="J495" s="120"/>
      <c r="K495" s="116"/>
      <c r="L495" s="118"/>
      <c r="M495" s="118"/>
      <c r="N495" s="118"/>
      <c r="O495" s="121"/>
    </row>
    <row r="496" spans="1:15" x14ac:dyDescent="0.35">
      <c r="A496" s="110">
        <v>45560</v>
      </c>
      <c r="B496" s="111" t="s">
        <v>666</v>
      </c>
      <c r="C496" s="111" t="s">
        <v>1669</v>
      </c>
      <c r="D496" s="111" t="s">
        <v>66</v>
      </c>
      <c r="E496" s="112" t="s">
        <v>20</v>
      </c>
      <c r="F496" s="112"/>
      <c r="G496" s="112" t="s">
        <v>699</v>
      </c>
      <c r="H496" s="112" t="s">
        <v>477</v>
      </c>
      <c r="I496" s="113"/>
      <c r="J496" s="114"/>
      <c r="K496" s="110"/>
      <c r="L496" s="112"/>
      <c r="M496" s="112"/>
      <c r="N496" s="112"/>
      <c r="O496" s="115"/>
    </row>
    <row r="497" spans="1:15" x14ac:dyDescent="0.35">
      <c r="A497" s="116">
        <v>45560</v>
      </c>
      <c r="B497" s="117" t="s">
        <v>666</v>
      </c>
      <c r="C497" s="111" t="s">
        <v>1669</v>
      </c>
      <c r="D497" s="117" t="s">
        <v>66</v>
      </c>
      <c r="E497" s="118" t="s">
        <v>16</v>
      </c>
      <c r="F497" s="118"/>
      <c r="G497" s="118" t="s">
        <v>783</v>
      </c>
      <c r="H497" s="118" t="s">
        <v>148</v>
      </c>
      <c r="I497" s="119"/>
      <c r="J497" s="120"/>
      <c r="K497" s="116"/>
      <c r="L497" s="118"/>
      <c r="M497" s="118"/>
      <c r="N497" s="118"/>
      <c r="O497" s="121"/>
    </row>
    <row r="498" spans="1:15" x14ac:dyDescent="0.35">
      <c r="A498" s="110">
        <v>45562</v>
      </c>
      <c r="B498" s="111" t="s">
        <v>666</v>
      </c>
      <c r="C498" s="111" t="s">
        <v>1669</v>
      </c>
      <c r="D498" s="111" t="s">
        <v>52</v>
      </c>
      <c r="E498" s="112" t="s">
        <v>396</v>
      </c>
      <c r="F498" s="112"/>
      <c r="G498" s="112" t="s">
        <v>773</v>
      </c>
      <c r="H498" s="112" t="s">
        <v>395</v>
      </c>
      <c r="I498" s="113"/>
      <c r="J498" s="114"/>
      <c r="K498" s="110"/>
      <c r="L498" s="112"/>
      <c r="M498" s="112"/>
      <c r="N498" s="112"/>
      <c r="O498" s="115"/>
    </row>
    <row r="499" spans="1:15" x14ac:dyDescent="0.35">
      <c r="A499" s="116">
        <v>45565</v>
      </c>
      <c r="B499" s="117" t="s">
        <v>666</v>
      </c>
      <c r="C499" s="111" t="s">
        <v>1669</v>
      </c>
      <c r="D499" s="117" t="s">
        <v>52</v>
      </c>
      <c r="E499" s="118" t="s">
        <v>566</v>
      </c>
      <c r="F499" s="118"/>
      <c r="G499" s="118" t="s">
        <v>774</v>
      </c>
      <c r="H499" s="118" t="s">
        <v>477</v>
      </c>
      <c r="I499" s="119"/>
      <c r="J499" s="120"/>
      <c r="K499" s="116"/>
      <c r="L499" s="118"/>
      <c r="M499" s="118"/>
      <c r="N499" s="118"/>
      <c r="O499" s="121"/>
    </row>
    <row r="500" spans="1:15" x14ac:dyDescent="0.35">
      <c r="A500" s="110">
        <v>45565</v>
      </c>
      <c r="B500" s="111" t="s">
        <v>666</v>
      </c>
      <c r="C500" s="111" t="s">
        <v>1669</v>
      </c>
      <c r="D500" s="111" t="s">
        <v>66</v>
      </c>
      <c r="E500" s="112" t="s">
        <v>14</v>
      </c>
      <c r="F500" s="112"/>
      <c r="G500" s="112" t="s">
        <v>704</v>
      </c>
      <c r="H500" s="112" t="s">
        <v>148</v>
      </c>
      <c r="I500" s="113"/>
      <c r="J500" s="114"/>
      <c r="K500" s="110"/>
      <c r="L500" s="112"/>
      <c r="M500" s="112"/>
      <c r="N500" s="112"/>
      <c r="O500" s="115"/>
    </row>
    <row r="501" spans="1:15" x14ac:dyDescent="0.35">
      <c r="A501" s="116">
        <v>45565</v>
      </c>
      <c r="B501" s="117" t="s">
        <v>666</v>
      </c>
      <c r="C501" s="111" t="s">
        <v>1669</v>
      </c>
      <c r="D501" s="117" t="s">
        <v>66</v>
      </c>
      <c r="E501" s="118" t="s">
        <v>14</v>
      </c>
      <c r="F501" s="118"/>
      <c r="G501" s="118" t="s">
        <v>705</v>
      </c>
      <c r="H501" s="118" t="s">
        <v>455</v>
      </c>
      <c r="I501" s="119"/>
      <c r="J501" s="120"/>
      <c r="K501" s="116"/>
      <c r="L501" s="118"/>
      <c r="M501" s="118"/>
      <c r="N501" s="118"/>
      <c r="O501" s="121"/>
    </row>
    <row r="502" spans="1:15" x14ac:dyDescent="0.35">
      <c r="A502" s="110">
        <v>45565</v>
      </c>
      <c r="B502" s="111" t="s">
        <v>666</v>
      </c>
      <c r="C502" s="111" t="s">
        <v>1669</v>
      </c>
      <c r="D502" s="111" t="s">
        <v>66</v>
      </c>
      <c r="E502" s="112" t="s">
        <v>20</v>
      </c>
      <c r="F502" s="112"/>
      <c r="G502" s="112" t="s">
        <v>706</v>
      </c>
      <c r="H502" s="112" t="s">
        <v>307</v>
      </c>
      <c r="I502" s="113"/>
      <c r="J502" s="114"/>
      <c r="K502" s="110"/>
      <c r="L502" s="112"/>
      <c r="M502" s="112"/>
      <c r="N502" s="112"/>
      <c r="O502" s="115"/>
    </row>
    <row r="503" spans="1:15" x14ac:dyDescent="0.35">
      <c r="A503" s="116">
        <v>45565</v>
      </c>
      <c r="B503" s="117" t="s">
        <v>666</v>
      </c>
      <c r="C503" s="111" t="s">
        <v>1669</v>
      </c>
      <c r="D503" s="117" t="s">
        <v>66</v>
      </c>
      <c r="E503" s="118" t="s">
        <v>20</v>
      </c>
      <c r="F503" s="118"/>
      <c r="G503" s="118" t="s">
        <v>708</v>
      </c>
      <c r="H503" s="118" t="s">
        <v>709</v>
      </c>
      <c r="I503" s="119"/>
      <c r="J503" s="120"/>
      <c r="K503" s="116"/>
      <c r="L503" s="118"/>
      <c r="M503" s="118"/>
      <c r="N503" s="118"/>
      <c r="O503" s="121"/>
    </row>
    <row r="504" spans="1:15" x14ac:dyDescent="0.35">
      <c r="A504" s="110">
        <v>45567</v>
      </c>
      <c r="B504" s="111" t="s">
        <v>784</v>
      </c>
      <c r="C504" s="111" t="s">
        <v>1669</v>
      </c>
      <c r="D504" s="111" t="s">
        <v>52</v>
      </c>
      <c r="E504" s="112" t="s">
        <v>817</v>
      </c>
      <c r="F504" s="112">
        <v>4300430</v>
      </c>
      <c r="G504" s="112" t="s">
        <v>799</v>
      </c>
      <c r="H504" s="112" t="s">
        <v>395</v>
      </c>
      <c r="I504" s="113"/>
      <c r="J504" s="114"/>
      <c r="K504" s="110"/>
      <c r="L504" s="112"/>
      <c r="M504" s="112"/>
      <c r="N504" s="112"/>
      <c r="O504" s="115"/>
    </row>
    <row r="505" spans="1:15" x14ac:dyDescent="0.35">
      <c r="A505" s="116">
        <v>45567</v>
      </c>
      <c r="B505" s="117" t="s">
        <v>784</v>
      </c>
      <c r="C505" s="111" t="s">
        <v>1669</v>
      </c>
      <c r="D505" s="117" t="s">
        <v>52</v>
      </c>
      <c r="E505" s="118" t="s">
        <v>818</v>
      </c>
      <c r="F505" s="118"/>
      <c r="G505" s="118" t="s">
        <v>800</v>
      </c>
      <c r="H505" s="118" t="s">
        <v>307</v>
      </c>
      <c r="I505" s="119"/>
      <c r="J505" s="120"/>
      <c r="K505" s="116"/>
      <c r="L505" s="118"/>
      <c r="M505" s="118"/>
      <c r="N505" s="118"/>
      <c r="O505" s="121"/>
    </row>
    <row r="506" spans="1:15" x14ac:dyDescent="0.35">
      <c r="A506" s="110">
        <v>45568</v>
      </c>
      <c r="B506" s="111" t="s">
        <v>784</v>
      </c>
      <c r="C506" s="111" t="s">
        <v>1669</v>
      </c>
      <c r="D506" s="111" t="s">
        <v>52</v>
      </c>
      <c r="E506" s="112" t="s">
        <v>819</v>
      </c>
      <c r="F506" s="112" t="s">
        <v>821</v>
      </c>
      <c r="G506" s="112" t="s">
        <v>801</v>
      </c>
      <c r="H506" s="112" t="s">
        <v>3</v>
      </c>
      <c r="I506" s="113"/>
      <c r="J506" s="114"/>
      <c r="K506" s="110"/>
      <c r="L506" s="112"/>
      <c r="M506" s="112"/>
      <c r="N506" s="112"/>
      <c r="O506" s="115"/>
    </row>
    <row r="507" spans="1:15" x14ac:dyDescent="0.35">
      <c r="A507" s="116">
        <v>45572</v>
      </c>
      <c r="B507" s="117" t="s">
        <v>784</v>
      </c>
      <c r="C507" s="111" t="s">
        <v>1669</v>
      </c>
      <c r="D507" s="117" t="s">
        <v>52</v>
      </c>
      <c r="E507" s="118" t="s">
        <v>566</v>
      </c>
      <c r="F507" s="118">
        <v>4300658</v>
      </c>
      <c r="G507" s="118" t="s">
        <v>802</v>
      </c>
      <c r="H507" s="118" t="s">
        <v>395</v>
      </c>
      <c r="I507" s="119"/>
      <c r="J507" s="120"/>
      <c r="K507" s="116"/>
      <c r="L507" s="118"/>
      <c r="M507" s="118"/>
      <c r="N507" s="118"/>
      <c r="O507" s="121"/>
    </row>
    <row r="508" spans="1:15" x14ac:dyDescent="0.35">
      <c r="A508" s="110">
        <v>45573</v>
      </c>
      <c r="B508" s="111" t="s">
        <v>784</v>
      </c>
      <c r="C508" s="111" t="s">
        <v>1669</v>
      </c>
      <c r="D508" s="111" t="s">
        <v>52</v>
      </c>
      <c r="E508" s="112" t="s">
        <v>155</v>
      </c>
      <c r="F508" s="112">
        <v>4300558</v>
      </c>
      <c r="G508" s="112" t="s">
        <v>803</v>
      </c>
      <c r="H508" s="112" t="s">
        <v>395</v>
      </c>
      <c r="I508" s="113"/>
      <c r="J508" s="114"/>
      <c r="K508" s="110"/>
      <c r="L508" s="112"/>
      <c r="M508" s="112"/>
      <c r="N508" s="112"/>
      <c r="O508" s="115"/>
    </row>
    <row r="509" spans="1:15" x14ac:dyDescent="0.35">
      <c r="A509" s="116">
        <v>45573</v>
      </c>
      <c r="B509" s="117" t="s">
        <v>784</v>
      </c>
      <c r="C509" s="111" t="s">
        <v>1669</v>
      </c>
      <c r="D509" s="117" t="s">
        <v>66</v>
      </c>
      <c r="E509" s="118" t="s">
        <v>12</v>
      </c>
      <c r="F509" s="118"/>
      <c r="G509" s="118" t="s">
        <v>785</v>
      </c>
      <c r="H509" s="118" t="s">
        <v>148</v>
      </c>
      <c r="I509" s="119"/>
      <c r="J509" s="120"/>
      <c r="K509" s="116"/>
      <c r="L509" s="118"/>
      <c r="M509" s="118"/>
      <c r="N509" s="118"/>
      <c r="O509" s="121"/>
    </row>
    <row r="510" spans="1:15" x14ac:dyDescent="0.35">
      <c r="A510" s="110">
        <v>45574</v>
      </c>
      <c r="B510" s="111" t="s">
        <v>784</v>
      </c>
      <c r="C510" s="111" t="s">
        <v>1669</v>
      </c>
      <c r="D510" s="111" t="s">
        <v>66</v>
      </c>
      <c r="E510" s="112" t="s">
        <v>674</v>
      </c>
      <c r="F510" s="112">
        <v>35030</v>
      </c>
      <c r="G510" s="112" t="s">
        <v>868</v>
      </c>
      <c r="H510" s="112" t="s">
        <v>477</v>
      </c>
      <c r="I510" s="113"/>
      <c r="J510" s="114"/>
      <c r="K510" s="110"/>
      <c r="L510" s="112"/>
      <c r="M510" s="112"/>
      <c r="N510" s="112"/>
      <c r="O510" s="115"/>
    </row>
    <row r="511" spans="1:15" x14ac:dyDescent="0.35">
      <c r="A511" s="116">
        <v>45575</v>
      </c>
      <c r="B511" s="117" t="s">
        <v>784</v>
      </c>
      <c r="C511" s="111" t="s">
        <v>1669</v>
      </c>
      <c r="D511" s="117" t="s">
        <v>52</v>
      </c>
      <c r="E511" s="118" t="s">
        <v>155</v>
      </c>
      <c r="F511" s="118">
        <v>4300798</v>
      </c>
      <c r="G511" s="118" t="s">
        <v>804</v>
      </c>
      <c r="H511" s="118" t="s">
        <v>395</v>
      </c>
      <c r="I511" s="119"/>
      <c r="J511" s="120"/>
      <c r="K511" s="116"/>
      <c r="L511" s="118"/>
      <c r="M511" s="118"/>
      <c r="N511" s="118"/>
      <c r="O511" s="121"/>
    </row>
    <row r="512" spans="1:15" x14ac:dyDescent="0.35">
      <c r="A512" s="110">
        <v>45575</v>
      </c>
      <c r="B512" s="111" t="s">
        <v>784</v>
      </c>
      <c r="C512" s="111" t="s">
        <v>1669</v>
      </c>
      <c r="D512" s="111" t="s">
        <v>52</v>
      </c>
      <c r="E512" s="112" t="s">
        <v>566</v>
      </c>
      <c r="F512" s="112"/>
      <c r="G512" s="112" t="s">
        <v>805</v>
      </c>
      <c r="H512" s="112" t="s">
        <v>477</v>
      </c>
      <c r="I512" s="113"/>
      <c r="J512" s="114"/>
      <c r="K512" s="110"/>
      <c r="L512" s="112"/>
      <c r="M512" s="112"/>
      <c r="N512" s="112"/>
      <c r="O512" s="115"/>
    </row>
    <row r="513" spans="1:15" x14ac:dyDescent="0.35">
      <c r="A513" s="116">
        <v>45575</v>
      </c>
      <c r="B513" s="117" t="s">
        <v>784</v>
      </c>
      <c r="C513" s="111" t="s">
        <v>1669</v>
      </c>
      <c r="D513" s="117" t="s">
        <v>66</v>
      </c>
      <c r="E513" s="118"/>
      <c r="F513" s="118">
        <v>35039</v>
      </c>
      <c r="G513" s="118" t="s">
        <v>869</v>
      </c>
      <c r="H513" s="118" t="s">
        <v>477</v>
      </c>
      <c r="I513" s="119"/>
      <c r="J513" s="120"/>
      <c r="K513" s="116"/>
      <c r="L513" s="118"/>
      <c r="M513" s="118"/>
      <c r="N513" s="118"/>
      <c r="O513" s="121"/>
    </row>
    <row r="514" spans="1:15" x14ac:dyDescent="0.35">
      <c r="A514" s="110">
        <v>45575</v>
      </c>
      <c r="B514" s="111" t="s">
        <v>784</v>
      </c>
      <c r="C514" s="111" t="s">
        <v>1669</v>
      </c>
      <c r="D514" s="111" t="s">
        <v>66</v>
      </c>
      <c r="E514" s="112" t="s">
        <v>16</v>
      </c>
      <c r="F514" s="112">
        <v>35055</v>
      </c>
      <c r="G514" s="112" t="s">
        <v>870</v>
      </c>
      <c r="H514" s="112" t="s">
        <v>2</v>
      </c>
      <c r="I514" s="113"/>
      <c r="J514" s="114"/>
      <c r="K514" s="110"/>
      <c r="L514" s="112"/>
      <c r="M514" s="112"/>
      <c r="N514" s="112"/>
      <c r="O514" s="115"/>
    </row>
    <row r="515" spans="1:15" x14ac:dyDescent="0.35">
      <c r="A515" s="116">
        <v>45579</v>
      </c>
      <c r="B515" s="117" t="s">
        <v>784</v>
      </c>
      <c r="C515" s="111" t="s">
        <v>1669</v>
      </c>
      <c r="D515" s="117" t="s">
        <v>52</v>
      </c>
      <c r="E515" s="118" t="s">
        <v>820</v>
      </c>
      <c r="F515" s="118">
        <v>4301039</v>
      </c>
      <c r="G515" s="118" t="s">
        <v>806</v>
      </c>
      <c r="H515" s="118" t="s">
        <v>395</v>
      </c>
      <c r="I515" s="119"/>
      <c r="J515" s="120"/>
      <c r="K515" s="116"/>
      <c r="L515" s="118"/>
      <c r="M515" s="118"/>
      <c r="N515" s="118"/>
      <c r="O515" s="121"/>
    </row>
    <row r="516" spans="1:15" x14ac:dyDescent="0.35">
      <c r="A516" s="110">
        <v>45579</v>
      </c>
      <c r="B516" s="111" t="s">
        <v>784</v>
      </c>
      <c r="C516" s="111" t="s">
        <v>1669</v>
      </c>
      <c r="D516" s="111" t="s">
        <v>52</v>
      </c>
      <c r="E516" s="112" t="s">
        <v>396</v>
      </c>
      <c r="F516" s="112">
        <v>4300994</v>
      </c>
      <c r="G516" s="112" t="s">
        <v>807</v>
      </c>
      <c r="H516" s="112" t="s">
        <v>395</v>
      </c>
      <c r="I516" s="113"/>
      <c r="J516" s="114"/>
      <c r="K516" s="110"/>
      <c r="L516" s="112"/>
      <c r="M516" s="112"/>
      <c r="N516" s="112"/>
      <c r="O516" s="115"/>
    </row>
    <row r="517" spans="1:15" x14ac:dyDescent="0.35">
      <c r="A517" s="116">
        <v>45579</v>
      </c>
      <c r="B517" s="117" t="s">
        <v>784</v>
      </c>
      <c r="C517" s="111" t="s">
        <v>1669</v>
      </c>
      <c r="D517" s="117" t="s">
        <v>66</v>
      </c>
      <c r="E517" s="118" t="s">
        <v>790</v>
      </c>
      <c r="F517" s="118"/>
      <c r="G517" s="118" t="s">
        <v>791</v>
      </c>
      <c r="H517" s="118" t="s">
        <v>307</v>
      </c>
      <c r="I517" s="119"/>
      <c r="J517" s="120"/>
      <c r="K517" s="116"/>
      <c r="L517" s="118"/>
      <c r="M517" s="118"/>
      <c r="N517" s="118"/>
      <c r="O517" s="121"/>
    </row>
    <row r="518" spans="1:15" x14ac:dyDescent="0.35">
      <c r="A518" s="110">
        <v>45579</v>
      </c>
      <c r="B518" s="111" t="s">
        <v>784</v>
      </c>
      <c r="C518" s="111" t="s">
        <v>1669</v>
      </c>
      <c r="D518" s="111" t="s">
        <v>66</v>
      </c>
      <c r="E518" s="112" t="s">
        <v>158</v>
      </c>
      <c r="F518" s="112" t="s">
        <v>798</v>
      </c>
      <c r="G518" s="112" t="s">
        <v>794</v>
      </c>
      <c r="H518" s="112" t="s">
        <v>3</v>
      </c>
      <c r="I518" s="113"/>
      <c r="J518" s="114"/>
      <c r="K518" s="110"/>
      <c r="L518" s="112"/>
      <c r="M518" s="112"/>
      <c r="N518" s="112"/>
      <c r="O518" s="115"/>
    </row>
    <row r="519" spans="1:15" x14ac:dyDescent="0.35">
      <c r="A519" s="116">
        <v>45580</v>
      </c>
      <c r="B519" s="117" t="s">
        <v>784</v>
      </c>
      <c r="C519" s="111" t="s">
        <v>1669</v>
      </c>
      <c r="D519" s="117" t="s">
        <v>52</v>
      </c>
      <c r="E519" s="118" t="s">
        <v>583</v>
      </c>
      <c r="F519" s="118">
        <v>4301662</v>
      </c>
      <c r="G519" s="118" t="s">
        <v>808</v>
      </c>
      <c r="H519" s="118" t="s">
        <v>395</v>
      </c>
      <c r="I519" s="119"/>
      <c r="J519" s="120"/>
      <c r="K519" s="116"/>
      <c r="L519" s="118"/>
      <c r="M519" s="118"/>
      <c r="N519" s="118"/>
      <c r="O519" s="121"/>
    </row>
    <row r="520" spans="1:15" x14ac:dyDescent="0.35">
      <c r="A520" s="110">
        <v>45580</v>
      </c>
      <c r="B520" s="111" t="s">
        <v>784</v>
      </c>
      <c r="C520" s="111" t="s">
        <v>1669</v>
      </c>
      <c r="D520" s="111" t="s">
        <v>52</v>
      </c>
      <c r="E520" s="112" t="s">
        <v>459</v>
      </c>
      <c r="F520" s="112">
        <v>4301233</v>
      </c>
      <c r="G520" s="112" t="s">
        <v>809</v>
      </c>
      <c r="H520" s="112" t="s">
        <v>395</v>
      </c>
      <c r="I520" s="113"/>
      <c r="J520" s="114"/>
      <c r="K520" s="110"/>
      <c r="L520" s="112"/>
      <c r="M520" s="112"/>
      <c r="N520" s="112"/>
      <c r="O520" s="115"/>
    </row>
    <row r="521" spans="1:15" x14ac:dyDescent="0.35">
      <c r="A521" s="116">
        <v>45580</v>
      </c>
      <c r="B521" s="117" t="s">
        <v>666</v>
      </c>
      <c r="C521" s="111" t="s">
        <v>1669</v>
      </c>
      <c r="D521" s="117" t="s">
        <v>66</v>
      </c>
      <c r="E521" s="118" t="s">
        <v>14</v>
      </c>
      <c r="F521" s="118"/>
      <c r="G521" s="118" t="s">
        <v>786</v>
      </c>
      <c r="H521" s="118" t="s">
        <v>455</v>
      </c>
      <c r="I521" s="119"/>
      <c r="J521" s="120"/>
      <c r="K521" s="116"/>
      <c r="L521" s="118"/>
      <c r="M521" s="118"/>
      <c r="N521" s="118"/>
      <c r="O521" s="121"/>
    </row>
    <row r="522" spans="1:15" x14ac:dyDescent="0.35">
      <c r="A522" s="110">
        <v>45580</v>
      </c>
      <c r="B522" s="111" t="s">
        <v>784</v>
      </c>
      <c r="C522" s="111" t="s">
        <v>1669</v>
      </c>
      <c r="D522" s="111" t="s">
        <v>66</v>
      </c>
      <c r="E522" s="112" t="s">
        <v>240</v>
      </c>
      <c r="F522" s="112" t="s">
        <v>797</v>
      </c>
      <c r="G522" s="112" t="s">
        <v>241</v>
      </c>
      <c r="H522" s="112" t="s">
        <v>3</v>
      </c>
      <c r="I522" s="113"/>
      <c r="J522" s="114"/>
      <c r="K522" s="110"/>
      <c r="L522" s="112"/>
      <c r="M522" s="112"/>
      <c r="N522" s="112"/>
      <c r="O522" s="115"/>
    </row>
    <row r="523" spans="1:15" x14ac:dyDescent="0.35">
      <c r="A523" s="116">
        <v>45581</v>
      </c>
      <c r="B523" s="117" t="s">
        <v>784</v>
      </c>
      <c r="C523" s="111" t="s">
        <v>1669</v>
      </c>
      <c r="D523" s="117" t="s">
        <v>52</v>
      </c>
      <c r="E523" s="118" t="s">
        <v>155</v>
      </c>
      <c r="F523" s="118">
        <v>4301148</v>
      </c>
      <c r="G523" s="118" t="s">
        <v>810</v>
      </c>
      <c r="H523" s="118" t="s">
        <v>395</v>
      </c>
      <c r="I523" s="119"/>
      <c r="J523" s="120"/>
      <c r="K523" s="116"/>
      <c r="L523" s="118"/>
      <c r="M523" s="118"/>
      <c r="N523" s="118"/>
      <c r="O523" s="121"/>
    </row>
    <row r="524" spans="1:15" x14ac:dyDescent="0.35">
      <c r="A524" s="110">
        <v>45581</v>
      </c>
      <c r="B524" s="111" t="s">
        <v>784</v>
      </c>
      <c r="C524" s="111" t="s">
        <v>1669</v>
      </c>
      <c r="D524" s="111" t="s">
        <v>66</v>
      </c>
      <c r="E524" s="112" t="s">
        <v>20</v>
      </c>
      <c r="F524" s="112"/>
      <c r="G524" s="112" t="s">
        <v>789</v>
      </c>
      <c r="H524" s="112" t="s">
        <v>307</v>
      </c>
      <c r="I524" s="113"/>
      <c r="J524" s="114"/>
      <c r="K524" s="110"/>
      <c r="L524" s="112"/>
      <c r="M524" s="112"/>
      <c r="N524" s="112"/>
      <c r="O524" s="115"/>
    </row>
    <row r="525" spans="1:15" x14ac:dyDescent="0.35">
      <c r="A525" s="116">
        <v>45582</v>
      </c>
      <c r="B525" s="117" t="s">
        <v>784</v>
      </c>
      <c r="C525" s="111" t="s">
        <v>1669</v>
      </c>
      <c r="D525" s="117" t="s">
        <v>66</v>
      </c>
      <c r="E525" s="118" t="s">
        <v>790</v>
      </c>
      <c r="F525" s="118" t="s">
        <v>796</v>
      </c>
      <c r="G525" s="118" t="s">
        <v>793</v>
      </c>
      <c r="H525" s="118" t="s">
        <v>3</v>
      </c>
      <c r="I525" s="119"/>
      <c r="J525" s="120"/>
      <c r="K525" s="116"/>
      <c r="L525" s="118"/>
      <c r="M525" s="118"/>
      <c r="N525" s="118"/>
      <c r="O525" s="121"/>
    </row>
    <row r="526" spans="1:15" x14ac:dyDescent="0.35">
      <c r="A526" s="110">
        <v>45583</v>
      </c>
      <c r="B526" s="111" t="s">
        <v>784</v>
      </c>
      <c r="C526" s="111" t="s">
        <v>1669</v>
      </c>
      <c r="D526" s="111" t="s">
        <v>52</v>
      </c>
      <c r="E526" s="112" t="s">
        <v>155</v>
      </c>
      <c r="F526" s="112">
        <v>4301422</v>
      </c>
      <c r="G526" s="112" t="s">
        <v>811</v>
      </c>
      <c r="H526" s="112" t="s">
        <v>395</v>
      </c>
      <c r="I526" s="113"/>
      <c r="J526" s="114"/>
      <c r="K526" s="110"/>
      <c r="L526" s="112"/>
      <c r="M526" s="112"/>
      <c r="N526" s="112"/>
      <c r="O526" s="115"/>
    </row>
    <row r="527" spans="1:15" x14ac:dyDescent="0.35">
      <c r="A527" s="116">
        <v>45583</v>
      </c>
      <c r="B527" s="117" t="s">
        <v>784</v>
      </c>
      <c r="C527" s="111" t="s">
        <v>1669</v>
      </c>
      <c r="D527" s="117" t="s">
        <v>66</v>
      </c>
      <c r="E527" s="118" t="s">
        <v>11</v>
      </c>
      <c r="F527" s="118"/>
      <c r="G527" s="118" t="s">
        <v>787</v>
      </c>
      <c r="H527" s="118" t="s">
        <v>148</v>
      </c>
      <c r="I527" s="119"/>
      <c r="J527" s="120"/>
      <c r="K527" s="116"/>
      <c r="L527" s="118"/>
      <c r="M527" s="118"/>
      <c r="N527" s="118"/>
      <c r="O527" s="121"/>
    </row>
    <row r="528" spans="1:15" x14ac:dyDescent="0.35">
      <c r="A528" s="110">
        <v>45586</v>
      </c>
      <c r="B528" s="111" t="s">
        <v>784</v>
      </c>
      <c r="C528" s="111" t="s">
        <v>1669</v>
      </c>
      <c r="D528" s="111" t="s">
        <v>52</v>
      </c>
      <c r="E528" s="112" t="s">
        <v>483</v>
      </c>
      <c r="F528" s="112">
        <v>4301465</v>
      </c>
      <c r="G528" s="112" t="s">
        <v>812</v>
      </c>
      <c r="H528" s="112" t="s">
        <v>395</v>
      </c>
      <c r="I528" s="113"/>
      <c r="J528" s="114"/>
      <c r="K528" s="110"/>
      <c r="L528" s="112"/>
      <c r="M528" s="112"/>
      <c r="N528" s="112"/>
      <c r="O528" s="115"/>
    </row>
    <row r="529" spans="1:15" x14ac:dyDescent="0.35">
      <c r="A529" s="116">
        <v>45587</v>
      </c>
      <c r="B529" s="117" t="s">
        <v>784</v>
      </c>
      <c r="C529" s="111" t="s">
        <v>1669</v>
      </c>
      <c r="D529" s="117" t="s">
        <v>52</v>
      </c>
      <c r="E529" s="118" t="s">
        <v>459</v>
      </c>
      <c r="F529" s="118">
        <v>4301494</v>
      </c>
      <c r="G529" s="118" t="s">
        <v>813</v>
      </c>
      <c r="H529" s="118" t="s">
        <v>395</v>
      </c>
      <c r="I529" s="119"/>
      <c r="J529" s="120"/>
      <c r="K529" s="116"/>
      <c r="L529" s="118"/>
      <c r="M529" s="118"/>
      <c r="N529" s="118"/>
      <c r="O529" s="121"/>
    </row>
    <row r="530" spans="1:15" x14ac:dyDescent="0.35">
      <c r="A530" s="110">
        <v>45587</v>
      </c>
      <c r="B530" s="111" t="s">
        <v>784</v>
      </c>
      <c r="C530" s="111" t="s">
        <v>1669</v>
      </c>
      <c r="D530" s="111" t="s">
        <v>66</v>
      </c>
      <c r="E530" s="112" t="s">
        <v>21</v>
      </c>
      <c r="F530" s="112" t="s">
        <v>795</v>
      </c>
      <c r="G530" s="112" t="s">
        <v>464</v>
      </c>
      <c r="H530" s="112" t="s">
        <v>3</v>
      </c>
      <c r="I530" s="113"/>
      <c r="J530" s="114"/>
      <c r="K530" s="110"/>
      <c r="L530" s="112"/>
      <c r="M530" s="112"/>
      <c r="N530" s="112"/>
      <c r="O530" s="115"/>
    </row>
    <row r="531" spans="1:15" x14ac:dyDescent="0.35">
      <c r="A531" s="116">
        <v>45588</v>
      </c>
      <c r="B531" s="117" t="s">
        <v>784</v>
      </c>
      <c r="C531" s="111" t="s">
        <v>1669</v>
      </c>
      <c r="D531" s="117" t="s">
        <v>52</v>
      </c>
      <c r="E531" s="118" t="s">
        <v>487</v>
      </c>
      <c r="F531" s="118" t="s">
        <v>822</v>
      </c>
      <c r="G531" s="118" t="s">
        <v>814</v>
      </c>
      <c r="H531" s="118" t="s">
        <v>3</v>
      </c>
      <c r="I531" s="119"/>
      <c r="J531" s="120"/>
      <c r="K531" s="116"/>
      <c r="L531" s="118"/>
      <c r="M531" s="118"/>
      <c r="N531" s="118"/>
      <c r="O531" s="121"/>
    </row>
    <row r="532" spans="1:15" x14ac:dyDescent="0.35">
      <c r="A532" s="110">
        <v>45588</v>
      </c>
      <c r="B532" s="111" t="s">
        <v>784</v>
      </c>
      <c r="C532" s="111" t="s">
        <v>1669</v>
      </c>
      <c r="D532" s="111" t="s">
        <v>52</v>
      </c>
      <c r="E532" s="112" t="s">
        <v>396</v>
      </c>
      <c r="F532" s="112">
        <v>4301632</v>
      </c>
      <c r="G532" s="112" t="s">
        <v>815</v>
      </c>
      <c r="H532" s="112" t="s">
        <v>395</v>
      </c>
      <c r="I532" s="113"/>
      <c r="J532" s="114"/>
      <c r="K532" s="110"/>
      <c r="L532" s="112"/>
      <c r="M532" s="112"/>
      <c r="N532" s="112"/>
      <c r="O532" s="115"/>
    </row>
    <row r="533" spans="1:15" x14ac:dyDescent="0.35">
      <c r="A533" s="116">
        <v>45588</v>
      </c>
      <c r="B533" s="117" t="s">
        <v>784</v>
      </c>
      <c r="C533" s="111" t="s">
        <v>1669</v>
      </c>
      <c r="D533" s="117" t="s">
        <v>66</v>
      </c>
      <c r="E533" s="118" t="s">
        <v>14</v>
      </c>
      <c r="F533" s="118"/>
      <c r="G533" s="118" t="s">
        <v>871</v>
      </c>
      <c r="H533" s="118" t="s">
        <v>307</v>
      </c>
      <c r="I533" s="119"/>
      <c r="J533" s="120"/>
      <c r="K533" s="116"/>
      <c r="L533" s="118"/>
      <c r="M533" s="118"/>
      <c r="N533" s="118"/>
      <c r="O533" s="121"/>
    </row>
    <row r="534" spans="1:15" x14ac:dyDescent="0.35">
      <c r="A534" s="110">
        <v>45589</v>
      </c>
      <c r="B534" s="111" t="s">
        <v>784</v>
      </c>
      <c r="C534" s="111" t="s">
        <v>1669</v>
      </c>
      <c r="D534" s="111" t="s">
        <v>66</v>
      </c>
      <c r="E534" s="112" t="s">
        <v>14</v>
      </c>
      <c r="F534" s="112">
        <v>4301753</v>
      </c>
      <c r="G534" s="112" t="s">
        <v>864</v>
      </c>
      <c r="H534" s="112" t="s">
        <v>395</v>
      </c>
      <c r="I534" s="113"/>
      <c r="J534" s="114"/>
      <c r="K534" s="110"/>
      <c r="L534" s="112"/>
      <c r="M534" s="112"/>
      <c r="N534" s="112"/>
      <c r="O534" s="115"/>
    </row>
    <row r="535" spans="1:15" x14ac:dyDescent="0.35">
      <c r="A535" s="116">
        <v>45589</v>
      </c>
      <c r="B535" s="117" t="s">
        <v>784</v>
      </c>
      <c r="C535" s="111" t="s">
        <v>1669</v>
      </c>
      <c r="D535" s="117" t="s">
        <v>66</v>
      </c>
      <c r="E535" s="118" t="s">
        <v>16</v>
      </c>
      <c r="F535" s="118"/>
      <c r="G535" s="118" t="s">
        <v>872</v>
      </c>
      <c r="H535" s="118" t="s">
        <v>3</v>
      </c>
      <c r="I535" s="119"/>
      <c r="J535" s="120"/>
      <c r="K535" s="116"/>
      <c r="L535" s="118"/>
      <c r="M535" s="118"/>
      <c r="N535" s="118"/>
      <c r="O535" s="121"/>
    </row>
    <row r="536" spans="1:15" x14ac:dyDescent="0.35">
      <c r="A536" s="110">
        <v>45590</v>
      </c>
      <c r="B536" s="111" t="s">
        <v>784</v>
      </c>
      <c r="C536" s="111" t="s">
        <v>1669</v>
      </c>
      <c r="D536" s="111" t="s">
        <v>66</v>
      </c>
      <c r="E536" s="112" t="s">
        <v>145</v>
      </c>
      <c r="F536" s="112"/>
      <c r="G536" s="112" t="s">
        <v>873</v>
      </c>
      <c r="H536" s="112" t="s">
        <v>5</v>
      </c>
      <c r="I536" s="113"/>
      <c r="J536" s="114"/>
      <c r="K536" s="110"/>
      <c r="L536" s="112"/>
      <c r="M536" s="112"/>
      <c r="N536" s="112"/>
      <c r="O536" s="115"/>
    </row>
    <row r="537" spans="1:15" x14ac:dyDescent="0.35">
      <c r="A537" s="116">
        <v>45590</v>
      </c>
      <c r="B537" s="117" t="s">
        <v>784</v>
      </c>
      <c r="C537" s="111" t="s">
        <v>1669</v>
      </c>
      <c r="D537" s="117" t="s">
        <v>66</v>
      </c>
      <c r="E537" s="118" t="s">
        <v>790</v>
      </c>
      <c r="F537" s="118">
        <v>35175</v>
      </c>
      <c r="G537" s="118" t="s">
        <v>874</v>
      </c>
      <c r="H537" s="118" t="s">
        <v>477</v>
      </c>
      <c r="I537" s="119"/>
      <c r="J537" s="120"/>
      <c r="K537" s="116"/>
      <c r="L537" s="118"/>
      <c r="M537" s="118"/>
      <c r="N537" s="118"/>
      <c r="O537" s="121"/>
    </row>
    <row r="538" spans="1:15" x14ac:dyDescent="0.35">
      <c r="A538" s="110">
        <v>45593</v>
      </c>
      <c r="B538" s="111" t="s">
        <v>784</v>
      </c>
      <c r="C538" s="111" t="s">
        <v>1669</v>
      </c>
      <c r="D538" s="111" t="s">
        <v>66</v>
      </c>
      <c r="E538" s="112" t="s">
        <v>14</v>
      </c>
      <c r="F538" s="112">
        <v>35183</v>
      </c>
      <c r="G538" s="112" t="s">
        <v>875</v>
      </c>
      <c r="H538" s="112" t="s">
        <v>477</v>
      </c>
      <c r="I538" s="113"/>
      <c r="J538" s="114"/>
      <c r="K538" s="110"/>
      <c r="L538" s="112"/>
      <c r="M538" s="112"/>
      <c r="N538" s="112"/>
      <c r="O538" s="115"/>
    </row>
    <row r="539" spans="1:15" x14ac:dyDescent="0.35">
      <c r="A539" s="116">
        <v>45593</v>
      </c>
      <c r="B539" s="117" t="s">
        <v>784</v>
      </c>
      <c r="C539" s="111" t="s">
        <v>1669</v>
      </c>
      <c r="D539" s="117" t="s">
        <v>66</v>
      </c>
      <c r="E539" s="118" t="s">
        <v>16</v>
      </c>
      <c r="F539" s="118"/>
      <c r="G539" s="118" t="s">
        <v>872</v>
      </c>
      <c r="H539" s="118" t="s">
        <v>148</v>
      </c>
      <c r="I539" s="119"/>
      <c r="J539" s="120"/>
      <c r="K539" s="116"/>
      <c r="L539" s="118"/>
      <c r="M539" s="118"/>
      <c r="N539" s="118"/>
      <c r="O539" s="121"/>
    </row>
    <row r="540" spans="1:15" x14ac:dyDescent="0.35">
      <c r="A540" s="110">
        <v>45594</v>
      </c>
      <c r="B540" s="111" t="s">
        <v>784</v>
      </c>
      <c r="C540" s="111" t="s">
        <v>1669</v>
      </c>
      <c r="D540" s="111" t="s">
        <v>52</v>
      </c>
      <c r="E540" s="112" t="s">
        <v>155</v>
      </c>
      <c r="F540" s="112">
        <v>4301820</v>
      </c>
      <c r="G540" s="112" t="s">
        <v>816</v>
      </c>
      <c r="H540" s="112" t="s">
        <v>395</v>
      </c>
      <c r="I540" s="113"/>
      <c r="J540" s="114"/>
      <c r="K540" s="110"/>
      <c r="L540" s="112"/>
      <c r="M540" s="112"/>
      <c r="N540" s="112"/>
      <c r="O540" s="115"/>
    </row>
    <row r="541" spans="1:15" x14ac:dyDescent="0.35">
      <c r="A541" s="116">
        <v>45594</v>
      </c>
      <c r="B541" s="117" t="s">
        <v>784</v>
      </c>
      <c r="C541" s="111" t="s">
        <v>1669</v>
      </c>
      <c r="D541" s="117" t="s">
        <v>66</v>
      </c>
      <c r="E541" s="118" t="s">
        <v>16</v>
      </c>
      <c r="F541" s="118"/>
      <c r="G541" s="118" t="s">
        <v>499</v>
      </c>
      <c r="H541" s="118" t="s">
        <v>407</v>
      </c>
      <c r="I541" s="119"/>
      <c r="J541" s="120"/>
      <c r="K541" s="116"/>
      <c r="L541" s="118"/>
      <c r="M541" s="118"/>
      <c r="N541" s="118"/>
      <c r="O541" s="121"/>
    </row>
    <row r="542" spans="1:15" x14ac:dyDescent="0.35">
      <c r="A542" s="110">
        <v>45594</v>
      </c>
      <c r="B542" s="111" t="s">
        <v>784</v>
      </c>
      <c r="C542" s="111" t="s">
        <v>1669</v>
      </c>
      <c r="D542" s="111" t="s">
        <v>66</v>
      </c>
      <c r="E542" s="112" t="s">
        <v>240</v>
      </c>
      <c r="F542" s="112">
        <v>35201</v>
      </c>
      <c r="G542" s="112" t="s">
        <v>876</v>
      </c>
      <c r="H542" s="112" t="s">
        <v>477</v>
      </c>
      <c r="I542" s="113"/>
      <c r="J542" s="114"/>
      <c r="K542" s="110"/>
      <c r="L542" s="112"/>
      <c r="M542" s="112"/>
      <c r="N542" s="112"/>
      <c r="O542" s="115"/>
    </row>
    <row r="543" spans="1:15" x14ac:dyDescent="0.35">
      <c r="A543" s="116">
        <v>45594</v>
      </c>
      <c r="B543" s="117" t="s">
        <v>784</v>
      </c>
      <c r="C543" s="111" t="s">
        <v>1669</v>
      </c>
      <c r="D543" s="117" t="s">
        <v>66</v>
      </c>
      <c r="E543" s="118" t="s">
        <v>240</v>
      </c>
      <c r="F543" s="118">
        <v>35200</v>
      </c>
      <c r="G543" s="118" t="s">
        <v>877</v>
      </c>
      <c r="H543" s="118" t="s">
        <v>477</v>
      </c>
      <c r="I543" s="119"/>
      <c r="J543" s="120"/>
      <c r="K543" s="116"/>
      <c r="L543" s="118"/>
      <c r="M543" s="118"/>
      <c r="N543" s="118"/>
      <c r="O543" s="121"/>
    </row>
    <row r="544" spans="1:15" x14ac:dyDescent="0.35">
      <c r="A544" s="110">
        <v>45595</v>
      </c>
      <c r="B544" s="111" t="s">
        <v>784</v>
      </c>
      <c r="C544" s="111" t="s">
        <v>1669</v>
      </c>
      <c r="D544" s="111" t="s">
        <v>66</v>
      </c>
      <c r="E544" s="112" t="s">
        <v>12</v>
      </c>
      <c r="F544" s="112"/>
      <c r="G544" s="112" t="s">
        <v>878</v>
      </c>
      <c r="H544" s="112" t="s">
        <v>5</v>
      </c>
      <c r="I544" s="113"/>
      <c r="J544" s="114"/>
      <c r="K544" s="110"/>
      <c r="L544" s="112"/>
      <c r="M544" s="112"/>
      <c r="N544" s="112"/>
      <c r="O544" s="115"/>
    </row>
    <row r="545" spans="1:15" x14ac:dyDescent="0.35">
      <c r="A545" s="116">
        <v>45596</v>
      </c>
      <c r="B545" s="117" t="s">
        <v>784</v>
      </c>
      <c r="C545" s="111" t="s">
        <v>1669</v>
      </c>
      <c r="D545" s="117" t="s">
        <v>66</v>
      </c>
      <c r="E545" s="118" t="s">
        <v>674</v>
      </c>
      <c r="F545" s="118">
        <v>148972</v>
      </c>
      <c r="G545" s="118" t="s">
        <v>879</v>
      </c>
      <c r="H545" s="118" t="s">
        <v>407</v>
      </c>
      <c r="I545" s="119"/>
      <c r="J545" s="120"/>
      <c r="K545" s="116"/>
      <c r="L545" s="118"/>
      <c r="M545" s="118"/>
      <c r="N545" s="118"/>
      <c r="O545" s="121"/>
    </row>
    <row r="546" spans="1:15" x14ac:dyDescent="0.35">
      <c r="A546" s="110">
        <v>45596</v>
      </c>
      <c r="B546" s="111" t="s">
        <v>784</v>
      </c>
      <c r="C546" s="111" t="s">
        <v>1669</v>
      </c>
      <c r="D546" s="111" t="s">
        <v>66</v>
      </c>
      <c r="E546" s="112" t="s">
        <v>674</v>
      </c>
      <c r="F546" s="112">
        <v>148973</v>
      </c>
      <c r="G546" s="112" t="s">
        <v>880</v>
      </c>
      <c r="H546" s="112" t="s">
        <v>407</v>
      </c>
      <c r="I546" s="113"/>
      <c r="J546" s="114"/>
      <c r="K546" s="110"/>
      <c r="L546" s="112"/>
      <c r="M546" s="112"/>
      <c r="N546" s="112"/>
      <c r="O546" s="115"/>
    </row>
    <row r="547" spans="1:15" x14ac:dyDescent="0.35">
      <c r="A547" s="116">
        <v>45600</v>
      </c>
      <c r="B547" s="117" t="s">
        <v>855</v>
      </c>
      <c r="C547" s="111" t="s">
        <v>1669</v>
      </c>
      <c r="D547" s="117" t="s">
        <v>66</v>
      </c>
      <c r="E547" s="118" t="s">
        <v>933</v>
      </c>
      <c r="F547" s="118"/>
      <c r="G547" s="118" t="s">
        <v>934</v>
      </c>
      <c r="H547" s="118" t="s">
        <v>4</v>
      </c>
      <c r="I547" s="119"/>
      <c r="J547" s="120"/>
      <c r="K547" s="116"/>
      <c r="L547" s="118"/>
      <c r="M547" s="118"/>
      <c r="N547" s="118"/>
      <c r="O547" s="121"/>
    </row>
    <row r="548" spans="1:15" x14ac:dyDescent="0.35">
      <c r="A548" s="110">
        <v>45601</v>
      </c>
      <c r="B548" s="111" t="s">
        <v>855</v>
      </c>
      <c r="C548" s="111" t="s">
        <v>1669</v>
      </c>
      <c r="D548" s="111" t="s">
        <v>52</v>
      </c>
      <c r="E548" s="112" t="s">
        <v>396</v>
      </c>
      <c r="F548" s="112">
        <v>4302122</v>
      </c>
      <c r="G548" s="112" t="s">
        <v>826</v>
      </c>
      <c r="H548" s="112" t="s">
        <v>395</v>
      </c>
      <c r="I548" s="113"/>
      <c r="J548" s="114"/>
      <c r="K548" s="110"/>
      <c r="L548" s="112"/>
      <c r="M548" s="112"/>
      <c r="N548" s="112"/>
      <c r="O548" s="115"/>
    </row>
    <row r="549" spans="1:15" x14ac:dyDescent="0.35">
      <c r="A549" s="116">
        <v>45602</v>
      </c>
      <c r="B549" s="117" t="s">
        <v>855</v>
      </c>
      <c r="C549" s="111" t="s">
        <v>1669</v>
      </c>
      <c r="D549" s="117" t="s">
        <v>52</v>
      </c>
      <c r="E549" s="118" t="s">
        <v>396</v>
      </c>
      <c r="F549" s="118">
        <v>4302116</v>
      </c>
      <c r="G549" s="118" t="s">
        <v>827</v>
      </c>
      <c r="H549" s="118" t="s">
        <v>395</v>
      </c>
      <c r="I549" s="119"/>
      <c r="J549" s="120"/>
      <c r="K549" s="116"/>
      <c r="L549" s="118"/>
      <c r="M549" s="118"/>
      <c r="N549" s="118"/>
      <c r="O549" s="121"/>
    </row>
    <row r="550" spans="1:15" x14ac:dyDescent="0.35">
      <c r="A550" s="110">
        <v>45603</v>
      </c>
      <c r="B550" s="111" t="s">
        <v>855</v>
      </c>
      <c r="C550" s="111" t="s">
        <v>1669</v>
      </c>
      <c r="D550" s="111" t="s">
        <v>52</v>
      </c>
      <c r="E550" s="112" t="s">
        <v>860</v>
      </c>
      <c r="F550" s="112">
        <v>4302551</v>
      </c>
      <c r="G550" s="112" t="s">
        <v>828</v>
      </c>
      <c r="H550" s="112" t="s">
        <v>395</v>
      </c>
      <c r="I550" s="113"/>
      <c r="J550" s="114"/>
      <c r="K550" s="110"/>
      <c r="L550" s="112"/>
      <c r="M550" s="112"/>
      <c r="N550" s="112"/>
      <c r="O550" s="115"/>
    </row>
    <row r="551" spans="1:15" x14ac:dyDescent="0.35">
      <c r="A551" s="116">
        <v>45604</v>
      </c>
      <c r="B551" s="117" t="s">
        <v>855</v>
      </c>
      <c r="C551" s="111" t="s">
        <v>1669</v>
      </c>
      <c r="D551" s="117" t="s">
        <v>52</v>
      </c>
      <c r="E551" s="118" t="s">
        <v>459</v>
      </c>
      <c r="F551" s="118">
        <v>4302555</v>
      </c>
      <c r="G551" s="118" t="s">
        <v>829</v>
      </c>
      <c r="H551" s="118" t="s">
        <v>395</v>
      </c>
      <c r="I551" s="119"/>
      <c r="J551" s="120"/>
      <c r="K551" s="116"/>
      <c r="L551" s="118"/>
      <c r="M551" s="118"/>
      <c r="N551" s="118"/>
      <c r="O551" s="121"/>
    </row>
    <row r="552" spans="1:15" x14ac:dyDescent="0.35">
      <c r="A552" s="110">
        <v>45604</v>
      </c>
      <c r="B552" s="111" t="s">
        <v>855</v>
      </c>
      <c r="C552" s="111" t="s">
        <v>1669</v>
      </c>
      <c r="D552" s="111" t="s">
        <v>52</v>
      </c>
      <c r="E552" s="112" t="s">
        <v>491</v>
      </c>
      <c r="F552" s="112">
        <v>4302687</v>
      </c>
      <c r="G552" s="112" t="s">
        <v>830</v>
      </c>
      <c r="H552" s="112" t="s">
        <v>395</v>
      </c>
      <c r="I552" s="113"/>
      <c r="J552" s="114"/>
      <c r="K552" s="110"/>
      <c r="L552" s="112"/>
      <c r="M552" s="112"/>
      <c r="N552" s="112"/>
      <c r="O552" s="115"/>
    </row>
    <row r="553" spans="1:15" x14ac:dyDescent="0.35">
      <c r="A553" s="116">
        <v>45604</v>
      </c>
      <c r="B553" s="117" t="s">
        <v>855</v>
      </c>
      <c r="C553" s="111" t="s">
        <v>1669</v>
      </c>
      <c r="D553" s="117" t="s">
        <v>52</v>
      </c>
      <c r="E553" s="118" t="s">
        <v>155</v>
      </c>
      <c r="F553" s="118">
        <v>4302647</v>
      </c>
      <c r="G553" s="118" t="s">
        <v>831</v>
      </c>
      <c r="H553" s="118" t="s">
        <v>395</v>
      </c>
      <c r="I553" s="119"/>
      <c r="J553" s="120"/>
      <c r="K553" s="116"/>
      <c r="L553" s="118"/>
      <c r="M553" s="118"/>
      <c r="N553" s="118"/>
      <c r="O553" s="121"/>
    </row>
    <row r="554" spans="1:15" x14ac:dyDescent="0.35">
      <c r="A554" s="110">
        <v>45604</v>
      </c>
      <c r="B554" s="111" t="s">
        <v>855</v>
      </c>
      <c r="C554" s="111" t="s">
        <v>1669</v>
      </c>
      <c r="D554" s="111" t="s">
        <v>52</v>
      </c>
      <c r="E554" s="112" t="s">
        <v>861</v>
      </c>
      <c r="F554" s="112"/>
      <c r="G554" s="112" t="s">
        <v>832</v>
      </c>
      <c r="H554" s="112" t="s">
        <v>404</v>
      </c>
      <c r="I554" s="113"/>
      <c r="J554" s="114"/>
      <c r="K554" s="110"/>
      <c r="L554" s="112"/>
      <c r="M554" s="112"/>
      <c r="N554" s="112"/>
      <c r="O554" s="115"/>
    </row>
    <row r="555" spans="1:15" x14ac:dyDescent="0.35">
      <c r="A555" s="116">
        <v>45604</v>
      </c>
      <c r="B555" s="117" t="s">
        <v>855</v>
      </c>
      <c r="C555" s="111" t="s">
        <v>1669</v>
      </c>
      <c r="D555" s="117" t="s">
        <v>66</v>
      </c>
      <c r="E555" s="118" t="s">
        <v>15</v>
      </c>
      <c r="F555" s="118"/>
      <c r="G555" s="118" t="s">
        <v>82</v>
      </c>
      <c r="H555" s="118" t="s">
        <v>3</v>
      </c>
      <c r="I555" s="119"/>
      <c r="J555" s="120"/>
      <c r="K555" s="116"/>
      <c r="L555" s="118"/>
      <c r="M555" s="118"/>
      <c r="N555" s="118"/>
      <c r="O555" s="121"/>
    </row>
    <row r="556" spans="1:15" x14ac:dyDescent="0.35">
      <c r="A556" s="110">
        <v>45604</v>
      </c>
      <c r="B556" s="111" t="s">
        <v>855</v>
      </c>
      <c r="C556" s="111" t="s">
        <v>1669</v>
      </c>
      <c r="D556" s="111" t="s">
        <v>66</v>
      </c>
      <c r="E556" s="112" t="s">
        <v>11</v>
      </c>
      <c r="F556" s="112"/>
      <c r="G556" s="112" t="s">
        <v>904</v>
      </c>
      <c r="H556" s="112" t="s">
        <v>404</v>
      </c>
      <c r="I556" s="113"/>
      <c r="J556" s="114"/>
      <c r="K556" s="110"/>
      <c r="L556" s="112"/>
      <c r="M556" s="112"/>
      <c r="N556" s="112"/>
      <c r="O556" s="115"/>
    </row>
    <row r="557" spans="1:15" x14ac:dyDescent="0.35">
      <c r="A557" s="116">
        <v>45607</v>
      </c>
      <c r="B557" s="117" t="s">
        <v>855</v>
      </c>
      <c r="C557" s="111" t="s">
        <v>1669</v>
      </c>
      <c r="D557" s="117" t="s">
        <v>66</v>
      </c>
      <c r="E557" s="118" t="s">
        <v>17</v>
      </c>
      <c r="F557" s="118">
        <v>35429</v>
      </c>
      <c r="G557" s="118" t="s">
        <v>884</v>
      </c>
      <c r="H557" s="118" t="s">
        <v>477</v>
      </c>
      <c r="I557" s="119"/>
      <c r="J557" s="120"/>
      <c r="K557" s="116"/>
      <c r="L557" s="118"/>
      <c r="M557" s="118"/>
      <c r="N557" s="118"/>
      <c r="O557" s="121"/>
    </row>
    <row r="558" spans="1:15" x14ac:dyDescent="0.35">
      <c r="A558" s="110">
        <v>45608</v>
      </c>
      <c r="B558" s="111" t="s">
        <v>862</v>
      </c>
      <c r="C558" s="111" t="s">
        <v>1669</v>
      </c>
      <c r="D558" s="111" t="s">
        <v>66</v>
      </c>
      <c r="E558" s="112" t="s">
        <v>16</v>
      </c>
      <c r="F558" s="112">
        <v>47225</v>
      </c>
      <c r="G558" s="112" t="s">
        <v>886</v>
      </c>
      <c r="H558" s="112" t="s">
        <v>148</v>
      </c>
      <c r="I558" s="113"/>
      <c r="J558" s="114"/>
      <c r="K558" s="110"/>
      <c r="L558" s="112"/>
      <c r="M558" s="112"/>
      <c r="N558" s="112"/>
      <c r="O558" s="115"/>
    </row>
    <row r="559" spans="1:15" x14ac:dyDescent="0.35">
      <c r="A559" s="116">
        <v>45610</v>
      </c>
      <c r="B559" s="117" t="s">
        <v>855</v>
      </c>
      <c r="C559" s="111" t="s">
        <v>1669</v>
      </c>
      <c r="D559" s="117" t="s">
        <v>52</v>
      </c>
      <c r="E559" s="118" t="s">
        <v>487</v>
      </c>
      <c r="F559" s="118" t="s">
        <v>853</v>
      </c>
      <c r="G559" s="118" t="s">
        <v>833</v>
      </c>
      <c r="H559" s="118" t="s">
        <v>3</v>
      </c>
      <c r="I559" s="119"/>
      <c r="J559" s="120"/>
      <c r="K559" s="116"/>
      <c r="L559" s="118"/>
      <c r="M559" s="118"/>
      <c r="N559" s="118"/>
      <c r="O559" s="121"/>
    </row>
    <row r="560" spans="1:15" x14ac:dyDescent="0.35">
      <c r="A560" s="110">
        <v>45610</v>
      </c>
      <c r="B560" s="111" t="s">
        <v>855</v>
      </c>
      <c r="C560" s="111" t="s">
        <v>1669</v>
      </c>
      <c r="D560" s="111" t="s">
        <v>52</v>
      </c>
      <c r="E560" s="112" t="s">
        <v>396</v>
      </c>
      <c r="F560" s="112">
        <v>4303400</v>
      </c>
      <c r="G560" s="112" t="s">
        <v>834</v>
      </c>
      <c r="H560" s="112" t="s">
        <v>395</v>
      </c>
      <c r="I560" s="113"/>
      <c r="J560" s="114"/>
      <c r="K560" s="110"/>
      <c r="L560" s="112"/>
      <c r="M560" s="112"/>
      <c r="N560" s="112"/>
      <c r="O560" s="115"/>
    </row>
    <row r="561" spans="1:15" x14ac:dyDescent="0.35">
      <c r="A561" s="116">
        <v>45611</v>
      </c>
      <c r="B561" s="117" t="s">
        <v>855</v>
      </c>
      <c r="C561" s="111" t="s">
        <v>1669</v>
      </c>
      <c r="D561" s="117" t="s">
        <v>52</v>
      </c>
      <c r="E561" s="118" t="s">
        <v>491</v>
      </c>
      <c r="F561" s="118">
        <v>4303124</v>
      </c>
      <c r="G561" s="118" t="s">
        <v>835</v>
      </c>
      <c r="H561" s="118" t="s">
        <v>395</v>
      </c>
      <c r="I561" s="119"/>
      <c r="J561" s="120"/>
      <c r="K561" s="116"/>
      <c r="L561" s="118"/>
      <c r="M561" s="118"/>
      <c r="N561" s="118"/>
      <c r="O561" s="121"/>
    </row>
    <row r="562" spans="1:15" x14ac:dyDescent="0.35">
      <c r="A562" s="110">
        <v>45615</v>
      </c>
      <c r="B562" s="111" t="s">
        <v>855</v>
      </c>
      <c r="C562" s="111" t="s">
        <v>1669</v>
      </c>
      <c r="D562" s="111" t="s">
        <v>52</v>
      </c>
      <c r="E562" s="112" t="s">
        <v>861</v>
      </c>
      <c r="F562" s="112">
        <v>4303622</v>
      </c>
      <c r="G562" s="112" t="s">
        <v>837</v>
      </c>
      <c r="H562" s="112" t="s">
        <v>395</v>
      </c>
      <c r="I562" s="113"/>
      <c r="J562" s="114"/>
      <c r="K562" s="110"/>
      <c r="L562" s="112"/>
      <c r="M562" s="112"/>
      <c r="N562" s="112"/>
      <c r="O562" s="115"/>
    </row>
    <row r="563" spans="1:15" x14ac:dyDescent="0.35">
      <c r="A563" s="116">
        <v>45615</v>
      </c>
      <c r="B563" s="117" t="s">
        <v>855</v>
      </c>
      <c r="C563" s="111" t="s">
        <v>1669</v>
      </c>
      <c r="D563" s="117" t="s">
        <v>66</v>
      </c>
      <c r="E563" s="118" t="s">
        <v>218</v>
      </c>
      <c r="F563" s="118"/>
      <c r="G563" s="118" t="s">
        <v>898</v>
      </c>
      <c r="H563" s="118" t="s">
        <v>307</v>
      </c>
      <c r="I563" s="119"/>
      <c r="J563" s="120"/>
      <c r="K563" s="116"/>
      <c r="L563" s="118"/>
      <c r="M563" s="118"/>
      <c r="N563" s="118"/>
      <c r="O563" s="121"/>
    </row>
    <row r="564" spans="1:15" x14ac:dyDescent="0.35">
      <c r="A564" s="110">
        <v>45615</v>
      </c>
      <c r="B564" s="111" t="s">
        <v>855</v>
      </c>
      <c r="C564" s="111" t="s">
        <v>1669</v>
      </c>
      <c r="D564" s="111" t="s">
        <v>66</v>
      </c>
      <c r="E564" s="112" t="s">
        <v>218</v>
      </c>
      <c r="F564" s="112"/>
      <c r="G564" s="112" t="s">
        <v>899</v>
      </c>
      <c r="H564" s="112" t="s">
        <v>307</v>
      </c>
      <c r="I564" s="113"/>
      <c r="J564" s="114"/>
      <c r="K564" s="110"/>
      <c r="L564" s="112"/>
      <c r="M564" s="112"/>
      <c r="N564" s="112"/>
      <c r="O564" s="115"/>
    </row>
    <row r="565" spans="1:15" x14ac:dyDescent="0.35">
      <c r="A565" s="116">
        <v>45616</v>
      </c>
      <c r="B565" s="117" t="s">
        <v>855</v>
      </c>
      <c r="C565" s="111" t="s">
        <v>1669</v>
      </c>
      <c r="D565" s="117" t="s">
        <v>52</v>
      </c>
      <c r="E565" s="118" t="s">
        <v>860</v>
      </c>
      <c r="F565" s="118">
        <v>4303557</v>
      </c>
      <c r="G565" s="118" t="s">
        <v>836</v>
      </c>
      <c r="H565" s="118" t="s">
        <v>395</v>
      </c>
      <c r="I565" s="119"/>
      <c r="J565" s="120"/>
      <c r="K565" s="116"/>
      <c r="L565" s="118"/>
      <c r="M565" s="118"/>
      <c r="N565" s="118"/>
      <c r="O565" s="121"/>
    </row>
    <row r="566" spans="1:15" x14ac:dyDescent="0.35">
      <c r="A566" s="110">
        <v>45616</v>
      </c>
      <c r="B566" s="111" t="s">
        <v>855</v>
      </c>
      <c r="C566" s="111" t="s">
        <v>1669</v>
      </c>
      <c r="D566" s="111" t="s">
        <v>52</v>
      </c>
      <c r="E566" s="112" t="s">
        <v>483</v>
      </c>
      <c r="F566" s="112">
        <v>4303652</v>
      </c>
      <c r="G566" s="112" t="s">
        <v>838</v>
      </c>
      <c r="H566" s="112" t="s">
        <v>395</v>
      </c>
      <c r="I566" s="113"/>
      <c r="J566" s="114"/>
      <c r="K566" s="110"/>
      <c r="L566" s="112"/>
      <c r="M566" s="112"/>
      <c r="N566" s="112"/>
      <c r="O566" s="115"/>
    </row>
    <row r="567" spans="1:15" x14ac:dyDescent="0.35">
      <c r="A567" s="116">
        <v>45616</v>
      </c>
      <c r="B567" s="117" t="s">
        <v>855</v>
      </c>
      <c r="C567" s="111" t="s">
        <v>1669</v>
      </c>
      <c r="D567" s="117" t="s">
        <v>52</v>
      </c>
      <c r="E567" s="118" t="s">
        <v>861</v>
      </c>
      <c r="F567" s="118">
        <v>4303617</v>
      </c>
      <c r="G567" s="118" t="s">
        <v>839</v>
      </c>
      <c r="H567" s="118" t="s">
        <v>395</v>
      </c>
      <c r="I567" s="119"/>
      <c r="J567" s="120"/>
      <c r="K567" s="116"/>
      <c r="L567" s="118"/>
      <c r="M567" s="118"/>
      <c r="N567" s="118"/>
      <c r="O567" s="121"/>
    </row>
    <row r="568" spans="1:15" x14ac:dyDescent="0.35">
      <c r="A568" s="110">
        <v>45616</v>
      </c>
      <c r="B568" s="111" t="s">
        <v>855</v>
      </c>
      <c r="C568" s="111" t="s">
        <v>1669</v>
      </c>
      <c r="D568" s="111" t="s">
        <v>52</v>
      </c>
      <c r="E568" s="112" t="s">
        <v>818</v>
      </c>
      <c r="F568" s="112"/>
      <c r="G568" s="112" t="s">
        <v>840</v>
      </c>
      <c r="H568" s="112" t="s">
        <v>477</v>
      </c>
      <c r="I568" s="113"/>
      <c r="J568" s="114"/>
      <c r="K568" s="110"/>
      <c r="L568" s="112"/>
      <c r="M568" s="112"/>
      <c r="N568" s="112"/>
      <c r="O568" s="115"/>
    </row>
    <row r="569" spans="1:15" x14ac:dyDescent="0.35">
      <c r="A569" s="116">
        <v>45616</v>
      </c>
      <c r="B569" s="117" t="s">
        <v>855</v>
      </c>
      <c r="C569" s="111" t="s">
        <v>1669</v>
      </c>
      <c r="D569" s="117" t="s">
        <v>52</v>
      </c>
      <c r="E569" s="118" t="s">
        <v>818</v>
      </c>
      <c r="F569" s="118"/>
      <c r="G569" s="118" t="s">
        <v>841</v>
      </c>
      <c r="H569" s="118" t="s">
        <v>477</v>
      </c>
      <c r="I569" s="119"/>
      <c r="J569" s="120"/>
      <c r="K569" s="116"/>
      <c r="L569" s="118"/>
      <c r="M569" s="118"/>
      <c r="N569" s="118"/>
      <c r="O569" s="121"/>
    </row>
    <row r="570" spans="1:15" x14ac:dyDescent="0.35">
      <c r="A570" s="110">
        <v>45618</v>
      </c>
      <c r="B570" s="111" t="s">
        <v>855</v>
      </c>
      <c r="C570" s="111" t="s">
        <v>1669</v>
      </c>
      <c r="D570" s="111" t="s">
        <v>52</v>
      </c>
      <c r="E570" s="112" t="s">
        <v>860</v>
      </c>
      <c r="F570" s="112" t="s">
        <v>854</v>
      </c>
      <c r="G570" s="112" t="s">
        <v>842</v>
      </c>
      <c r="H570" s="112" t="s">
        <v>3</v>
      </c>
      <c r="I570" s="113"/>
      <c r="J570" s="114"/>
      <c r="K570" s="110"/>
      <c r="L570" s="112"/>
      <c r="M570" s="112"/>
      <c r="N570" s="112"/>
      <c r="O570" s="115"/>
    </row>
    <row r="571" spans="1:15" x14ac:dyDescent="0.35">
      <c r="A571" s="116">
        <v>45618</v>
      </c>
      <c r="B571" s="117" t="s">
        <v>855</v>
      </c>
      <c r="C571" s="111" t="s">
        <v>1669</v>
      </c>
      <c r="D571" s="117" t="s">
        <v>52</v>
      </c>
      <c r="E571" s="118" t="s">
        <v>459</v>
      </c>
      <c r="F571" s="118">
        <v>4303886</v>
      </c>
      <c r="G571" s="118" t="s">
        <v>843</v>
      </c>
      <c r="H571" s="118" t="s">
        <v>395</v>
      </c>
      <c r="I571" s="119"/>
      <c r="J571" s="120"/>
      <c r="K571" s="116"/>
      <c r="L571" s="118"/>
      <c r="M571" s="118"/>
      <c r="N571" s="118"/>
      <c r="O571" s="121"/>
    </row>
    <row r="572" spans="1:15" x14ac:dyDescent="0.35">
      <c r="A572" s="110">
        <v>45621</v>
      </c>
      <c r="B572" s="111" t="s">
        <v>855</v>
      </c>
      <c r="C572" s="111" t="s">
        <v>1669</v>
      </c>
      <c r="D572" s="111" t="s">
        <v>66</v>
      </c>
      <c r="E572" s="112" t="s">
        <v>11</v>
      </c>
      <c r="F572" s="112"/>
      <c r="G572" s="112" t="s">
        <v>901</v>
      </c>
      <c r="H572" s="112" t="s">
        <v>395</v>
      </c>
      <c r="I572" s="113"/>
      <c r="J572" s="114"/>
      <c r="K572" s="110"/>
      <c r="L572" s="112"/>
      <c r="M572" s="112"/>
      <c r="N572" s="112"/>
      <c r="O572" s="115"/>
    </row>
    <row r="573" spans="1:15" x14ac:dyDescent="0.35">
      <c r="A573" s="116">
        <v>45622</v>
      </c>
      <c r="B573" s="117" t="s">
        <v>855</v>
      </c>
      <c r="C573" s="111" t="s">
        <v>1669</v>
      </c>
      <c r="D573" s="117" t="s">
        <v>66</v>
      </c>
      <c r="E573" s="118" t="s">
        <v>14</v>
      </c>
      <c r="F573" s="118">
        <v>4304141</v>
      </c>
      <c r="G573" s="118" t="s">
        <v>650</v>
      </c>
      <c r="H573" s="118" t="s">
        <v>395</v>
      </c>
      <c r="I573" s="119"/>
      <c r="J573" s="120"/>
      <c r="K573" s="116"/>
      <c r="L573" s="118"/>
      <c r="M573" s="118"/>
      <c r="N573" s="118"/>
      <c r="O573" s="121"/>
    </row>
    <row r="574" spans="1:15" x14ac:dyDescent="0.35">
      <c r="A574" s="110">
        <v>45623</v>
      </c>
      <c r="B574" s="111" t="s">
        <v>855</v>
      </c>
      <c r="C574" s="111" t="s">
        <v>1669</v>
      </c>
      <c r="D574" s="111" t="s">
        <v>66</v>
      </c>
      <c r="E574" s="112" t="s">
        <v>21</v>
      </c>
      <c r="F574" s="112"/>
      <c r="G574" s="112" t="s">
        <v>896</v>
      </c>
      <c r="H574" s="112" t="s">
        <v>307</v>
      </c>
      <c r="I574" s="113"/>
      <c r="J574" s="114"/>
      <c r="K574" s="110"/>
      <c r="L574" s="112"/>
      <c r="M574" s="112"/>
      <c r="N574" s="112"/>
      <c r="O574" s="115"/>
    </row>
    <row r="575" spans="1:15" x14ac:dyDescent="0.35">
      <c r="A575" s="116">
        <v>45624</v>
      </c>
      <c r="B575" s="117" t="s">
        <v>855</v>
      </c>
      <c r="C575" s="111" t="s">
        <v>1669</v>
      </c>
      <c r="D575" s="117" t="s">
        <v>52</v>
      </c>
      <c r="E575" s="118" t="s">
        <v>483</v>
      </c>
      <c r="F575" s="118">
        <v>4303925</v>
      </c>
      <c r="G575" s="118" t="s">
        <v>844</v>
      </c>
      <c r="H575" s="118" t="s">
        <v>395</v>
      </c>
      <c r="I575" s="119"/>
      <c r="J575" s="120"/>
      <c r="K575" s="116"/>
      <c r="L575" s="118"/>
      <c r="M575" s="118"/>
      <c r="N575" s="118"/>
      <c r="O575" s="121"/>
    </row>
    <row r="576" spans="1:15" x14ac:dyDescent="0.35">
      <c r="A576" s="110">
        <v>45624</v>
      </c>
      <c r="B576" s="111" t="s">
        <v>855</v>
      </c>
      <c r="C576" s="111" t="s">
        <v>1669</v>
      </c>
      <c r="D576" s="111" t="s">
        <v>52</v>
      </c>
      <c r="E576" s="112" t="s">
        <v>466</v>
      </c>
      <c r="F576" s="112">
        <v>4304293</v>
      </c>
      <c r="G576" s="112" t="s">
        <v>845</v>
      </c>
      <c r="H576" s="112" t="s">
        <v>395</v>
      </c>
      <c r="I576" s="113"/>
      <c r="J576" s="114"/>
      <c r="K576" s="110"/>
      <c r="L576" s="112"/>
      <c r="M576" s="112"/>
      <c r="N576" s="112"/>
      <c r="O576" s="115"/>
    </row>
    <row r="577" spans="1:15" x14ac:dyDescent="0.35">
      <c r="A577" s="116">
        <v>45624</v>
      </c>
      <c r="B577" s="117" t="s">
        <v>855</v>
      </c>
      <c r="C577" s="111" t="s">
        <v>1669</v>
      </c>
      <c r="D577" s="117" t="s">
        <v>52</v>
      </c>
      <c r="E577" s="118" t="s">
        <v>459</v>
      </c>
      <c r="F577" s="118">
        <v>4304311</v>
      </c>
      <c r="G577" s="118" t="s">
        <v>476</v>
      </c>
      <c r="H577" s="118" t="s">
        <v>395</v>
      </c>
      <c r="I577" s="119"/>
      <c r="J577" s="120"/>
      <c r="K577" s="116"/>
      <c r="L577" s="118"/>
      <c r="M577" s="118"/>
      <c r="N577" s="118"/>
      <c r="O577" s="121"/>
    </row>
    <row r="578" spans="1:15" x14ac:dyDescent="0.35">
      <c r="A578" s="110">
        <v>45624</v>
      </c>
      <c r="B578" s="111" t="s">
        <v>855</v>
      </c>
      <c r="C578" s="111" t="s">
        <v>1669</v>
      </c>
      <c r="D578" s="111" t="s">
        <v>52</v>
      </c>
      <c r="E578" s="112" t="s">
        <v>491</v>
      </c>
      <c r="F578" s="112">
        <v>4304419</v>
      </c>
      <c r="G578" s="112" t="s">
        <v>846</v>
      </c>
      <c r="H578" s="112" t="s">
        <v>395</v>
      </c>
      <c r="I578" s="113"/>
      <c r="J578" s="114"/>
      <c r="K578" s="110"/>
      <c r="L578" s="112"/>
      <c r="M578" s="112"/>
      <c r="N578" s="112"/>
      <c r="O578" s="115"/>
    </row>
    <row r="579" spans="1:15" x14ac:dyDescent="0.35">
      <c r="A579" s="116">
        <v>45624</v>
      </c>
      <c r="B579" s="117" t="s">
        <v>855</v>
      </c>
      <c r="C579" s="111" t="s">
        <v>1669</v>
      </c>
      <c r="D579" s="117" t="s">
        <v>52</v>
      </c>
      <c r="E579" s="118" t="s">
        <v>459</v>
      </c>
      <c r="F579" s="118">
        <v>4304465</v>
      </c>
      <c r="G579" s="118" t="s">
        <v>847</v>
      </c>
      <c r="H579" s="118" t="s">
        <v>395</v>
      </c>
      <c r="I579" s="119"/>
      <c r="J579" s="120"/>
      <c r="K579" s="116"/>
      <c r="L579" s="118"/>
      <c r="M579" s="118"/>
      <c r="N579" s="118"/>
      <c r="O579" s="121"/>
    </row>
    <row r="580" spans="1:15" x14ac:dyDescent="0.35">
      <c r="A580" s="110">
        <v>45624</v>
      </c>
      <c r="B580" s="111" t="s">
        <v>855</v>
      </c>
      <c r="C580" s="111" t="s">
        <v>1669</v>
      </c>
      <c r="D580" s="111" t="s">
        <v>66</v>
      </c>
      <c r="E580" s="112" t="s">
        <v>16</v>
      </c>
      <c r="F580" s="112">
        <v>35557</v>
      </c>
      <c r="G580" s="112" t="s">
        <v>882</v>
      </c>
      <c r="H580" s="112" t="s">
        <v>477</v>
      </c>
      <c r="I580" s="113"/>
      <c r="J580" s="114"/>
      <c r="K580" s="110"/>
      <c r="L580" s="112"/>
      <c r="M580" s="112"/>
      <c r="N580" s="112"/>
      <c r="O580" s="115"/>
    </row>
    <row r="581" spans="1:15" x14ac:dyDescent="0.35">
      <c r="A581" s="116">
        <v>45624</v>
      </c>
      <c r="B581" s="117" t="s">
        <v>855</v>
      </c>
      <c r="C581" s="111" t="s">
        <v>1669</v>
      </c>
      <c r="D581" s="117" t="s">
        <v>66</v>
      </c>
      <c r="E581" s="118" t="s">
        <v>16</v>
      </c>
      <c r="F581" s="118">
        <v>35534</v>
      </c>
      <c r="G581" s="118" t="s">
        <v>883</v>
      </c>
      <c r="H581" s="118" t="s">
        <v>477</v>
      </c>
      <c r="I581" s="119"/>
      <c r="J581" s="120"/>
      <c r="K581" s="116"/>
      <c r="L581" s="118"/>
      <c r="M581" s="118"/>
      <c r="N581" s="118"/>
      <c r="O581" s="121"/>
    </row>
    <row r="582" spans="1:15" x14ac:dyDescent="0.35">
      <c r="A582" s="110">
        <v>45624</v>
      </c>
      <c r="B582" s="111" t="s">
        <v>855</v>
      </c>
      <c r="C582" s="111" t="s">
        <v>1669</v>
      </c>
      <c r="D582" s="111" t="s">
        <v>66</v>
      </c>
      <c r="E582" s="112" t="s">
        <v>11</v>
      </c>
      <c r="F582" s="112"/>
      <c r="G582" s="112" t="s">
        <v>903</v>
      </c>
      <c r="H582" s="112" t="s">
        <v>395</v>
      </c>
      <c r="I582" s="113"/>
      <c r="J582" s="114"/>
      <c r="K582" s="110"/>
      <c r="L582" s="112"/>
      <c r="M582" s="112"/>
      <c r="N582" s="112"/>
      <c r="O582" s="115"/>
    </row>
    <row r="583" spans="1:15" x14ac:dyDescent="0.35">
      <c r="A583" s="116">
        <v>45625</v>
      </c>
      <c r="B583" s="117" t="s">
        <v>855</v>
      </c>
      <c r="C583" s="111" t="s">
        <v>1669</v>
      </c>
      <c r="D583" s="117" t="s">
        <v>52</v>
      </c>
      <c r="E583" s="118" t="s">
        <v>396</v>
      </c>
      <c r="F583" s="118">
        <v>4304394</v>
      </c>
      <c r="G583" s="118" t="s">
        <v>486</v>
      </c>
      <c r="H583" s="118" t="s">
        <v>395</v>
      </c>
      <c r="I583" s="119"/>
      <c r="J583" s="120"/>
      <c r="K583" s="116"/>
      <c r="L583" s="118"/>
      <c r="M583" s="118"/>
      <c r="N583" s="118"/>
      <c r="O583" s="121"/>
    </row>
    <row r="584" spans="1:15" x14ac:dyDescent="0.35">
      <c r="A584" s="110">
        <v>45625</v>
      </c>
      <c r="B584" s="111" t="s">
        <v>855</v>
      </c>
      <c r="C584" s="111" t="s">
        <v>1669</v>
      </c>
      <c r="D584" s="111" t="s">
        <v>52</v>
      </c>
      <c r="E584" s="112" t="s">
        <v>396</v>
      </c>
      <c r="F584" s="112">
        <v>4304449</v>
      </c>
      <c r="G584" s="112" t="s">
        <v>165</v>
      </c>
      <c r="H584" s="112" t="s">
        <v>395</v>
      </c>
      <c r="I584" s="113"/>
      <c r="J584" s="114"/>
      <c r="K584" s="110"/>
      <c r="L584" s="112"/>
      <c r="M584" s="112"/>
      <c r="N584" s="112"/>
      <c r="O584" s="115"/>
    </row>
    <row r="585" spans="1:15" x14ac:dyDescent="0.35">
      <c r="A585" s="116">
        <v>45625</v>
      </c>
      <c r="B585" s="117" t="s">
        <v>855</v>
      </c>
      <c r="C585" s="111" t="s">
        <v>1669</v>
      </c>
      <c r="D585" s="117" t="s">
        <v>52</v>
      </c>
      <c r="E585" s="118" t="s">
        <v>491</v>
      </c>
      <c r="F585" s="118">
        <v>4304532</v>
      </c>
      <c r="G585" s="118" t="s">
        <v>848</v>
      </c>
      <c r="H585" s="118" t="s">
        <v>395</v>
      </c>
      <c r="I585" s="119"/>
      <c r="J585" s="120"/>
      <c r="K585" s="116"/>
      <c r="L585" s="118"/>
      <c r="M585" s="118"/>
      <c r="N585" s="118"/>
      <c r="O585" s="121"/>
    </row>
    <row r="586" spans="1:15" x14ac:dyDescent="0.35">
      <c r="A586" s="110">
        <v>45625</v>
      </c>
      <c r="B586" s="111" t="s">
        <v>855</v>
      </c>
      <c r="C586" s="111" t="s">
        <v>1669</v>
      </c>
      <c r="D586" s="111" t="s">
        <v>52</v>
      </c>
      <c r="E586" s="112" t="s">
        <v>566</v>
      </c>
      <c r="F586" s="112"/>
      <c r="G586" s="112" t="s">
        <v>849</v>
      </c>
      <c r="H586" s="112" t="s">
        <v>477</v>
      </c>
      <c r="I586" s="113"/>
      <c r="J586" s="114"/>
      <c r="K586" s="110"/>
      <c r="L586" s="112"/>
      <c r="M586" s="112"/>
      <c r="N586" s="112"/>
      <c r="O586" s="115"/>
    </row>
    <row r="587" spans="1:15" x14ac:dyDescent="0.35">
      <c r="A587" s="116">
        <v>45625</v>
      </c>
      <c r="B587" s="117" t="s">
        <v>855</v>
      </c>
      <c r="C587" s="111" t="s">
        <v>1669</v>
      </c>
      <c r="D587" s="117" t="s">
        <v>52</v>
      </c>
      <c r="E587" s="118" t="s">
        <v>819</v>
      </c>
      <c r="F587" s="118">
        <v>15841</v>
      </c>
      <c r="G587" s="118" t="s">
        <v>850</v>
      </c>
      <c r="H587" s="118" t="s">
        <v>307</v>
      </c>
      <c r="I587" s="119"/>
      <c r="J587" s="120"/>
      <c r="K587" s="116"/>
      <c r="L587" s="118"/>
      <c r="M587" s="118"/>
      <c r="N587" s="118"/>
      <c r="O587" s="121"/>
    </row>
    <row r="588" spans="1:15" x14ac:dyDescent="0.35">
      <c r="A588" s="110">
        <v>45625</v>
      </c>
      <c r="B588" s="111" t="s">
        <v>855</v>
      </c>
      <c r="C588" s="111" t="s">
        <v>1669</v>
      </c>
      <c r="D588" s="111" t="s">
        <v>52</v>
      </c>
      <c r="E588" s="112" t="s">
        <v>819</v>
      </c>
      <c r="F588" s="112">
        <v>15961</v>
      </c>
      <c r="G588" s="112" t="s">
        <v>851</v>
      </c>
      <c r="H588" s="112" t="s">
        <v>307</v>
      </c>
      <c r="I588" s="113"/>
      <c r="J588" s="114"/>
      <c r="K588" s="110"/>
      <c r="L588" s="112"/>
      <c r="M588" s="112"/>
      <c r="N588" s="112"/>
      <c r="O588" s="115"/>
    </row>
    <row r="589" spans="1:15" x14ac:dyDescent="0.35">
      <c r="A589" s="116">
        <v>45625</v>
      </c>
      <c r="B589" s="117" t="s">
        <v>855</v>
      </c>
      <c r="C589" s="111" t="s">
        <v>1669</v>
      </c>
      <c r="D589" s="117" t="s">
        <v>52</v>
      </c>
      <c r="E589" s="118" t="s">
        <v>396</v>
      </c>
      <c r="F589" s="118">
        <v>4304738</v>
      </c>
      <c r="G589" s="118" t="s">
        <v>530</v>
      </c>
      <c r="H589" s="118" t="s">
        <v>395</v>
      </c>
      <c r="I589" s="119"/>
      <c r="J589" s="120"/>
      <c r="K589" s="116"/>
      <c r="L589" s="118"/>
      <c r="M589" s="118"/>
      <c r="N589" s="118"/>
      <c r="O589" s="121"/>
    </row>
    <row r="590" spans="1:15" x14ac:dyDescent="0.35">
      <c r="A590" s="110">
        <v>45625</v>
      </c>
      <c r="B590" s="111" t="s">
        <v>855</v>
      </c>
      <c r="C590" s="111" t="s">
        <v>1669</v>
      </c>
      <c r="D590" s="111" t="s">
        <v>52</v>
      </c>
      <c r="E590" s="112" t="s">
        <v>566</v>
      </c>
      <c r="F590" s="112"/>
      <c r="G590" s="112" t="s">
        <v>852</v>
      </c>
      <c r="H590" s="112" t="s">
        <v>477</v>
      </c>
      <c r="I590" s="113"/>
      <c r="J590" s="114"/>
      <c r="K590" s="110"/>
      <c r="L590" s="112"/>
      <c r="M590" s="112"/>
      <c r="N590" s="112"/>
      <c r="O590" s="115"/>
    </row>
    <row r="591" spans="1:15" x14ac:dyDescent="0.35">
      <c r="A591" s="116">
        <v>45625</v>
      </c>
      <c r="B591" s="117" t="s">
        <v>855</v>
      </c>
      <c r="C591" s="111" t="s">
        <v>1669</v>
      </c>
      <c r="D591" s="117" t="s">
        <v>52</v>
      </c>
      <c r="E591" s="118" t="s">
        <v>396</v>
      </c>
      <c r="F591" s="118">
        <v>4304747</v>
      </c>
      <c r="G591" s="118" t="s">
        <v>210</v>
      </c>
      <c r="H591" s="118" t="s">
        <v>395</v>
      </c>
      <c r="I591" s="119"/>
      <c r="J591" s="120"/>
      <c r="K591" s="116"/>
      <c r="L591" s="118"/>
      <c r="M591" s="118"/>
      <c r="N591" s="118"/>
      <c r="O591" s="121"/>
    </row>
    <row r="592" spans="1:15" x14ac:dyDescent="0.35">
      <c r="A592" s="110">
        <v>45625</v>
      </c>
      <c r="B592" s="111" t="s">
        <v>855</v>
      </c>
      <c r="C592" s="111" t="s">
        <v>1669</v>
      </c>
      <c r="D592" s="111" t="s">
        <v>66</v>
      </c>
      <c r="E592" s="112" t="s">
        <v>674</v>
      </c>
      <c r="F592" s="112">
        <v>35514</v>
      </c>
      <c r="G592" s="112" t="s">
        <v>881</v>
      </c>
      <c r="H592" s="112" t="s">
        <v>477</v>
      </c>
      <c r="I592" s="113"/>
      <c r="J592" s="114"/>
      <c r="K592" s="110"/>
      <c r="L592" s="112"/>
      <c r="M592" s="112"/>
      <c r="N592" s="112"/>
      <c r="O592" s="115"/>
    </row>
    <row r="593" spans="1:15" x14ac:dyDescent="0.35">
      <c r="A593" s="116">
        <v>45625</v>
      </c>
      <c r="B593" s="117" t="s">
        <v>855</v>
      </c>
      <c r="C593" s="111" t="s">
        <v>1669</v>
      </c>
      <c r="D593" s="117" t="s">
        <v>66</v>
      </c>
      <c r="E593" s="118" t="s">
        <v>14</v>
      </c>
      <c r="F593" s="118">
        <v>35507</v>
      </c>
      <c r="G593" s="118" t="s">
        <v>525</v>
      </c>
      <c r="H593" s="118" t="s">
        <v>477</v>
      </c>
      <c r="I593" s="119"/>
      <c r="J593" s="120"/>
      <c r="K593" s="116"/>
      <c r="L593" s="118"/>
      <c r="M593" s="118"/>
      <c r="N593" s="118"/>
      <c r="O593" s="121"/>
    </row>
    <row r="594" spans="1:15" x14ac:dyDescent="0.35">
      <c r="A594" s="110">
        <v>45625</v>
      </c>
      <c r="B594" s="111" t="s">
        <v>855</v>
      </c>
      <c r="C594" s="111" t="s">
        <v>1669</v>
      </c>
      <c r="D594" s="111" t="s">
        <v>66</v>
      </c>
      <c r="E594" s="112" t="s">
        <v>14</v>
      </c>
      <c r="F594" s="112">
        <v>35506</v>
      </c>
      <c r="G594" s="112" t="s">
        <v>523</v>
      </c>
      <c r="H594" s="112" t="s">
        <v>477</v>
      </c>
      <c r="I594" s="113"/>
      <c r="J594" s="114"/>
      <c r="K594" s="110"/>
      <c r="L594" s="112"/>
      <c r="M594" s="112"/>
      <c r="N594" s="112"/>
      <c r="O594" s="115"/>
    </row>
    <row r="595" spans="1:15" x14ac:dyDescent="0.35">
      <c r="A595" s="116">
        <v>45625</v>
      </c>
      <c r="B595" s="117" t="s">
        <v>855</v>
      </c>
      <c r="C595" s="111" t="s">
        <v>1669</v>
      </c>
      <c r="D595" s="117" t="s">
        <v>66</v>
      </c>
      <c r="E595" s="118" t="s">
        <v>790</v>
      </c>
      <c r="F595" s="118"/>
      <c r="G595" s="118" t="s">
        <v>893</v>
      </c>
      <c r="H595" s="118" t="s">
        <v>5</v>
      </c>
      <c r="I595" s="119"/>
      <c r="J595" s="120"/>
      <c r="K595" s="116"/>
      <c r="L595" s="118"/>
      <c r="M595" s="118"/>
      <c r="N595" s="118"/>
      <c r="O595" s="121"/>
    </row>
    <row r="596" spans="1:15" x14ac:dyDescent="0.35">
      <c r="A596" s="110">
        <v>45625</v>
      </c>
      <c r="B596" s="111" t="s">
        <v>855</v>
      </c>
      <c r="C596" s="111" t="s">
        <v>1669</v>
      </c>
      <c r="D596" s="111" t="s">
        <v>66</v>
      </c>
      <c r="E596" s="112" t="s">
        <v>20</v>
      </c>
      <c r="F596" s="112"/>
      <c r="G596" s="112" t="s">
        <v>895</v>
      </c>
      <c r="H596" s="112" t="s">
        <v>3</v>
      </c>
      <c r="I596" s="113"/>
      <c r="J596" s="114"/>
      <c r="K596" s="110"/>
      <c r="L596" s="112"/>
      <c r="M596" s="112"/>
      <c r="N596" s="112"/>
      <c r="O596" s="115"/>
    </row>
    <row r="597" spans="1:15" x14ac:dyDescent="0.35">
      <c r="A597" s="116">
        <v>45625</v>
      </c>
      <c r="B597" s="117" t="s">
        <v>855</v>
      </c>
      <c r="C597" s="111" t="s">
        <v>1669</v>
      </c>
      <c r="D597" s="117" t="s">
        <v>66</v>
      </c>
      <c r="E597" s="118" t="s">
        <v>20</v>
      </c>
      <c r="F597" s="118"/>
      <c r="G597" s="118" t="s">
        <v>647</v>
      </c>
      <c r="H597" s="118" t="s">
        <v>3</v>
      </c>
      <c r="I597" s="119"/>
      <c r="J597" s="120"/>
      <c r="K597" s="116"/>
      <c r="L597" s="118"/>
      <c r="M597" s="118"/>
      <c r="N597" s="118"/>
      <c r="O597" s="121"/>
    </row>
    <row r="598" spans="1:15" x14ac:dyDescent="0.35">
      <c r="A598" s="110">
        <v>45625</v>
      </c>
      <c r="B598" s="111" t="s">
        <v>855</v>
      </c>
      <c r="C598" s="111" t="s">
        <v>1669</v>
      </c>
      <c r="D598" s="111" t="s">
        <v>66</v>
      </c>
      <c r="E598" s="112" t="s">
        <v>262</v>
      </c>
      <c r="F598" s="112"/>
      <c r="G598" s="112" t="s">
        <v>897</v>
      </c>
      <c r="H598" s="112" t="s">
        <v>407</v>
      </c>
      <c r="I598" s="113"/>
      <c r="J598" s="114"/>
      <c r="K598" s="110"/>
      <c r="L598" s="112"/>
      <c r="M598" s="112"/>
      <c r="N598" s="112"/>
      <c r="O598" s="115"/>
    </row>
    <row r="599" spans="1:15" x14ac:dyDescent="0.35">
      <c r="A599" s="116">
        <v>45628</v>
      </c>
      <c r="B599" s="117" t="s">
        <v>862</v>
      </c>
      <c r="C599" s="111" t="s">
        <v>1669</v>
      </c>
      <c r="D599" s="117" t="s">
        <v>66</v>
      </c>
      <c r="E599" s="118" t="s">
        <v>15</v>
      </c>
      <c r="F599" s="118" t="s">
        <v>900</v>
      </c>
      <c r="G599" s="118" t="s">
        <v>316</v>
      </c>
      <c r="H599" s="118" t="s">
        <v>3</v>
      </c>
      <c r="I599" s="119"/>
      <c r="J599" s="120"/>
      <c r="K599" s="116"/>
      <c r="L599" s="118"/>
      <c r="M599" s="118"/>
      <c r="N599" s="118"/>
      <c r="O599" s="121"/>
    </row>
    <row r="600" spans="1:15" x14ac:dyDescent="0.35">
      <c r="A600" s="110">
        <v>45629</v>
      </c>
      <c r="B600" s="111" t="s">
        <v>862</v>
      </c>
      <c r="C600" s="111" t="s">
        <v>1669</v>
      </c>
      <c r="D600" s="111" t="s">
        <v>52</v>
      </c>
      <c r="E600" s="112" t="s">
        <v>396</v>
      </c>
      <c r="F600" s="112"/>
      <c r="G600" s="112" t="s">
        <v>910</v>
      </c>
      <c r="H600" s="112" t="s">
        <v>395</v>
      </c>
      <c r="I600" s="113"/>
      <c r="J600" s="114"/>
      <c r="K600" s="110"/>
      <c r="L600" s="112"/>
      <c r="M600" s="112"/>
      <c r="N600" s="112"/>
      <c r="O600" s="115"/>
    </row>
    <row r="601" spans="1:15" x14ac:dyDescent="0.35">
      <c r="A601" s="116">
        <v>45629</v>
      </c>
      <c r="B601" s="117" t="s">
        <v>862</v>
      </c>
      <c r="C601" s="111" t="s">
        <v>1669</v>
      </c>
      <c r="D601" s="117" t="s">
        <v>52</v>
      </c>
      <c r="E601" s="118" t="s">
        <v>819</v>
      </c>
      <c r="F601" s="118"/>
      <c r="G601" s="118" t="s">
        <v>911</v>
      </c>
      <c r="H601" s="118" t="s">
        <v>3</v>
      </c>
      <c r="I601" s="119"/>
      <c r="J601" s="120"/>
      <c r="K601" s="116"/>
      <c r="L601" s="118"/>
      <c r="M601" s="118"/>
      <c r="N601" s="118"/>
      <c r="O601" s="121"/>
    </row>
    <row r="602" spans="1:15" x14ac:dyDescent="0.35">
      <c r="A602" s="110">
        <v>45630</v>
      </c>
      <c r="B602" s="111" t="s">
        <v>862</v>
      </c>
      <c r="C602" s="111" t="s">
        <v>1669</v>
      </c>
      <c r="D602" s="111" t="s">
        <v>66</v>
      </c>
      <c r="E602" s="112" t="s">
        <v>15</v>
      </c>
      <c r="F602" s="112"/>
      <c r="G602" s="112" t="s">
        <v>894</v>
      </c>
      <c r="H602" s="112" t="s">
        <v>586</v>
      </c>
      <c r="I602" s="113"/>
      <c r="J602" s="114"/>
      <c r="K602" s="110"/>
      <c r="L602" s="112"/>
      <c r="M602" s="112"/>
      <c r="N602" s="112"/>
      <c r="O602" s="115"/>
    </row>
    <row r="603" spans="1:15" x14ac:dyDescent="0.35">
      <c r="A603" s="116">
        <v>45630</v>
      </c>
      <c r="B603" s="117" t="s">
        <v>862</v>
      </c>
      <c r="C603" s="111" t="s">
        <v>1669</v>
      </c>
      <c r="D603" s="117" t="s">
        <v>52</v>
      </c>
      <c r="E603" s="118" t="s">
        <v>912</v>
      </c>
      <c r="F603" s="118"/>
      <c r="G603" s="118" t="s">
        <v>913</v>
      </c>
      <c r="H603" s="118" t="s">
        <v>395</v>
      </c>
      <c r="I603" s="119"/>
      <c r="J603" s="120"/>
      <c r="K603" s="116"/>
      <c r="L603" s="118"/>
      <c r="M603" s="118"/>
      <c r="N603" s="118"/>
      <c r="O603" s="121"/>
    </row>
    <row r="604" spans="1:15" x14ac:dyDescent="0.35">
      <c r="A604" s="110">
        <v>45631</v>
      </c>
      <c r="B604" s="111" t="s">
        <v>862</v>
      </c>
      <c r="C604" s="111" t="s">
        <v>1669</v>
      </c>
      <c r="D604" s="111" t="s">
        <v>52</v>
      </c>
      <c r="E604" s="112" t="s">
        <v>860</v>
      </c>
      <c r="F604" s="112"/>
      <c r="G604" s="112" t="s">
        <v>915</v>
      </c>
      <c r="H604" s="112" t="s">
        <v>3</v>
      </c>
      <c r="I604" s="113"/>
      <c r="J604" s="114"/>
      <c r="K604" s="110"/>
      <c r="L604" s="112"/>
      <c r="M604" s="112"/>
      <c r="N604" s="112"/>
      <c r="O604" s="115"/>
    </row>
    <row r="605" spans="1:15" x14ac:dyDescent="0.35">
      <c r="A605" s="116">
        <v>45631</v>
      </c>
      <c r="B605" s="117" t="s">
        <v>862</v>
      </c>
      <c r="C605" s="111" t="s">
        <v>1669</v>
      </c>
      <c r="D605" s="117" t="s">
        <v>52</v>
      </c>
      <c r="E605" s="118" t="s">
        <v>860</v>
      </c>
      <c r="F605" s="118"/>
      <c r="G605" s="118" t="s">
        <v>435</v>
      </c>
      <c r="H605" s="118" t="s">
        <v>3</v>
      </c>
      <c r="I605" s="119"/>
      <c r="J605" s="120"/>
      <c r="K605" s="116"/>
      <c r="L605" s="118"/>
      <c r="M605" s="118"/>
      <c r="N605" s="118"/>
      <c r="O605" s="121"/>
    </row>
    <row r="606" spans="1:15" x14ac:dyDescent="0.35">
      <c r="A606" s="110">
        <v>45631</v>
      </c>
      <c r="B606" s="111" t="s">
        <v>862</v>
      </c>
      <c r="C606" s="111" t="s">
        <v>1669</v>
      </c>
      <c r="D606" s="111" t="s">
        <v>52</v>
      </c>
      <c r="E606" s="112" t="s">
        <v>819</v>
      </c>
      <c r="F606" s="112"/>
      <c r="G606" s="112" t="s">
        <v>916</v>
      </c>
      <c r="H606" s="112" t="s">
        <v>307</v>
      </c>
      <c r="I606" s="113"/>
      <c r="J606" s="114"/>
      <c r="K606" s="110"/>
      <c r="L606" s="112"/>
      <c r="M606" s="112"/>
      <c r="N606" s="112"/>
      <c r="O606" s="115"/>
    </row>
    <row r="607" spans="1:15" x14ac:dyDescent="0.35">
      <c r="A607" s="116">
        <v>45631</v>
      </c>
      <c r="B607" s="117" t="s">
        <v>862</v>
      </c>
      <c r="C607" s="111" t="s">
        <v>1669</v>
      </c>
      <c r="D607" s="117" t="s">
        <v>52</v>
      </c>
      <c r="E607" s="118" t="s">
        <v>819</v>
      </c>
      <c r="F607" s="118"/>
      <c r="G607" s="118" t="s">
        <v>917</v>
      </c>
      <c r="H607" s="118" t="s">
        <v>307</v>
      </c>
      <c r="I607" s="119"/>
      <c r="J607" s="120"/>
      <c r="K607" s="116"/>
      <c r="L607" s="118"/>
      <c r="M607" s="118"/>
      <c r="N607" s="118"/>
      <c r="O607" s="121"/>
    </row>
    <row r="608" spans="1:15" x14ac:dyDescent="0.35">
      <c r="A608" s="110">
        <v>45631</v>
      </c>
      <c r="B608" s="111" t="s">
        <v>862</v>
      </c>
      <c r="C608" s="111" t="s">
        <v>1669</v>
      </c>
      <c r="D608" s="111" t="s">
        <v>52</v>
      </c>
      <c r="E608" s="112" t="s">
        <v>819</v>
      </c>
      <c r="F608" s="112"/>
      <c r="G608" s="112" t="s">
        <v>918</v>
      </c>
      <c r="H608" s="112" t="s">
        <v>307</v>
      </c>
      <c r="I608" s="113"/>
      <c r="J608" s="114"/>
      <c r="K608" s="110"/>
      <c r="L608" s="112"/>
      <c r="M608" s="112"/>
      <c r="N608" s="112"/>
      <c r="O608" s="115"/>
    </row>
    <row r="609" spans="1:15" x14ac:dyDescent="0.35">
      <c r="A609" s="116">
        <v>45631</v>
      </c>
      <c r="B609" s="117" t="s">
        <v>862</v>
      </c>
      <c r="C609" s="111" t="s">
        <v>1669</v>
      </c>
      <c r="D609" s="117" t="s">
        <v>52</v>
      </c>
      <c r="E609" s="118" t="s">
        <v>819</v>
      </c>
      <c r="F609" s="118"/>
      <c r="G609" s="118" t="s">
        <v>911</v>
      </c>
      <c r="H609" s="118" t="s">
        <v>307</v>
      </c>
      <c r="I609" s="119"/>
      <c r="J609" s="120"/>
      <c r="K609" s="116"/>
      <c r="L609" s="118"/>
      <c r="M609" s="118"/>
      <c r="N609" s="118"/>
      <c r="O609" s="121"/>
    </row>
    <row r="610" spans="1:15" x14ac:dyDescent="0.35">
      <c r="A610" s="110">
        <v>45631</v>
      </c>
      <c r="B610" s="111" t="s">
        <v>862</v>
      </c>
      <c r="C610" s="111" t="s">
        <v>1669</v>
      </c>
      <c r="D610" s="111" t="s">
        <v>52</v>
      </c>
      <c r="E610" s="112" t="s">
        <v>819</v>
      </c>
      <c r="F610" s="112"/>
      <c r="G610" s="112" t="s">
        <v>919</v>
      </c>
      <c r="H610" s="112" t="s">
        <v>307</v>
      </c>
      <c r="I610" s="113"/>
      <c r="J610" s="114"/>
      <c r="K610" s="110"/>
      <c r="L610" s="112"/>
      <c r="M610" s="112"/>
      <c r="N610" s="112"/>
      <c r="O610" s="115"/>
    </row>
    <row r="611" spans="1:15" x14ac:dyDescent="0.35">
      <c r="A611" s="116">
        <v>45632</v>
      </c>
      <c r="B611" s="117" t="s">
        <v>862</v>
      </c>
      <c r="C611" s="111" t="s">
        <v>1669</v>
      </c>
      <c r="D611" s="117" t="s">
        <v>66</v>
      </c>
      <c r="E611" s="118" t="s">
        <v>790</v>
      </c>
      <c r="F611" s="118">
        <v>35595</v>
      </c>
      <c r="G611" s="118" t="s">
        <v>865</v>
      </c>
      <c r="H611" s="118" t="s">
        <v>477</v>
      </c>
      <c r="I611" s="119"/>
      <c r="J611" s="120"/>
      <c r="K611" s="116"/>
      <c r="L611" s="118"/>
      <c r="M611" s="118"/>
      <c r="N611" s="118"/>
      <c r="O611" s="121"/>
    </row>
    <row r="612" spans="1:15" x14ac:dyDescent="0.35">
      <c r="A612" s="110">
        <v>45632</v>
      </c>
      <c r="B612" s="111" t="s">
        <v>862</v>
      </c>
      <c r="C612" s="111" t="s">
        <v>1669</v>
      </c>
      <c r="D612" s="111" t="s">
        <v>66</v>
      </c>
      <c r="E612" s="112" t="s">
        <v>12</v>
      </c>
      <c r="F612" s="112"/>
      <c r="G612" s="112" t="s">
        <v>889</v>
      </c>
      <c r="H612" s="112" t="s">
        <v>148</v>
      </c>
      <c r="I612" s="113"/>
      <c r="J612" s="114"/>
      <c r="K612" s="110"/>
      <c r="L612" s="112"/>
      <c r="M612" s="112"/>
      <c r="N612" s="112"/>
      <c r="O612" s="115"/>
    </row>
    <row r="613" spans="1:15" x14ac:dyDescent="0.35">
      <c r="A613" s="116">
        <v>45632</v>
      </c>
      <c r="B613" s="117" t="s">
        <v>862</v>
      </c>
      <c r="C613" s="111" t="s">
        <v>1669</v>
      </c>
      <c r="D613" s="117" t="s">
        <v>66</v>
      </c>
      <c r="E613" s="118" t="s">
        <v>175</v>
      </c>
      <c r="F613" s="118"/>
      <c r="G613" s="118" t="s">
        <v>890</v>
      </c>
      <c r="H613" s="118" t="s">
        <v>407</v>
      </c>
      <c r="I613" s="119"/>
      <c r="J613" s="120"/>
      <c r="K613" s="116"/>
      <c r="L613" s="118"/>
      <c r="M613" s="118"/>
      <c r="N613" s="118"/>
      <c r="O613" s="121"/>
    </row>
    <row r="614" spans="1:15" x14ac:dyDescent="0.35">
      <c r="A614" s="110">
        <v>45632</v>
      </c>
      <c r="B614" s="111" t="s">
        <v>862</v>
      </c>
      <c r="C614" s="111" t="s">
        <v>1669</v>
      </c>
      <c r="D614" s="111" t="s">
        <v>66</v>
      </c>
      <c r="E614" s="112" t="s">
        <v>175</v>
      </c>
      <c r="F614" s="112"/>
      <c r="G614" s="112" t="s">
        <v>891</v>
      </c>
      <c r="H614" s="112" t="s">
        <v>407</v>
      </c>
      <c r="I614" s="113"/>
      <c r="J614" s="114"/>
      <c r="K614" s="110"/>
      <c r="L614" s="112"/>
      <c r="M614" s="112"/>
      <c r="N614" s="112"/>
      <c r="O614" s="115"/>
    </row>
    <row r="615" spans="1:15" x14ac:dyDescent="0.35">
      <c r="A615" s="116">
        <v>45632</v>
      </c>
      <c r="B615" s="117" t="s">
        <v>862</v>
      </c>
      <c r="C615" s="111" t="s">
        <v>1669</v>
      </c>
      <c r="D615" s="117" t="s">
        <v>66</v>
      </c>
      <c r="E615" s="118" t="s">
        <v>175</v>
      </c>
      <c r="F615" s="118"/>
      <c r="G615" s="118" t="s">
        <v>892</v>
      </c>
      <c r="H615" s="118" t="s">
        <v>407</v>
      </c>
      <c r="I615" s="119"/>
      <c r="J615" s="120"/>
      <c r="K615" s="116"/>
      <c r="L615" s="118"/>
      <c r="M615" s="118"/>
      <c r="N615" s="118"/>
      <c r="O615" s="121"/>
    </row>
    <row r="616" spans="1:15" x14ac:dyDescent="0.35">
      <c r="A616" s="110">
        <v>45632</v>
      </c>
      <c r="B616" s="111" t="s">
        <v>862</v>
      </c>
      <c r="C616" s="111" t="s">
        <v>1669</v>
      </c>
      <c r="D616" s="111" t="s">
        <v>52</v>
      </c>
      <c r="E616" s="112" t="s">
        <v>466</v>
      </c>
      <c r="F616" s="112"/>
      <c r="G616" s="112" t="s">
        <v>920</v>
      </c>
      <c r="H616" s="112" t="s">
        <v>921</v>
      </c>
      <c r="I616" s="113"/>
      <c r="J616" s="114"/>
      <c r="K616" s="110"/>
      <c r="L616" s="112"/>
      <c r="M616" s="112"/>
      <c r="N616" s="112"/>
      <c r="O616" s="115"/>
    </row>
    <row r="617" spans="1:15" x14ac:dyDescent="0.35">
      <c r="A617" s="116">
        <v>45635</v>
      </c>
      <c r="B617" s="117" t="s">
        <v>862</v>
      </c>
      <c r="C617" s="111" t="s">
        <v>1669</v>
      </c>
      <c r="D617" s="117" t="s">
        <v>66</v>
      </c>
      <c r="E617" s="118" t="s">
        <v>790</v>
      </c>
      <c r="F617" s="118"/>
      <c r="G617" s="118" t="s">
        <v>888</v>
      </c>
      <c r="H617" s="118" t="s">
        <v>5</v>
      </c>
      <c r="I617" s="119"/>
      <c r="J617" s="120"/>
      <c r="K617" s="116"/>
      <c r="L617" s="118"/>
      <c r="M617" s="118"/>
      <c r="N617" s="118"/>
      <c r="O617" s="121"/>
    </row>
    <row r="618" spans="1:15" x14ac:dyDescent="0.35">
      <c r="A618" s="110">
        <v>45636</v>
      </c>
      <c r="B618" s="111" t="s">
        <v>862</v>
      </c>
      <c r="C618" s="111" t="s">
        <v>1669</v>
      </c>
      <c r="D618" s="111" t="s">
        <v>66</v>
      </c>
      <c r="E618" s="112" t="s">
        <v>13</v>
      </c>
      <c r="F618" s="112">
        <v>4305339</v>
      </c>
      <c r="G618" s="112" t="s">
        <v>863</v>
      </c>
      <c r="H618" s="112" t="s">
        <v>395</v>
      </c>
      <c r="I618" s="113"/>
      <c r="J618" s="114"/>
      <c r="K618" s="110"/>
      <c r="L618" s="112"/>
      <c r="M618" s="112"/>
      <c r="N618" s="112"/>
      <c r="O618" s="115"/>
    </row>
    <row r="619" spans="1:15" x14ac:dyDescent="0.35">
      <c r="A619" s="116">
        <v>45636</v>
      </c>
      <c r="B619" s="117" t="s">
        <v>862</v>
      </c>
      <c r="C619" s="111" t="s">
        <v>1669</v>
      </c>
      <c r="D619" s="117" t="s">
        <v>66</v>
      </c>
      <c r="E619" s="118" t="s">
        <v>11</v>
      </c>
      <c r="F619" s="118">
        <v>35632</v>
      </c>
      <c r="G619" s="118" t="s">
        <v>866</v>
      </c>
      <c r="H619" s="118" t="s">
        <v>477</v>
      </c>
      <c r="I619" s="119"/>
      <c r="J619" s="120"/>
      <c r="K619" s="116"/>
      <c r="L619" s="118"/>
      <c r="M619" s="118"/>
      <c r="N619" s="118"/>
      <c r="O619" s="121"/>
    </row>
    <row r="620" spans="1:15" x14ac:dyDescent="0.35">
      <c r="A620" s="110">
        <v>45636</v>
      </c>
      <c r="B620" s="111" t="s">
        <v>862</v>
      </c>
      <c r="C620" s="111" t="s">
        <v>1669</v>
      </c>
      <c r="D620" s="111" t="s">
        <v>52</v>
      </c>
      <c r="E620" s="112" t="s">
        <v>912</v>
      </c>
      <c r="F620" s="112"/>
      <c r="G620" s="112" t="s">
        <v>922</v>
      </c>
      <c r="H620" s="112" t="s">
        <v>395</v>
      </c>
      <c r="I620" s="113"/>
      <c r="J620" s="114"/>
      <c r="K620" s="110"/>
      <c r="L620" s="112"/>
      <c r="M620" s="112"/>
      <c r="N620" s="112"/>
      <c r="O620" s="115"/>
    </row>
    <row r="621" spans="1:15" x14ac:dyDescent="0.35">
      <c r="A621" s="116">
        <v>45636</v>
      </c>
      <c r="B621" s="117" t="s">
        <v>862</v>
      </c>
      <c r="C621" s="111" t="s">
        <v>1669</v>
      </c>
      <c r="D621" s="117" t="s">
        <v>52</v>
      </c>
      <c r="E621" s="118" t="s">
        <v>483</v>
      </c>
      <c r="F621" s="118"/>
      <c r="G621" s="118" t="s">
        <v>923</v>
      </c>
      <c r="H621" s="118" t="s">
        <v>395</v>
      </c>
      <c r="I621" s="119"/>
      <c r="J621" s="120"/>
      <c r="K621" s="116"/>
      <c r="L621" s="118"/>
      <c r="M621" s="118"/>
      <c r="N621" s="118"/>
      <c r="O621" s="121"/>
    </row>
    <row r="622" spans="1:15" x14ac:dyDescent="0.35">
      <c r="A622" s="110">
        <v>45636</v>
      </c>
      <c r="B622" s="111" t="s">
        <v>862</v>
      </c>
      <c r="C622" s="111" t="s">
        <v>1669</v>
      </c>
      <c r="D622" s="111" t="s">
        <v>52</v>
      </c>
      <c r="E622" s="112" t="s">
        <v>459</v>
      </c>
      <c r="F622" s="112"/>
      <c r="G622" s="112" t="s">
        <v>925</v>
      </c>
      <c r="H622" s="112" t="s">
        <v>395</v>
      </c>
      <c r="I622" s="113"/>
      <c r="J622" s="114"/>
      <c r="K622" s="110"/>
      <c r="L622" s="112"/>
      <c r="M622" s="112"/>
      <c r="N622" s="112"/>
      <c r="O622" s="115"/>
    </row>
    <row r="623" spans="1:15" x14ac:dyDescent="0.35">
      <c r="A623" s="116">
        <v>45637</v>
      </c>
      <c r="B623" s="117" t="s">
        <v>862</v>
      </c>
      <c r="C623" s="111" t="s">
        <v>1669</v>
      </c>
      <c r="D623" s="117" t="s">
        <v>66</v>
      </c>
      <c r="E623" s="118" t="s">
        <v>16</v>
      </c>
      <c r="F623" s="118">
        <v>35641</v>
      </c>
      <c r="G623" s="118" t="s">
        <v>867</v>
      </c>
      <c r="H623" s="118" t="s">
        <v>477</v>
      </c>
      <c r="I623" s="119"/>
      <c r="J623" s="120"/>
      <c r="K623" s="116"/>
      <c r="L623" s="118"/>
      <c r="M623" s="118"/>
      <c r="N623" s="118"/>
      <c r="O623" s="121"/>
    </row>
    <row r="624" spans="1:15" x14ac:dyDescent="0.35">
      <c r="A624" s="110">
        <v>45637</v>
      </c>
      <c r="B624" s="111" t="s">
        <v>862</v>
      </c>
      <c r="C624" s="111" t="s">
        <v>1669</v>
      </c>
      <c r="D624" s="111" t="s">
        <v>66</v>
      </c>
      <c r="E624" s="112" t="s">
        <v>16</v>
      </c>
      <c r="F624" s="112"/>
      <c r="G624" s="112" t="s">
        <v>885</v>
      </c>
      <c r="H624" s="112" t="s">
        <v>148</v>
      </c>
      <c r="I624" s="113"/>
      <c r="J624" s="114"/>
      <c r="K624" s="110"/>
      <c r="L624" s="112"/>
      <c r="M624" s="112"/>
      <c r="N624" s="112"/>
      <c r="O624" s="115"/>
    </row>
    <row r="625" spans="1:15" x14ac:dyDescent="0.35">
      <c r="A625" s="116">
        <v>45637</v>
      </c>
      <c r="B625" s="117" t="s">
        <v>862</v>
      </c>
      <c r="C625" s="111" t="s">
        <v>1669</v>
      </c>
      <c r="D625" s="117" t="s">
        <v>66</v>
      </c>
      <c r="E625" s="118" t="s">
        <v>12</v>
      </c>
      <c r="F625" s="118"/>
      <c r="G625" s="118" t="s">
        <v>887</v>
      </c>
      <c r="H625" s="118" t="s">
        <v>407</v>
      </c>
      <c r="I625" s="119"/>
      <c r="J625" s="120"/>
      <c r="K625" s="116"/>
      <c r="L625" s="118"/>
      <c r="M625" s="118"/>
      <c r="N625" s="118"/>
      <c r="O625" s="121"/>
    </row>
    <row r="626" spans="1:15" x14ac:dyDescent="0.35">
      <c r="A626" s="110">
        <v>45637</v>
      </c>
      <c r="B626" s="111" t="s">
        <v>862</v>
      </c>
      <c r="C626" s="111" t="s">
        <v>1669</v>
      </c>
      <c r="D626" s="111" t="s">
        <v>52</v>
      </c>
      <c r="E626" s="112" t="s">
        <v>912</v>
      </c>
      <c r="F626" s="112"/>
      <c r="G626" s="112" t="s">
        <v>926</v>
      </c>
      <c r="H626" s="112" t="s">
        <v>395</v>
      </c>
      <c r="I626" s="113"/>
      <c r="J626" s="114"/>
      <c r="K626" s="110"/>
      <c r="L626" s="112"/>
      <c r="M626" s="112"/>
      <c r="N626" s="112"/>
      <c r="O626" s="115"/>
    </row>
    <row r="627" spans="1:15" x14ac:dyDescent="0.35">
      <c r="A627" s="116">
        <v>45642</v>
      </c>
      <c r="B627" s="117" t="s">
        <v>862</v>
      </c>
      <c r="C627" s="111" t="s">
        <v>1669</v>
      </c>
      <c r="D627" s="117" t="s">
        <v>66</v>
      </c>
      <c r="E627" s="118" t="s">
        <v>14</v>
      </c>
      <c r="F627" s="118"/>
      <c r="G627" s="118" t="s">
        <v>905</v>
      </c>
      <c r="H627" s="118" t="s">
        <v>395</v>
      </c>
      <c r="I627" s="119"/>
      <c r="J627" s="120"/>
      <c r="K627" s="116"/>
      <c r="L627" s="118"/>
      <c r="M627" s="118"/>
      <c r="N627" s="118"/>
      <c r="O627" s="121"/>
    </row>
    <row r="628" spans="1:15" x14ac:dyDescent="0.35">
      <c r="A628" s="110">
        <v>45642</v>
      </c>
      <c r="B628" s="111" t="s">
        <v>862</v>
      </c>
      <c r="C628" s="111" t="s">
        <v>1669</v>
      </c>
      <c r="D628" s="111" t="s">
        <v>66</v>
      </c>
      <c r="E628" s="112" t="s">
        <v>14</v>
      </c>
      <c r="F628" s="112"/>
      <c r="G628" s="112" t="s">
        <v>906</v>
      </c>
      <c r="H628" s="112" t="s">
        <v>4</v>
      </c>
      <c r="I628" s="113"/>
      <c r="J628" s="114"/>
      <c r="K628" s="110"/>
      <c r="L628" s="112"/>
      <c r="M628" s="112"/>
      <c r="N628" s="112"/>
      <c r="O628" s="115"/>
    </row>
    <row r="629" spans="1:15" x14ac:dyDescent="0.35">
      <c r="A629" s="116">
        <v>45642</v>
      </c>
      <c r="B629" s="117" t="s">
        <v>862</v>
      </c>
      <c r="C629" s="111" t="s">
        <v>1669</v>
      </c>
      <c r="D629" s="117" t="s">
        <v>66</v>
      </c>
      <c r="E629" s="118" t="s">
        <v>14</v>
      </c>
      <c r="F629" s="118"/>
      <c r="G629" s="118" t="s">
        <v>907</v>
      </c>
      <c r="H629" s="118" t="s">
        <v>395</v>
      </c>
      <c r="I629" s="119"/>
      <c r="J629" s="120"/>
      <c r="K629" s="116"/>
      <c r="L629" s="118"/>
      <c r="M629" s="118"/>
      <c r="N629" s="118"/>
      <c r="O629" s="121"/>
    </row>
    <row r="630" spans="1:15" x14ac:dyDescent="0.35">
      <c r="A630" s="110">
        <v>45642</v>
      </c>
      <c r="B630" s="111" t="s">
        <v>862</v>
      </c>
      <c r="C630" s="111" t="s">
        <v>1669</v>
      </c>
      <c r="D630" s="111" t="s">
        <v>66</v>
      </c>
      <c r="E630" s="112" t="s">
        <v>14</v>
      </c>
      <c r="F630" s="112"/>
      <c r="G630" s="112" t="s">
        <v>908</v>
      </c>
      <c r="H630" s="112" t="s">
        <v>407</v>
      </c>
      <c r="I630" s="113"/>
      <c r="J630" s="114"/>
      <c r="K630" s="110"/>
      <c r="L630" s="112"/>
      <c r="M630" s="112"/>
      <c r="N630" s="112"/>
      <c r="O630" s="115"/>
    </row>
    <row r="631" spans="1:15" x14ac:dyDescent="0.35">
      <c r="O631" s="17"/>
    </row>
  </sheetData>
  <autoFilter ref="A1:O630" xr:uid="{8678B440-E16E-49DD-84D5-A2DFBBD68D7F}"/>
  <conditionalFormatting sqref="C2:D630">
    <cfRule type="cellIs" dxfId="22" priority="5" operator="equal">
      <formula>"CAMBIO PLAN"</formula>
    </cfRule>
    <cfRule type="cellIs" dxfId="21" priority="6" operator="equal">
      <formula>"RENOVACION"</formula>
    </cfRule>
    <cfRule type="cellIs" dxfId="20" priority="7" operator="equal">
      <formula>"NOMBRAMIENTO"</formula>
    </cfRule>
    <cfRule type="cellIs" dxfId="19" priority="8" operator="equal">
      <formula>"ANULADO"</formula>
    </cfRule>
    <cfRule type="cellIs" dxfId="18" priority="9" operator="equal">
      <formula>"NEG. NUEVO"</formula>
    </cfRule>
  </conditionalFormatting>
  <conditionalFormatting sqref="F1:F630">
    <cfRule type="duplicateValues" dxfId="17" priority="4"/>
  </conditionalFormatting>
  <conditionalFormatting sqref="F4">
    <cfRule type="duplicateValues" dxfId="16" priority="38"/>
  </conditionalFormatting>
  <conditionalFormatting sqref="F5">
    <cfRule type="duplicateValues" dxfId="15" priority="37"/>
  </conditionalFormatting>
  <conditionalFormatting sqref="F10">
    <cfRule type="duplicateValues" dxfId="14" priority="32"/>
  </conditionalFormatting>
  <conditionalFormatting sqref="F11:F17 F2:F3 F6:F9 F19:F75">
    <cfRule type="duplicateValues" dxfId="13" priority="40"/>
  </conditionalFormatting>
  <conditionalFormatting sqref="F18">
    <cfRule type="duplicateValues" dxfId="12" priority="25"/>
  </conditionalFormatting>
  <conditionalFormatting sqref="F76:F511">
    <cfRule type="duplicateValues" dxfId="11" priority="41"/>
  </conditionalFormatting>
  <conditionalFormatting sqref="F512:F528">
    <cfRule type="duplicateValues" dxfId="10" priority="15"/>
  </conditionalFormatting>
  <conditionalFormatting sqref="F529:F569 F571:F575 F603:F614 F630">
    <cfRule type="duplicateValues" dxfId="9" priority="42"/>
  </conditionalFormatting>
  <conditionalFormatting sqref="F570">
    <cfRule type="duplicateValues" dxfId="8" priority="14"/>
  </conditionalFormatting>
  <conditionalFormatting sqref="F576:F582">
    <cfRule type="duplicateValues" dxfId="7" priority="13"/>
  </conditionalFormatting>
  <conditionalFormatting sqref="F583:F596 F598:F602">
    <cfRule type="duplicateValues" dxfId="6" priority="12"/>
  </conditionalFormatting>
  <conditionalFormatting sqref="F597">
    <cfRule type="duplicateValues" dxfId="5" priority="11"/>
  </conditionalFormatting>
  <conditionalFormatting sqref="F615:F629">
    <cfRule type="duplicateValues" dxfId="4" priority="10"/>
  </conditionalFormatting>
  <conditionalFormatting sqref="G1">
    <cfRule type="duplicateValues" dxfId="3" priority="2"/>
    <cfRule type="duplicateValues" dxfId="2" priority="3"/>
  </conditionalFormatting>
  <conditionalFormatting sqref="G2:G630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0D26-C9DA-4196-B770-E55C46657809}">
  <sheetPr>
    <tabColor rgb="FF92D050"/>
  </sheetPr>
  <dimension ref="A1:S201"/>
  <sheetViews>
    <sheetView workbookViewId="0">
      <selection activeCell="G1" sqref="G1"/>
    </sheetView>
  </sheetViews>
  <sheetFormatPr baseColWidth="10" defaultRowHeight="14.5" x14ac:dyDescent="0.35"/>
  <cols>
    <col min="1" max="1" width="14.26953125" style="24" customWidth="1"/>
    <col min="2" max="2" width="17" style="24" bestFit="1" customWidth="1"/>
    <col min="3" max="3" width="13.7265625" style="24" bestFit="1" customWidth="1"/>
    <col min="4" max="4" width="42.81640625" style="24" bestFit="1" customWidth="1"/>
    <col min="5" max="5" width="16.1796875" style="24" bestFit="1" customWidth="1"/>
    <col min="6" max="7" width="14.26953125" style="24" customWidth="1"/>
    <col min="8" max="8" width="13.54296875" style="24" customWidth="1"/>
    <col min="9" max="9" width="39.54296875" style="24" bestFit="1" customWidth="1"/>
    <col min="10" max="19" width="11.54296875" style="24"/>
  </cols>
  <sheetData>
    <row r="1" spans="1:9" s="25" customFormat="1" ht="29" x14ac:dyDescent="0.35">
      <c r="A1" s="101" t="s">
        <v>1105</v>
      </c>
      <c r="B1" s="101" t="s">
        <v>9</v>
      </c>
      <c r="C1" s="101" t="s">
        <v>1106</v>
      </c>
      <c r="D1" s="101" t="s">
        <v>1108</v>
      </c>
      <c r="E1" s="101" t="s">
        <v>36</v>
      </c>
      <c r="F1" s="101" t="s">
        <v>1125</v>
      </c>
      <c r="G1" s="101" t="s">
        <v>1110</v>
      </c>
      <c r="H1" s="101" t="s">
        <v>1109</v>
      </c>
      <c r="I1" s="101" t="s">
        <v>42</v>
      </c>
    </row>
    <row r="2" spans="1:9" x14ac:dyDescent="0.35">
      <c r="A2" s="100"/>
      <c r="F2" s="100"/>
      <c r="G2" s="100"/>
    </row>
    <row r="3" spans="1:9" x14ac:dyDescent="0.35">
      <c r="A3" s="100"/>
      <c r="F3" s="100"/>
      <c r="G3" s="100"/>
    </row>
    <row r="4" spans="1:9" x14ac:dyDescent="0.35">
      <c r="A4" s="100"/>
      <c r="F4" s="100"/>
      <c r="G4" s="100"/>
    </row>
    <row r="5" spans="1:9" x14ac:dyDescent="0.35">
      <c r="A5" s="100"/>
      <c r="F5" s="100"/>
      <c r="G5" s="100"/>
    </row>
    <row r="6" spans="1:9" x14ac:dyDescent="0.35">
      <c r="A6" s="100"/>
      <c r="F6" s="100"/>
      <c r="G6" s="100"/>
    </row>
    <row r="7" spans="1:9" x14ac:dyDescent="0.35">
      <c r="A7" s="100"/>
      <c r="F7" s="100"/>
      <c r="G7" s="100"/>
    </row>
    <row r="8" spans="1:9" x14ac:dyDescent="0.35">
      <c r="A8" s="100"/>
      <c r="F8" s="100"/>
      <c r="G8" s="100"/>
    </row>
    <row r="9" spans="1:9" x14ac:dyDescent="0.35">
      <c r="A9" s="100"/>
      <c r="F9" s="100"/>
      <c r="G9" s="100"/>
    </row>
    <row r="10" spans="1:9" x14ac:dyDescent="0.35">
      <c r="A10" s="100"/>
      <c r="F10" s="100"/>
      <c r="G10" s="100"/>
    </row>
    <row r="11" spans="1:9" x14ac:dyDescent="0.35">
      <c r="A11" s="100"/>
      <c r="F11" s="100"/>
      <c r="G11" s="100"/>
    </row>
    <row r="12" spans="1:9" x14ac:dyDescent="0.35">
      <c r="A12" s="100"/>
      <c r="F12" s="100"/>
      <c r="G12" s="100"/>
    </row>
    <row r="13" spans="1:9" x14ac:dyDescent="0.35">
      <c r="A13" s="100"/>
      <c r="F13" s="100"/>
      <c r="G13" s="100"/>
    </row>
    <row r="14" spans="1:9" x14ac:dyDescent="0.35">
      <c r="A14" s="100"/>
      <c r="F14" s="100"/>
      <c r="G14" s="100"/>
    </row>
    <row r="15" spans="1:9" x14ac:dyDescent="0.35">
      <c r="A15" s="100"/>
      <c r="F15" s="100"/>
      <c r="G15" s="100"/>
    </row>
    <row r="16" spans="1:9" x14ac:dyDescent="0.35">
      <c r="A16" s="100"/>
      <c r="F16" s="100"/>
      <c r="G16" s="100"/>
    </row>
    <row r="17" spans="1:7" x14ac:dyDescent="0.35">
      <c r="A17" s="100"/>
      <c r="F17" s="100"/>
      <c r="G17" s="100"/>
    </row>
    <row r="18" spans="1:7" x14ac:dyDescent="0.35">
      <c r="A18" s="100"/>
      <c r="F18" s="100"/>
      <c r="G18" s="100"/>
    </row>
    <row r="19" spans="1:7" x14ac:dyDescent="0.35">
      <c r="A19" s="100"/>
      <c r="F19" s="100"/>
      <c r="G19" s="100"/>
    </row>
    <row r="20" spans="1:7" x14ac:dyDescent="0.35">
      <c r="A20" s="100"/>
      <c r="F20" s="100"/>
      <c r="G20" s="100"/>
    </row>
    <row r="21" spans="1:7" x14ac:dyDescent="0.35">
      <c r="A21" s="100"/>
      <c r="F21" s="100"/>
      <c r="G21" s="100"/>
    </row>
    <row r="22" spans="1:7" x14ac:dyDescent="0.35">
      <c r="A22" s="100"/>
      <c r="F22" s="100"/>
      <c r="G22" s="100"/>
    </row>
    <row r="23" spans="1:7" x14ac:dyDescent="0.35">
      <c r="A23" s="100"/>
      <c r="F23" s="100"/>
      <c r="G23" s="100"/>
    </row>
    <row r="24" spans="1:7" x14ac:dyDescent="0.35">
      <c r="A24" s="100"/>
      <c r="F24" s="100"/>
      <c r="G24" s="100"/>
    </row>
    <row r="25" spans="1:7" x14ac:dyDescent="0.35">
      <c r="A25" s="100"/>
      <c r="F25" s="100"/>
      <c r="G25" s="100"/>
    </row>
    <row r="26" spans="1:7" x14ac:dyDescent="0.35">
      <c r="A26" s="100"/>
      <c r="F26" s="100"/>
      <c r="G26" s="100"/>
    </row>
    <row r="27" spans="1:7" x14ac:dyDescent="0.35">
      <c r="A27" s="100"/>
      <c r="F27" s="100"/>
      <c r="G27" s="100"/>
    </row>
    <row r="28" spans="1:7" x14ac:dyDescent="0.35">
      <c r="A28" s="100"/>
      <c r="F28" s="100"/>
      <c r="G28" s="100"/>
    </row>
    <row r="29" spans="1:7" x14ac:dyDescent="0.35">
      <c r="A29" s="100"/>
      <c r="F29" s="100"/>
      <c r="G29" s="100"/>
    </row>
    <row r="30" spans="1:7" x14ac:dyDescent="0.35">
      <c r="A30" s="100"/>
      <c r="F30" s="100"/>
      <c r="G30" s="100"/>
    </row>
    <row r="31" spans="1:7" x14ac:dyDescent="0.35">
      <c r="A31" s="100"/>
      <c r="F31" s="100"/>
      <c r="G31" s="100"/>
    </row>
    <row r="32" spans="1:7" x14ac:dyDescent="0.35">
      <c r="A32" s="100"/>
      <c r="F32" s="100"/>
      <c r="G32" s="100"/>
    </row>
    <row r="33" spans="1:7" x14ac:dyDescent="0.35">
      <c r="A33" s="100"/>
      <c r="F33" s="100"/>
      <c r="G33" s="100"/>
    </row>
    <row r="34" spans="1:7" x14ac:dyDescent="0.35">
      <c r="A34" s="100"/>
      <c r="F34" s="100"/>
      <c r="G34" s="100"/>
    </row>
    <row r="35" spans="1:7" x14ac:dyDescent="0.35">
      <c r="A35" s="100"/>
      <c r="F35" s="100"/>
      <c r="G35" s="100"/>
    </row>
    <row r="36" spans="1:7" x14ac:dyDescent="0.35">
      <c r="A36" s="100"/>
      <c r="F36" s="100"/>
      <c r="G36" s="100"/>
    </row>
    <row r="37" spans="1:7" x14ac:dyDescent="0.35">
      <c r="A37" s="100"/>
      <c r="F37" s="100"/>
      <c r="G37" s="100"/>
    </row>
    <row r="38" spans="1:7" x14ac:dyDescent="0.35">
      <c r="A38" s="100"/>
      <c r="F38" s="100"/>
      <c r="G38" s="100"/>
    </row>
    <row r="39" spans="1:7" x14ac:dyDescent="0.35">
      <c r="A39" s="100"/>
      <c r="F39" s="100"/>
      <c r="G39" s="100"/>
    </row>
    <row r="40" spans="1:7" x14ac:dyDescent="0.35">
      <c r="A40" s="100"/>
      <c r="F40" s="100"/>
      <c r="G40" s="100"/>
    </row>
    <row r="41" spans="1:7" x14ac:dyDescent="0.35">
      <c r="A41" s="100"/>
      <c r="F41" s="100"/>
      <c r="G41" s="100"/>
    </row>
    <row r="42" spans="1:7" x14ac:dyDescent="0.35">
      <c r="A42" s="100"/>
      <c r="F42" s="100"/>
      <c r="G42" s="100"/>
    </row>
    <row r="43" spans="1:7" x14ac:dyDescent="0.35">
      <c r="A43" s="100"/>
      <c r="F43" s="100"/>
      <c r="G43" s="100"/>
    </row>
    <row r="44" spans="1:7" x14ac:dyDescent="0.35">
      <c r="A44" s="100"/>
      <c r="F44" s="100"/>
      <c r="G44" s="100"/>
    </row>
    <row r="45" spans="1:7" x14ac:dyDescent="0.35">
      <c r="A45" s="100"/>
      <c r="F45" s="100"/>
      <c r="G45" s="100"/>
    </row>
    <row r="46" spans="1:7" x14ac:dyDescent="0.35">
      <c r="A46" s="100"/>
      <c r="F46" s="100"/>
      <c r="G46" s="100"/>
    </row>
    <row r="47" spans="1:7" x14ac:dyDescent="0.35">
      <c r="A47" s="100"/>
      <c r="F47" s="100"/>
      <c r="G47" s="100"/>
    </row>
    <row r="48" spans="1:7" x14ac:dyDescent="0.35">
      <c r="A48" s="100"/>
      <c r="F48" s="100"/>
      <c r="G48" s="100"/>
    </row>
    <row r="49" spans="1:7" x14ac:dyDescent="0.35">
      <c r="A49" s="100"/>
      <c r="F49" s="100"/>
      <c r="G49" s="100"/>
    </row>
    <row r="50" spans="1:7" x14ac:dyDescent="0.35">
      <c r="A50" s="100"/>
      <c r="F50" s="100"/>
      <c r="G50" s="100"/>
    </row>
    <row r="51" spans="1:7" x14ac:dyDescent="0.35">
      <c r="A51" s="100"/>
      <c r="F51" s="100"/>
      <c r="G51" s="100"/>
    </row>
    <row r="52" spans="1:7" x14ac:dyDescent="0.35">
      <c r="A52" s="100"/>
      <c r="F52" s="100"/>
      <c r="G52" s="100"/>
    </row>
    <row r="53" spans="1:7" x14ac:dyDescent="0.35">
      <c r="A53" s="100"/>
      <c r="F53" s="100"/>
      <c r="G53" s="100"/>
    </row>
    <row r="54" spans="1:7" x14ac:dyDescent="0.35">
      <c r="A54" s="100"/>
      <c r="F54" s="100"/>
      <c r="G54" s="100"/>
    </row>
    <row r="55" spans="1:7" x14ac:dyDescent="0.35">
      <c r="A55" s="100"/>
      <c r="F55" s="100"/>
      <c r="G55" s="100"/>
    </row>
    <row r="56" spans="1:7" x14ac:dyDescent="0.35">
      <c r="A56" s="100"/>
      <c r="F56" s="100"/>
      <c r="G56" s="100"/>
    </row>
    <row r="57" spans="1:7" x14ac:dyDescent="0.35">
      <c r="A57" s="100"/>
      <c r="F57" s="100"/>
      <c r="G57" s="100"/>
    </row>
    <row r="58" spans="1:7" x14ac:dyDescent="0.35">
      <c r="A58" s="100"/>
      <c r="F58" s="100"/>
      <c r="G58" s="100"/>
    </row>
    <row r="59" spans="1:7" x14ac:dyDescent="0.35">
      <c r="A59" s="100"/>
      <c r="F59" s="100"/>
      <c r="G59" s="100"/>
    </row>
    <row r="60" spans="1:7" x14ac:dyDescent="0.35">
      <c r="A60" s="100"/>
      <c r="F60" s="100"/>
      <c r="G60" s="100"/>
    </row>
    <row r="61" spans="1:7" x14ac:dyDescent="0.35">
      <c r="A61" s="100"/>
      <c r="F61" s="100"/>
      <c r="G61" s="100"/>
    </row>
    <row r="62" spans="1:7" x14ac:dyDescent="0.35">
      <c r="A62" s="100"/>
      <c r="F62" s="100"/>
      <c r="G62" s="100"/>
    </row>
    <row r="63" spans="1:7" x14ac:dyDescent="0.35">
      <c r="A63" s="100"/>
      <c r="F63" s="100"/>
      <c r="G63" s="100"/>
    </row>
    <row r="64" spans="1:7" x14ac:dyDescent="0.35">
      <c r="A64" s="100"/>
      <c r="F64" s="100"/>
      <c r="G64" s="100"/>
    </row>
    <row r="65" spans="1:7" x14ac:dyDescent="0.35">
      <c r="A65" s="100"/>
      <c r="F65" s="100"/>
      <c r="G65" s="100"/>
    </row>
    <row r="66" spans="1:7" x14ac:dyDescent="0.35">
      <c r="A66" s="100"/>
      <c r="F66" s="100"/>
      <c r="G66" s="100"/>
    </row>
    <row r="67" spans="1:7" x14ac:dyDescent="0.35">
      <c r="A67" s="100"/>
      <c r="F67" s="100"/>
      <c r="G67" s="100"/>
    </row>
    <row r="68" spans="1:7" x14ac:dyDescent="0.35">
      <c r="A68" s="100"/>
      <c r="F68" s="100"/>
      <c r="G68" s="100"/>
    </row>
    <row r="69" spans="1:7" x14ac:dyDescent="0.35">
      <c r="A69" s="100"/>
      <c r="F69" s="100"/>
      <c r="G69" s="100"/>
    </row>
    <row r="70" spans="1:7" x14ac:dyDescent="0.35">
      <c r="A70" s="100"/>
      <c r="F70" s="100"/>
      <c r="G70" s="100"/>
    </row>
    <row r="71" spans="1:7" x14ac:dyDescent="0.35">
      <c r="A71" s="100"/>
      <c r="F71" s="100"/>
      <c r="G71" s="100"/>
    </row>
    <row r="72" spans="1:7" x14ac:dyDescent="0.35">
      <c r="A72" s="100"/>
      <c r="F72" s="100"/>
      <c r="G72" s="100"/>
    </row>
    <row r="73" spans="1:7" x14ac:dyDescent="0.35">
      <c r="A73" s="100"/>
      <c r="F73" s="100"/>
      <c r="G73" s="100"/>
    </row>
    <row r="74" spans="1:7" x14ac:dyDescent="0.35">
      <c r="A74" s="100"/>
      <c r="F74" s="100"/>
      <c r="G74" s="100"/>
    </row>
    <row r="75" spans="1:7" x14ac:dyDescent="0.35">
      <c r="A75" s="100"/>
      <c r="F75" s="100"/>
      <c r="G75" s="100"/>
    </row>
    <row r="76" spans="1:7" x14ac:dyDescent="0.35">
      <c r="A76" s="100"/>
      <c r="F76" s="100"/>
      <c r="G76" s="100"/>
    </row>
    <row r="77" spans="1:7" x14ac:dyDescent="0.35">
      <c r="A77" s="100"/>
      <c r="F77" s="100"/>
      <c r="G77" s="100"/>
    </row>
    <row r="78" spans="1:7" x14ac:dyDescent="0.35">
      <c r="A78" s="100"/>
      <c r="F78" s="100"/>
      <c r="G78" s="100"/>
    </row>
    <row r="79" spans="1:7" x14ac:dyDescent="0.35">
      <c r="A79" s="100"/>
      <c r="F79" s="100"/>
      <c r="G79" s="100"/>
    </row>
    <row r="80" spans="1:7" x14ac:dyDescent="0.35">
      <c r="A80" s="100"/>
      <c r="F80" s="100"/>
      <c r="G80" s="100"/>
    </row>
    <row r="81" spans="1:7" x14ac:dyDescent="0.35">
      <c r="A81" s="100"/>
      <c r="F81" s="100"/>
      <c r="G81" s="100"/>
    </row>
    <row r="82" spans="1:7" x14ac:dyDescent="0.35">
      <c r="A82" s="100"/>
      <c r="F82" s="100"/>
      <c r="G82" s="100"/>
    </row>
    <row r="83" spans="1:7" x14ac:dyDescent="0.35">
      <c r="A83" s="100"/>
      <c r="F83" s="100"/>
      <c r="G83" s="100"/>
    </row>
    <row r="84" spans="1:7" x14ac:dyDescent="0.35">
      <c r="A84" s="100"/>
      <c r="F84" s="100"/>
      <c r="G84" s="100"/>
    </row>
    <row r="85" spans="1:7" x14ac:dyDescent="0.35">
      <c r="A85" s="100"/>
      <c r="F85" s="100"/>
      <c r="G85" s="100"/>
    </row>
    <row r="86" spans="1:7" x14ac:dyDescent="0.35">
      <c r="A86" s="100"/>
      <c r="F86" s="100"/>
      <c r="G86" s="100"/>
    </row>
    <row r="87" spans="1:7" x14ac:dyDescent="0.35">
      <c r="A87" s="100"/>
      <c r="F87" s="100"/>
      <c r="G87" s="100"/>
    </row>
    <row r="88" spans="1:7" x14ac:dyDescent="0.35">
      <c r="A88" s="100"/>
      <c r="F88" s="100"/>
      <c r="G88" s="100"/>
    </row>
    <row r="89" spans="1:7" x14ac:dyDescent="0.35">
      <c r="A89" s="100"/>
      <c r="F89" s="100"/>
      <c r="G89" s="100"/>
    </row>
    <row r="90" spans="1:7" x14ac:dyDescent="0.35">
      <c r="A90" s="100"/>
      <c r="F90" s="100"/>
      <c r="G90" s="100"/>
    </row>
    <row r="91" spans="1:7" x14ac:dyDescent="0.35">
      <c r="A91" s="100"/>
      <c r="F91" s="100"/>
      <c r="G91" s="100"/>
    </row>
    <row r="92" spans="1:7" x14ac:dyDescent="0.35">
      <c r="A92" s="100"/>
      <c r="F92" s="100"/>
      <c r="G92" s="100"/>
    </row>
    <row r="93" spans="1:7" x14ac:dyDescent="0.35">
      <c r="A93" s="100"/>
      <c r="F93" s="100"/>
      <c r="G93" s="100"/>
    </row>
    <row r="94" spans="1:7" x14ac:dyDescent="0.35">
      <c r="A94" s="100"/>
      <c r="F94" s="100"/>
      <c r="G94" s="100"/>
    </row>
    <row r="95" spans="1:7" x14ac:dyDescent="0.35">
      <c r="A95" s="100"/>
      <c r="F95" s="100"/>
      <c r="G95" s="100"/>
    </row>
    <row r="96" spans="1:7" x14ac:dyDescent="0.35">
      <c r="A96" s="100"/>
      <c r="F96" s="100"/>
      <c r="G96" s="100"/>
    </row>
    <row r="97" spans="1:7" x14ac:dyDescent="0.35">
      <c r="A97" s="100"/>
      <c r="F97" s="100"/>
      <c r="G97" s="100"/>
    </row>
    <row r="98" spans="1:7" x14ac:dyDescent="0.35">
      <c r="A98" s="100"/>
      <c r="F98" s="100"/>
      <c r="G98" s="100"/>
    </row>
    <row r="99" spans="1:7" x14ac:dyDescent="0.35">
      <c r="A99" s="100"/>
      <c r="F99" s="100"/>
      <c r="G99" s="100"/>
    </row>
    <row r="100" spans="1:7" x14ac:dyDescent="0.35">
      <c r="A100" s="100"/>
      <c r="F100" s="100"/>
      <c r="G100" s="100"/>
    </row>
    <row r="101" spans="1:7" x14ac:dyDescent="0.35">
      <c r="A101" s="100"/>
      <c r="F101" s="100"/>
      <c r="G101" s="100"/>
    </row>
    <row r="102" spans="1:7" x14ac:dyDescent="0.35">
      <c r="A102" s="100"/>
      <c r="F102" s="100"/>
      <c r="G102" s="100"/>
    </row>
    <row r="103" spans="1:7" x14ac:dyDescent="0.35">
      <c r="A103" s="100"/>
      <c r="F103" s="100"/>
      <c r="G103" s="100"/>
    </row>
    <row r="104" spans="1:7" x14ac:dyDescent="0.35">
      <c r="A104" s="100"/>
      <c r="F104" s="100"/>
      <c r="G104" s="100"/>
    </row>
    <row r="105" spans="1:7" x14ac:dyDescent="0.35">
      <c r="A105" s="100"/>
      <c r="F105" s="100"/>
      <c r="G105" s="100"/>
    </row>
    <row r="106" spans="1:7" x14ac:dyDescent="0.35">
      <c r="A106" s="100"/>
      <c r="F106" s="100"/>
      <c r="G106" s="100"/>
    </row>
    <row r="107" spans="1:7" x14ac:dyDescent="0.35">
      <c r="A107" s="100"/>
      <c r="F107" s="100"/>
      <c r="G107" s="100"/>
    </row>
    <row r="108" spans="1:7" x14ac:dyDescent="0.35">
      <c r="A108" s="100"/>
      <c r="F108" s="100"/>
      <c r="G108" s="100"/>
    </row>
    <row r="109" spans="1:7" x14ac:dyDescent="0.35">
      <c r="A109" s="100"/>
      <c r="F109" s="100"/>
      <c r="G109" s="100"/>
    </row>
    <row r="110" spans="1:7" x14ac:dyDescent="0.35">
      <c r="A110" s="100"/>
      <c r="F110" s="100"/>
      <c r="G110" s="100"/>
    </row>
    <row r="111" spans="1:7" x14ac:dyDescent="0.35">
      <c r="A111" s="100"/>
      <c r="F111" s="100"/>
      <c r="G111" s="100"/>
    </row>
    <row r="112" spans="1:7" x14ac:dyDescent="0.35">
      <c r="A112" s="100"/>
      <c r="F112" s="100"/>
      <c r="G112" s="100"/>
    </row>
    <row r="113" spans="1:7" x14ac:dyDescent="0.35">
      <c r="A113" s="100"/>
      <c r="F113" s="100"/>
      <c r="G113" s="100"/>
    </row>
    <row r="114" spans="1:7" x14ac:dyDescent="0.35">
      <c r="A114" s="100"/>
      <c r="F114" s="100"/>
      <c r="G114" s="100"/>
    </row>
    <row r="115" spans="1:7" x14ac:dyDescent="0.35">
      <c r="A115" s="100"/>
      <c r="F115" s="100"/>
      <c r="G115" s="100"/>
    </row>
    <row r="116" spans="1:7" x14ac:dyDescent="0.35">
      <c r="A116" s="100"/>
      <c r="F116" s="100"/>
      <c r="G116" s="100"/>
    </row>
    <row r="117" spans="1:7" x14ac:dyDescent="0.35">
      <c r="A117" s="100"/>
      <c r="F117" s="100"/>
      <c r="G117" s="100"/>
    </row>
    <row r="118" spans="1:7" x14ac:dyDescent="0.35">
      <c r="A118" s="100"/>
      <c r="F118" s="100"/>
      <c r="G118" s="100"/>
    </row>
    <row r="119" spans="1:7" x14ac:dyDescent="0.35">
      <c r="A119" s="100"/>
      <c r="F119" s="100"/>
      <c r="G119" s="100"/>
    </row>
    <row r="120" spans="1:7" x14ac:dyDescent="0.35">
      <c r="A120" s="100"/>
      <c r="F120" s="100"/>
      <c r="G120" s="100"/>
    </row>
    <row r="121" spans="1:7" x14ac:dyDescent="0.35">
      <c r="A121" s="100"/>
      <c r="F121" s="100"/>
      <c r="G121" s="100"/>
    </row>
    <row r="122" spans="1:7" x14ac:dyDescent="0.35">
      <c r="A122" s="100"/>
      <c r="F122" s="100"/>
      <c r="G122" s="100"/>
    </row>
    <row r="123" spans="1:7" x14ac:dyDescent="0.35">
      <c r="A123" s="100"/>
      <c r="F123" s="100"/>
      <c r="G123" s="100"/>
    </row>
    <row r="124" spans="1:7" x14ac:dyDescent="0.35">
      <c r="A124" s="100"/>
      <c r="F124" s="100"/>
      <c r="G124" s="100"/>
    </row>
    <row r="125" spans="1:7" x14ac:dyDescent="0.35">
      <c r="A125" s="100"/>
      <c r="F125" s="100"/>
      <c r="G125" s="100"/>
    </row>
    <row r="126" spans="1:7" x14ac:dyDescent="0.35">
      <c r="A126" s="100"/>
      <c r="F126" s="100"/>
      <c r="G126" s="100"/>
    </row>
    <row r="127" spans="1:7" x14ac:dyDescent="0.35">
      <c r="A127" s="100"/>
      <c r="F127" s="100"/>
      <c r="G127" s="100"/>
    </row>
    <row r="128" spans="1:7" x14ac:dyDescent="0.35">
      <c r="A128" s="100"/>
      <c r="F128" s="100"/>
      <c r="G128" s="100"/>
    </row>
    <row r="129" spans="1:7" x14ac:dyDescent="0.35">
      <c r="A129" s="100"/>
      <c r="F129" s="100"/>
      <c r="G129" s="100"/>
    </row>
    <row r="130" spans="1:7" x14ac:dyDescent="0.35">
      <c r="A130" s="100"/>
      <c r="F130" s="100"/>
      <c r="G130" s="100"/>
    </row>
    <row r="131" spans="1:7" x14ac:dyDescent="0.35">
      <c r="A131" s="100"/>
      <c r="F131" s="100"/>
      <c r="G131" s="100"/>
    </row>
    <row r="132" spans="1:7" x14ac:dyDescent="0.35">
      <c r="A132" s="100"/>
      <c r="F132" s="100"/>
      <c r="G132" s="100"/>
    </row>
    <row r="133" spans="1:7" x14ac:dyDescent="0.35">
      <c r="A133" s="100"/>
      <c r="F133" s="100"/>
      <c r="G133" s="100"/>
    </row>
    <row r="134" spans="1:7" x14ac:dyDescent="0.35">
      <c r="A134" s="100"/>
      <c r="F134" s="100"/>
      <c r="G134" s="100"/>
    </row>
    <row r="135" spans="1:7" x14ac:dyDescent="0.35">
      <c r="A135" s="100"/>
      <c r="F135" s="100"/>
      <c r="G135" s="100"/>
    </row>
    <row r="136" spans="1:7" x14ac:dyDescent="0.35">
      <c r="A136" s="100"/>
      <c r="F136" s="100"/>
      <c r="G136" s="100"/>
    </row>
    <row r="137" spans="1:7" x14ac:dyDescent="0.35">
      <c r="A137" s="100"/>
      <c r="F137" s="100"/>
      <c r="G137" s="100"/>
    </row>
    <row r="138" spans="1:7" x14ac:dyDescent="0.35">
      <c r="A138" s="100"/>
      <c r="F138" s="100"/>
      <c r="G138" s="100"/>
    </row>
    <row r="139" spans="1:7" x14ac:dyDescent="0.35">
      <c r="A139" s="100"/>
      <c r="F139" s="100"/>
      <c r="G139" s="100"/>
    </row>
    <row r="140" spans="1:7" x14ac:dyDescent="0.35">
      <c r="A140" s="100"/>
      <c r="F140" s="100"/>
      <c r="G140" s="100"/>
    </row>
    <row r="141" spans="1:7" x14ac:dyDescent="0.35">
      <c r="A141" s="100"/>
      <c r="F141" s="100"/>
      <c r="G141" s="100"/>
    </row>
    <row r="142" spans="1:7" x14ac:dyDescent="0.35">
      <c r="A142" s="100"/>
      <c r="F142" s="100"/>
      <c r="G142" s="100"/>
    </row>
    <row r="143" spans="1:7" x14ac:dyDescent="0.35">
      <c r="A143" s="100"/>
      <c r="F143" s="100"/>
      <c r="G143" s="100"/>
    </row>
    <row r="144" spans="1:7" x14ac:dyDescent="0.35">
      <c r="A144" s="100"/>
      <c r="F144" s="100"/>
      <c r="G144" s="100"/>
    </row>
    <row r="145" spans="1:7" x14ac:dyDescent="0.35">
      <c r="A145" s="100"/>
      <c r="F145" s="100"/>
      <c r="G145" s="100"/>
    </row>
    <row r="146" spans="1:7" x14ac:dyDescent="0.35">
      <c r="A146" s="100"/>
      <c r="F146" s="100"/>
      <c r="G146" s="100"/>
    </row>
    <row r="147" spans="1:7" x14ac:dyDescent="0.35">
      <c r="A147" s="100"/>
      <c r="F147" s="100"/>
      <c r="G147" s="100"/>
    </row>
    <row r="148" spans="1:7" x14ac:dyDescent="0.35">
      <c r="A148" s="100"/>
      <c r="F148" s="100"/>
      <c r="G148" s="100"/>
    </row>
    <row r="149" spans="1:7" x14ac:dyDescent="0.35">
      <c r="A149" s="100"/>
      <c r="F149" s="100"/>
      <c r="G149" s="100"/>
    </row>
    <row r="150" spans="1:7" x14ac:dyDescent="0.35">
      <c r="A150" s="100"/>
      <c r="F150" s="100"/>
      <c r="G150" s="100"/>
    </row>
    <row r="151" spans="1:7" x14ac:dyDescent="0.35">
      <c r="A151" s="100"/>
      <c r="F151" s="100"/>
      <c r="G151" s="100"/>
    </row>
    <row r="152" spans="1:7" x14ac:dyDescent="0.35">
      <c r="A152" s="100"/>
      <c r="F152" s="100"/>
      <c r="G152" s="100"/>
    </row>
    <row r="153" spans="1:7" x14ac:dyDescent="0.35">
      <c r="A153" s="100"/>
      <c r="F153" s="100"/>
      <c r="G153" s="100"/>
    </row>
    <row r="154" spans="1:7" x14ac:dyDescent="0.35">
      <c r="A154" s="100"/>
      <c r="F154" s="100"/>
      <c r="G154" s="100"/>
    </row>
    <row r="155" spans="1:7" x14ac:dyDescent="0.35">
      <c r="A155" s="100"/>
      <c r="F155" s="100"/>
      <c r="G155" s="100"/>
    </row>
    <row r="156" spans="1:7" x14ac:dyDescent="0.35">
      <c r="A156" s="100"/>
      <c r="F156" s="100"/>
      <c r="G156" s="100"/>
    </row>
    <row r="157" spans="1:7" x14ac:dyDescent="0.35">
      <c r="A157" s="100"/>
      <c r="F157" s="100"/>
      <c r="G157" s="100"/>
    </row>
    <row r="158" spans="1:7" x14ac:dyDescent="0.35">
      <c r="A158" s="100"/>
      <c r="F158" s="100"/>
      <c r="G158" s="100"/>
    </row>
    <row r="159" spans="1:7" x14ac:dyDescent="0.35">
      <c r="A159" s="100"/>
      <c r="F159" s="100"/>
      <c r="G159" s="100"/>
    </row>
    <row r="160" spans="1:7" x14ac:dyDescent="0.35">
      <c r="A160" s="100"/>
      <c r="F160" s="100"/>
      <c r="G160" s="100"/>
    </row>
    <row r="161" spans="1:7" x14ac:dyDescent="0.35">
      <c r="A161" s="100"/>
      <c r="F161" s="100"/>
      <c r="G161" s="100"/>
    </row>
    <row r="162" spans="1:7" x14ac:dyDescent="0.35">
      <c r="A162" s="100"/>
      <c r="F162" s="100"/>
      <c r="G162" s="100"/>
    </row>
    <row r="163" spans="1:7" x14ac:dyDescent="0.35">
      <c r="A163" s="100"/>
      <c r="F163" s="100"/>
      <c r="G163" s="100"/>
    </row>
    <row r="164" spans="1:7" x14ac:dyDescent="0.35">
      <c r="A164" s="100"/>
      <c r="F164" s="100"/>
      <c r="G164" s="100"/>
    </row>
    <row r="165" spans="1:7" x14ac:dyDescent="0.35">
      <c r="A165" s="100"/>
      <c r="F165" s="100"/>
      <c r="G165" s="100"/>
    </row>
    <row r="166" spans="1:7" x14ac:dyDescent="0.35">
      <c r="A166" s="100"/>
      <c r="F166" s="100"/>
      <c r="G166" s="100"/>
    </row>
    <row r="167" spans="1:7" x14ac:dyDescent="0.35">
      <c r="A167" s="100"/>
      <c r="F167" s="100"/>
      <c r="G167" s="100"/>
    </row>
    <row r="168" spans="1:7" x14ac:dyDescent="0.35">
      <c r="A168" s="100"/>
      <c r="F168" s="100"/>
      <c r="G168" s="100"/>
    </row>
    <row r="169" spans="1:7" x14ac:dyDescent="0.35">
      <c r="A169" s="100"/>
      <c r="F169" s="100"/>
      <c r="G169" s="100"/>
    </row>
    <row r="170" spans="1:7" x14ac:dyDescent="0.35">
      <c r="A170" s="100"/>
      <c r="F170" s="100"/>
      <c r="G170" s="100"/>
    </row>
    <row r="171" spans="1:7" x14ac:dyDescent="0.35">
      <c r="A171" s="100"/>
      <c r="F171" s="100"/>
      <c r="G171" s="100"/>
    </row>
    <row r="172" spans="1:7" x14ac:dyDescent="0.35">
      <c r="A172" s="100"/>
      <c r="F172" s="100"/>
      <c r="G172" s="100"/>
    </row>
    <row r="173" spans="1:7" x14ac:dyDescent="0.35">
      <c r="A173" s="100"/>
      <c r="F173" s="100"/>
      <c r="G173" s="100"/>
    </row>
    <row r="174" spans="1:7" x14ac:dyDescent="0.35">
      <c r="A174" s="100"/>
      <c r="F174" s="100"/>
      <c r="G174" s="100"/>
    </row>
    <row r="175" spans="1:7" x14ac:dyDescent="0.35">
      <c r="A175" s="100"/>
      <c r="F175" s="100"/>
      <c r="G175" s="100"/>
    </row>
    <row r="176" spans="1:7" x14ac:dyDescent="0.35">
      <c r="A176" s="100"/>
      <c r="F176" s="100"/>
      <c r="G176" s="100"/>
    </row>
    <row r="177" spans="1:7" x14ac:dyDescent="0.35">
      <c r="A177" s="100"/>
      <c r="F177" s="100"/>
      <c r="G177" s="100"/>
    </row>
    <row r="178" spans="1:7" x14ac:dyDescent="0.35">
      <c r="A178" s="100"/>
      <c r="F178" s="100"/>
      <c r="G178" s="100"/>
    </row>
    <row r="179" spans="1:7" x14ac:dyDescent="0.35">
      <c r="A179" s="100"/>
      <c r="F179" s="100"/>
      <c r="G179" s="100"/>
    </row>
    <row r="180" spans="1:7" x14ac:dyDescent="0.35">
      <c r="A180" s="100"/>
      <c r="F180" s="100"/>
      <c r="G180" s="100"/>
    </row>
    <row r="181" spans="1:7" x14ac:dyDescent="0.35">
      <c r="A181" s="100"/>
      <c r="F181" s="100"/>
      <c r="G181" s="100"/>
    </row>
    <row r="182" spans="1:7" x14ac:dyDescent="0.35">
      <c r="A182" s="100"/>
      <c r="F182" s="100"/>
      <c r="G182" s="100"/>
    </row>
    <row r="183" spans="1:7" x14ac:dyDescent="0.35">
      <c r="A183" s="100"/>
      <c r="F183" s="100"/>
      <c r="G183" s="100"/>
    </row>
    <row r="184" spans="1:7" x14ac:dyDescent="0.35">
      <c r="A184" s="100"/>
      <c r="F184" s="100"/>
      <c r="G184" s="100"/>
    </row>
    <row r="185" spans="1:7" x14ac:dyDescent="0.35">
      <c r="A185" s="100"/>
      <c r="F185" s="100"/>
      <c r="G185" s="100"/>
    </row>
    <row r="186" spans="1:7" x14ac:dyDescent="0.35">
      <c r="A186" s="100"/>
      <c r="F186" s="100"/>
      <c r="G186" s="100"/>
    </row>
    <row r="187" spans="1:7" x14ac:dyDescent="0.35">
      <c r="A187" s="100"/>
      <c r="F187" s="100"/>
      <c r="G187" s="100"/>
    </row>
    <row r="188" spans="1:7" x14ac:dyDescent="0.35">
      <c r="A188" s="100"/>
      <c r="F188" s="100"/>
      <c r="G188" s="100"/>
    </row>
    <row r="189" spans="1:7" x14ac:dyDescent="0.35">
      <c r="A189" s="100"/>
      <c r="F189" s="100"/>
      <c r="G189" s="100"/>
    </row>
    <row r="190" spans="1:7" x14ac:dyDescent="0.35">
      <c r="A190" s="100"/>
      <c r="F190" s="100"/>
      <c r="G190" s="100"/>
    </row>
    <row r="191" spans="1:7" x14ac:dyDescent="0.35">
      <c r="A191" s="100"/>
      <c r="F191" s="100"/>
      <c r="G191" s="100"/>
    </row>
    <row r="192" spans="1:7" x14ac:dyDescent="0.35">
      <c r="A192" s="100"/>
      <c r="F192" s="100"/>
      <c r="G192" s="100"/>
    </row>
    <row r="193" spans="1:7" x14ac:dyDescent="0.35">
      <c r="A193" s="100"/>
      <c r="F193" s="100"/>
      <c r="G193" s="100"/>
    </row>
    <row r="194" spans="1:7" x14ac:dyDescent="0.35">
      <c r="A194" s="100"/>
      <c r="F194" s="100"/>
      <c r="G194" s="100"/>
    </row>
    <row r="195" spans="1:7" x14ac:dyDescent="0.35">
      <c r="A195" s="100"/>
      <c r="F195" s="100"/>
      <c r="G195" s="100"/>
    </row>
    <row r="196" spans="1:7" x14ac:dyDescent="0.35">
      <c r="A196" s="100"/>
      <c r="F196" s="100"/>
      <c r="G196" s="100"/>
    </row>
    <row r="197" spans="1:7" x14ac:dyDescent="0.35">
      <c r="A197" s="100"/>
      <c r="F197" s="100"/>
      <c r="G197" s="100"/>
    </row>
    <row r="198" spans="1:7" x14ac:dyDescent="0.35">
      <c r="A198" s="100"/>
      <c r="F198" s="100"/>
      <c r="G198" s="100"/>
    </row>
    <row r="199" spans="1:7" x14ac:dyDescent="0.35">
      <c r="A199" s="100"/>
      <c r="F199" s="100"/>
      <c r="G199" s="100"/>
    </row>
    <row r="200" spans="1:7" x14ac:dyDescent="0.35">
      <c r="A200" s="100"/>
      <c r="F200" s="100"/>
      <c r="G200" s="100"/>
    </row>
    <row r="201" spans="1:7" x14ac:dyDescent="0.35">
      <c r="A201" s="100"/>
      <c r="F201" s="100"/>
      <c r="G201" s="1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4575-12E7-4694-9046-0DFEF62D9235}">
  <sheetPr>
    <tabColor theme="5"/>
  </sheetPr>
  <dimension ref="A1:S201"/>
  <sheetViews>
    <sheetView workbookViewId="0">
      <selection activeCell="I5" sqref="I5"/>
    </sheetView>
  </sheetViews>
  <sheetFormatPr baseColWidth="10" defaultRowHeight="14.5" x14ac:dyDescent="0.35"/>
  <cols>
    <col min="1" max="1" width="14.7265625" style="24" customWidth="1"/>
    <col min="2" max="2" width="25.7265625" style="24" customWidth="1"/>
    <col min="3" max="3" width="13.7265625" style="24" bestFit="1" customWidth="1"/>
    <col min="4" max="4" width="42.81640625" style="24" bestFit="1" customWidth="1"/>
    <col min="5" max="5" width="16.1796875" style="24" bestFit="1" customWidth="1"/>
    <col min="6" max="7" width="14.7265625" style="24" customWidth="1"/>
    <col min="8" max="8" width="13.54296875" style="24" customWidth="1"/>
    <col min="9" max="9" width="39.54296875" style="24" bestFit="1" customWidth="1"/>
    <col min="10" max="19" width="11.54296875" style="24"/>
  </cols>
  <sheetData>
    <row r="1" spans="1:9" s="25" customFormat="1" ht="29" x14ac:dyDescent="0.35">
      <c r="A1" s="101" t="s">
        <v>1105</v>
      </c>
      <c r="B1" s="101" t="s">
        <v>9</v>
      </c>
      <c r="C1" s="101" t="s">
        <v>1106</v>
      </c>
      <c r="D1" s="101" t="s">
        <v>1108</v>
      </c>
      <c r="E1" s="101" t="s">
        <v>36</v>
      </c>
      <c r="F1" s="101" t="s">
        <v>1107</v>
      </c>
      <c r="G1" s="101" t="s">
        <v>1110</v>
      </c>
      <c r="H1" s="101" t="s">
        <v>1109</v>
      </c>
      <c r="I1" s="101" t="s">
        <v>1111</v>
      </c>
    </row>
    <row r="2" spans="1:9" x14ac:dyDescent="0.35">
      <c r="A2" s="100">
        <v>45712</v>
      </c>
      <c r="B2" s="24" t="s">
        <v>12</v>
      </c>
      <c r="C2" s="24">
        <v>25235</v>
      </c>
      <c r="D2" s="24" t="s">
        <v>1114</v>
      </c>
      <c r="E2" s="24" t="s">
        <v>2</v>
      </c>
      <c r="F2" s="100"/>
      <c r="G2" s="100"/>
      <c r="H2" s="24" t="s">
        <v>1113</v>
      </c>
      <c r="I2" s="24" t="s">
        <v>1112</v>
      </c>
    </row>
    <row r="3" spans="1:9" x14ac:dyDescent="0.35">
      <c r="A3" s="100">
        <v>45705</v>
      </c>
      <c r="B3" s="24" t="s">
        <v>11</v>
      </c>
      <c r="C3" s="24">
        <v>34810</v>
      </c>
      <c r="D3" s="24" t="s">
        <v>1116</v>
      </c>
      <c r="E3" s="24" t="s">
        <v>2</v>
      </c>
      <c r="F3" s="100">
        <v>45708</v>
      </c>
      <c r="G3" s="100">
        <v>45735</v>
      </c>
      <c r="H3" s="24" t="s">
        <v>9</v>
      </c>
      <c r="I3" s="24" t="s">
        <v>1115</v>
      </c>
    </row>
    <row r="4" spans="1:9" x14ac:dyDescent="0.35">
      <c r="A4" s="100">
        <v>45709</v>
      </c>
      <c r="B4" s="24" t="s">
        <v>275</v>
      </c>
      <c r="D4" s="24" t="s">
        <v>1126</v>
      </c>
      <c r="E4" s="24" t="s">
        <v>6</v>
      </c>
      <c r="F4" s="100"/>
      <c r="G4" s="100"/>
      <c r="H4" s="24" t="s">
        <v>930</v>
      </c>
      <c r="I4" s="24" t="s">
        <v>1112</v>
      </c>
    </row>
    <row r="5" spans="1:9" x14ac:dyDescent="0.35">
      <c r="A5" s="100"/>
      <c r="F5" s="100"/>
      <c r="G5" s="100"/>
    </row>
    <row r="6" spans="1:9" x14ac:dyDescent="0.35">
      <c r="A6" s="100"/>
      <c r="F6" s="100"/>
      <c r="G6" s="100"/>
    </row>
    <row r="7" spans="1:9" x14ac:dyDescent="0.35">
      <c r="A7" s="100"/>
      <c r="F7" s="100"/>
      <c r="G7" s="100"/>
    </row>
    <row r="8" spans="1:9" x14ac:dyDescent="0.35">
      <c r="A8" s="100"/>
      <c r="F8" s="100"/>
      <c r="G8" s="100"/>
    </row>
    <row r="9" spans="1:9" x14ac:dyDescent="0.35">
      <c r="A9" s="100"/>
      <c r="F9" s="100"/>
      <c r="G9" s="100"/>
    </row>
    <row r="10" spans="1:9" x14ac:dyDescent="0.35">
      <c r="A10" s="100"/>
      <c r="F10" s="100"/>
      <c r="G10" s="100"/>
    </row>
    <row r="11" spans="1:9" x14ac:dyDescent="0.35">
      <c r="A11" s="100"/>
      <c r="F11" s="100"/>
      <c r="G11" s="100"/>
    </row>
    <row r="12" spans="1:9" x14ac:dyDescent="0.35">
      <c r="A12" s="100"/>
      <c r="F12" s="100"/>
      <c r="G12" s="100"/>
    </row>
    <row r="13" spans="1:9" x14ac:dyDescent="0.35">
      <c r="A13" s="100"/>
      <c r="F13" s="100"/>
      <c r="G13" s="100"/>
    </row>
    <row r="14" spans="1:9" x14ac:dyDescent="0.35">
      <c r="A14" s="100"/>
      <c r="F14" s="100"/>
      <c r="G14" s="100"/>
    </row>
    <row r="15" spans="1:9" x14ac:dyDescent="0.35">
      <c r="A15" s="100"/>
      <c r="F15" s="100"/>
      <c r="G15" s="100"/>
    </row>
    <row r="16" spans="1:9" x14ac:dyDescent="0.35">
      <c r="A16" s="100"/>
      <c r="F16" s="100"/>
      <c r="G16" s="100"/>
    </row>
    <row r="17" spans="1:7" x14ac:dyDescent="0.35">
      <c r="A17" s="100"/>
      <c r="F17" s="100"/>
      <c r="G17" s="100"/>
    </row>
    <row r="18" spans="1:7" x14ac:dyDescent="0.35">
      <c r="A18" s="100"/>
      <c r="F18" s="100"/>
      <c r="G18" s="100"/>
    </row>
    <row r="19" spans="1:7" x14ac:dyDescent="0.35">
      <c r="A19" s="100"/>
      <c r="F19" s="100"/>
      <c r="G19" s="100"/>
    </row>
    <row r="20" spans="1:7" x14ac:dyDescent="0.35">
      <c r="A20" s="100"/>
      <c r="F20" s="100"/>
      <c r="G20" s="100"/>
    </row>
    <row r="21" spans="1:7" x14ac:dyDescent="0.35">
      <c r="A21" s="100"/>
      <c r="F21" s="100"/>
      <c r="G21" s="100"/>
    </row>
    <row r="22" spans="1:7" x14ac:dyDescent="0.35">
      <c r="A22" s="100"/>
      <c r="F22" s="100"/>
      <c r="G22" s="100"/>
    </row>
    <row r="23" spans="1:7" x14ac:dyDescent="0.35">
      <c r="A23" s="100"/>
      <c r="F23" s="100"/>
      <c r="G23" s="100"/>
    </row>
    <row r="24" spans="1:7" x14ac:dyDescent="0.35">
      <c r="A24" s="100"/>
      <c r="F24" s="100"/>
      <c r="G24" s="100"/>
    </row>
    <row r="25" spans="1:7" x14ac:dyDescent="0.35">
      <c r="A25" s="100"/>
      <c r="F25" s="100"/>
      <c r="G25" s="100"/>
    </row>
    <row r="26" spans="1:7" x14ac:dyDescent="0.35">
      <c r="A26" s="100"/>
      <c r="F26" s="100"/>
      <c r="G26" s="100"/>
    </row>
    <row r="27" spans="1:7" x14ac:dyDescent="0.35">
      <c r="A27" s="100"/>
      <c r="F27" s="100"/>
      <c r="G27" s="100"/>
    </row>
    <row r="28" spans="1:7" x14ac:dyDescent="0.35">
      <c r="A28" s="100"/>
      <c r="F28" s="100"/>
      <c r="G28" s="100"/>
    </row>
    <row r="29" spans="1:7" x14ac:dyDescent="0.35">
      <c r="A29" s="100"/>
      <c r="F29" s="100"/>
      <c r="G29" s="100"/>
    </row>
    <row r="30" spans="1:7" x14ac:dyDescent="0.35">
      <c r="A30" s="100"/>
      <c r="F30" s="100"/>
      <c r="G30" s="100"/>
    </row>
    <row r="31" spans="1:7" x14ac:dyDescent="0.35">
      <c r="A31" s="100"/>
      <c r="F31" s="100"/>
      <c r="G31" s="100"/>
    </row>
    <row r="32" spans="1:7" x14ac:dyDescent="0.35">
      <c r="A32" s="100"/>
      <c r="F32" s="100"/>
      <c r="G32" s="100"/>
    </row>
    <row r="33" spans="1:7" x14ac:dyDescent="0.35">
      <c r="A33" s="100"/>
      <c r="F33" s="100"/>
      <c r="G33" s="100"/>
    </row>
    <row r="34" spans="1:7" x14ac:dyDescent="0.35">
      <c r="A34" s="100"/>
      <c r="F34" s="100"/>
      <c r="G34" s="100"/>
    </row>
    <row r="35" spans="1:7" x14ac:dyDescent="0.35">
      <c r="A35" s="100"/>
      <c r="F35" s="100"/>
      <c r="G35" s="100"/>
    </row>
    <row r="36" spans="1:7" x14ac:dyDescent="0.35">
      <c r="A36" s="100"/>
      <c r="F36" s="100"/>
      <c r="G36" s="100"/>
    </row>
    <row r="37" spans="1:7" x14ac:dyDescent="0.35">
      <c r="A37" s="100"/>
      <c r="F37" s="100"/>
      <c r="G37" s="100"/>
    </row>
    <row r="38" spans="1:7" x14ac:dyDescent="0.35">
      <c r="A38" s="100"/>
      <c r="F38" s="100"/>
      <c r="G38" s="100"/>
    </row>
    <row r="39" spans="1:7" x14ac:dyDescent="0.35">
      <c r="A39" s="100"/>
      <c r="F39" s="100"/>
      <c r="G39" s="100"/>
    </row>
    <row r="40" spans="1:7" x14ac:dyDescent="0.35">
      <c r="A40" s="100"/>
      <c r="F40" s="100"/>
      <c r="G40" s="100"/>
    </row>
    <row r="41" spans="1:7" x14ac:dyDescent="0.35">
      <c r="A41" s="100"/>
      <c r="F41" s="100"/>
      <c r="G41" s="100"/>
    </row>
    <row r="42" spans="1:7" x14ac:dyDescent="0.35">
      <c r="A42" s="100"/>
      <c r="F42" s="100"/>
      <c r="G42" s="100"/>
    </row>
    <row r="43" spans="1:7" x14ac:dyDescent="0.35">
      <c r="A43" s="100"/>
      <c r="F43" s="100"/>
      <c r="G43" s="100"/>
    </row>
    <row r="44" spans="1:7" x14ac:dyDescent="0.35">
      <c r="A44" s="100"/>
      <c r="F44" s="100"/>
      <c r="G44" s="100"/>
    </row>
    <row r="45" spans="1:7" x14ac:dyDescent="0.35">
      <c r="A45" s="100"/>
      <c r="F45" s="100"/>
      <c r="G45" s="100"/>
    </row>
    <row r="46" spans="1:7" x14ac:dyDescent="0.35">
      <c r="A46" s="100"/>
      <c r="F46" s="100"/>
      <c r="G46" s="100"/>
    </row>
    <row r="47" spans="1:7" x14ac:dyDescent="0.35">
      <c r="A47" s="100"/>
      <c r="F47" s="100"/>
      <c r="G47" s="100"/>
    </row>
    <row r="48" spans="1:7" x14ac:dyDescent="0.35">
      <c r="A48" s="100"/>
      <c r="F48" s="100"/>
      <c r="G48" s="100"/>
    </row>
    <row r="49" spans="1:7" x14ac:dyDescent="0.35">
      <c r="A49" s="100"/>
      <c r="F49" s="100"/>
      <c r="G49" s="100"/>
    </row>
    <row r="50" spans="1:7" x14ac:dyDescent="0.35">
      <c r="A50" s="100"/>
      <c r="F50" s="100"/>
      <c r="G50" s="100"/>
    </row>
    <row r="51" spans="1:7" x14ac:dyDescent="0.35">
      <c r="A51" s="100"/>
      <c r="F51" s="100"/>
      <c r="G51" s="100"/>
    </row>
    <row r="52" spans="1:7" x14ac:dyDescent="0.35">
      <c r="A52" s="100"/>
      <c r="F52" s="100"/>
      <c r="G52" s="100"/>
    </row>
    <row r="53" spans="1:7" x14ac:dyDescent="0.35">
      <c r="A53" s="100"/>
      <c r="F53" s="100"/>
      <c r="G53" s="100"/>
    </row>
    <row r="54" spans="1:7" x14ac:dyDescent="0.35">
      <c r="A54" s="100"/>
      <c r="F54" s="100"/>
      <c r="G54" s="100"/>
    </row>
    <row r="55" spans="1:7" x14ac:dyDescent="0.35">
      <c r="A55" s="100"/>
      <c r="F55" s="100"/>
      <c r="G55" s="100"/>
    </row>
    <row r="56" spans="1:7" x14ac:dyDescent="0.35">
      <c r="A56" s="100"/>
      <c r="F56" s="100"/>
      <c r="G56" s="100"/>
    </row>
    <row r="57" spans="1:7" x14ac:dyDescent="0.35">
      <c r="A57" s="100"/>
      <c r="F57" s="100"/>
      <c r="G57" s="100"/>
    </row>
    <row r="58" spans="1:7" x14ac:dyDescent="0.35">
      <c r="A58" s="100"/>
      <c r="F58" s="100"/>
      <c r="G58" s="100"/>
    </row>
    <row r="59" spans="1:7" x14ac:dyDescent="0.35">
      <c r="A59" s="100"/>
      <c r="F59" s="100"/>
      <c r="G59" s="100"/>
    </row>
    <row r="60" spans="1:7" x14ac:dyDescent="0.35">
      <c r="A60" s="100"/>
      <c r="F60" s="100"/>
      <c r="G60" s="100"/>
    </row>
    <row r="61" spans="1:7" x14ac:dyDescent="0.35">
      <c r="A61" s="100"/>
      <c r="F61" s="100"/>
      <c r="G61" s="100"/>
    </row>
    <row r="62" spans="1:7" x14ac:dyDescent="0.35">
      <c r="A62" s="100"/>
      <c r="F62" s="100"/>
      <c r="G62" s="100"/>
    </row>
    <row r="63" spans="1:7" x14ac:dyDescent="0.35">
      <c r="A63" s="100"/>
      <c r="F63" s="100"/>
      <c r="G63" s="100"/>
    </row>
    <row r="64" spans="1:7" x14ac:dyDescent="0.35">
      <c r="A64" s="100"/>
      <c r="F64" s="100"/>
      <c r="G64" s="100"/>
    </row>
    <row r="65" spans="1:7" x14ac:dyDescent="0.35">
      <c r="A65" s="100"/>
      <c r="F65" s="100"/>
      <c r="G65" s="100"/>
    </row>
    <row r="66" spans="1:7" x14ac:dyDescent="0.35">
      <c r="A66" s="100"/>
      <c r="F66" s="100"/>
      <c r="G66" s="100"/>
    </row>
    <row r="67" spans="1:7" x14ac:dyDescent="0.35">
      <c r="A67" s="100"/>
      <c r="F67" s="100"/>
      <c r="G67" s="100"/>
    </row>
    <row r="68" spans="1:7" x14ac:dyDescent="0.35">
      <c r="A68" s="100"/>
      <c r="F68" s="100"/>
      <c r="G68" s="100"/>
    </row>
    <row r="69" spans="1:7" x14ac:dyDescent="0.35">
      <c r="A69" s="100"/>
      <c r="F69" s="100"/>
      <c r="G69" s="100"/>
    </row>
    <row r="70" spans="1:7" x14ac:dyDescent="0.35">
      <c r="A70" s="100"/>
      <c r="F70" s="100"/>
      <c r="G70" s="100"/>
    </row>
    <row r="71" spans="1:7" x14ac:dyDescent="0.35">
      <c r="A71" s="100"/>
      <c r="F71" s="100"/>
      <c r="G71" s="100"/>
    </row>
    <row r="72" spans="1:7" x14ac:dyDescent="0.35">
      <c r="A72" s="100"/>
      <c r="F72" s="100"/>
      <c r="G72" s="100"/>
    </row>
    <row r="73" spans="1:7" x14ac:dyDescent="0.35">
      <c r="A73" s="100"/>
      <c r="F73" s="100"/>
      <c r="G73" s="100"/>
    </row>
    <row r="74" spans="1:7" x14ac:dyDescent="0.35">
      <c r="A74" s="100"/>
      <c r="F74" s="100"/>
      <c r="G74" s="100"/>
    </row>
    <row r="75" spans="1:7" x14ac:dyDescent="0.35">
      <c r="A75" s="100"/>
      <c r="F75" s="100"/>
      <c r="G75" s="100"/>
    </row>
    <row r="76" spans="1:7" x14ac:dyDescent="0.35">
      <c r="A76" s="100"/>
      <c r="F76" s="100"/>
      <c r="G76" s="100"/>
    </row>
    <row r="77" spans="1:7" x14ac:dyDescent="0.35">
      <c r="A77" s="100"/>
      <c r="F77" s="100"/>
      <c r="G77" s="100"/>
    </row>
    <row r="78" spans="1:7" x14ac:dyDescent="0.35">
      <c r="A78" s="100"/>
      <c r="F78" s="100"/>
      <c r="G78" s="100"/>
    </row>
    <row r="79" spans="1:7" x14ac:dyDescent="0.35">
      <c r="A79" s="100"/>
      <c r="F79" s="100"/>
      <c r="G79" s="100"/>
    </row>
    <row r="80" spans="1:7" x14ac:dyDescent="0.35">
      <c r="A80" s="100"/>
      <c r="F80" s="100"/>
      <c r="G80" s="100"/>
    </row>
    <row r="81" spans="1:7" x14ac:dyDescent="0.35">
      <c r="A81" s="100"/>
      <c r="F81" s="100"/>
      <c r="G81" s="100"/>
    </row>
    <row r="82" spans="1:7" x14ac:dyDescent="0.35">
      <c r="A82" s="100"/>
      <c r="F82" s="100"/>
      <c r="G82" s="100"/>
    </row>
    <row r="83" spans="1:7" x14ac:dyDescent="0.35">
      <c r="A83" s="100"/>
      <c r="F83" s="100"/>
      <c r="G83" s="100"/>
    </row>
    <row r="84" spans="1:7" x14ac:dyDescent="0.35">
      <c r="A84" s="100"/>
      <c r="F84" s="100"/>
      <c r="G84" s="100"/>
    </row>
    <row r="85" spans="1:7" x14ac:dyDescent="0.35">
      <c r="A85" s="100"/>
      <c r="F85" s="100"/>
      <c r="G85" s="100"/>
    </row>
    <row r="86" spans="1:7" x14ac:dyDescent="0.35">
      <c r="A86" s="100"/>
      <c r="F86" s="100"/>
      <c r="G86" s="100"/>
    </row>
    <row r="87" spans="1:7" x14ac:dyDescent="0.35">
      <c r="A87" s="100"/>
      <c r="F87" s="100"/>
      <c r="G87" s="100"/>
    </row>
    <row r="88" spans="1:7" x14ac:dyDescent="0.35">
      <c r="A88" s="100"/>
      <c r="F88" s="100"/>
      <c r="G88" s="100"/>
    </row>
    <row r="89" spans="1:7" x14ac:dyDescent="0.35">
      <c r="A89" s="100"/>
      <c r="F89" s="100"/>
      <c r="G89" s="100"/>
    </row>
    <row r="90" spans="1:7" x14ac:dyDescent="0.35">
      <c r="A90" s="100"/>
      <c r="F90" s="100"/>
      <c r="G90" s="100"/>
    </row>
    <row r="91" spans="1:7" x14ac:dyDescent="0.35">
      <c r="A91" s="100"/>
      <c r="F91" s="100"/>
      <c r="G91" s="100"/>
    </row>
    <row r="92" spans="1:7" x14ac:dyDescent="0.35">
      <c r="A92" s="100"/>
      <c r="F92" s="100"/>
      <c r="G92" s="100"/>
    </row>
    <row r="93" spans="1:7" x14ac:dyDescent="0.35">
      <c r="A93" s="100"/>
      <c r="F93" s="100"/>
      <c r="G93" s="100"/>
    </row>
    <row r="94" spans="1:7" x14ac:dyDescent="0.35">
      <c r="A94" s="100"/>
      <c r="F94" s="100"/>
      <c r="G94" s="100"/>
    </row>
    <row r="95" spans="1:7" x14ac:dyDescent="0.35">
      <c r="A95" s="100"/>
      <c r="F95" s="100"/>
      <c r="G95" s="100"/>
    </row>
    <row r="96" spans="1:7" x14ac:dyDescent="0.35">
      <c r="A96" s="100"/>
      <c r="F96" s="100"/>
      <c r="G96" s="100"/>
    </row>
    <row r="97" spans="1:7" x14ac:dyDescent="0.35">
      <c r="A97" s="100"/>
      <c r="F97" s="100"/>
      <c r="G97" s="100"/>
    </row>
    <row r="98" spans="1:7" x14ac:dyDescent="0.35">
      <c r="A98" s="100"/>
      <c r="F98" s="100"/>
      <c r="G98" s="100"/>
    </row>
    <row r="99" spans="1:7" x14ac:dyDescent="0.35">
      <c r="A99" s="100"/>
      <c r="F99" s="100"/>
      <c r="G99" s="100"/>
    </row>
    <row r="100" spans="1:7" x14ac:dyDescent="0.35">
      <c r="A100" s="100"/>
      <c r="F100" s="100"/>
      <c r="G100" s="100"/>
    </row>
    <row r="101" spans="1:7" x14ac:dyDescent="0.35">
      <c r="A101" s="100"/>
      <c r="F101" s="100"/>
      <c r="G101" s="100"/>
    </row>
    <row r="102" spans="1:7" x14ac:dyDescent="0.35">
      <c r="A102" s="100"/>
      <c r="F102" s="100"/>
      <c r="G102" s="100"/>
    </row>
    <row r="103" spans="1:7" x14ac:dyDescent="0.35">
      <c r="A103" s="100"/>
      <c r="F103" s="100"/>
      <c r="G103" s="100"/>
    </row>
    <row r="104" spans="1:7" x14ac:dyDescent="0.35">
      <c r="A104" s="100"/>
      <c r="F104" s="100"/>
      <c r="G104" s="100"/>
    </row>
    <row r="105" spans="1:7" x14ac:dyDescent="0.35">
      <c r="A105" s="100"/>
      <c r="F105" s="100"/>
      <c r="G105" s="100"/>
    </row>
    <row r="106" spans="1:7" x14ac:dyDescent="0.35">
      <c r="A106" s="100"/>
      <c r="F106" s="100"/>
      <c r="G106" s="100"/>
    </row>
    <row r="107" spans="1:7" x14ac:dyDescent="0.35">
      <c r="A107" s="100"/>
      <c r="F107" s="100"/>
      <c r="G107" s="100"/>
    </row>
    <row r="108" spans="1:7" x14ac:dyDescent="0.35">
      <c r="A108" s="100"/>
      <c r="F108" s="100"/>
      <c r="G108" s="100"/>
    </row>
    <row r="109" spans="1:7" x14ac:dyDescent="0.35">
      <c r="A109" s="100"/>
      <c r="F109" s="100"/>
      <c r="G109" s="100"/>
    </row>
    <row r="110" spans="1:7" x14ac:dyDescent="0.35">
      <c r="A110" s="100"/>
      <c r="F110" s="100"/>
      <c r="G110" s="100"/>
    </row>
    <row r="111" spans="1:7" x14ac:dyDescent="0.35">
      <c r="A111" s="100"/>
      <c r="F111" s="100"/>
      <c r="G111" s="100"/>
    </row>
    <row r="112" spans="1:7" x14ac:dyDescent="0.35">
      <c r="A112" s="100"/>
      <c r="F112" s="100"/>
      <c r="G112" s="100"/>
    </row>
    <row r="113" spans="1:7" x14ac:dyDescent="0.35">
      <c r="A113" s="100"/>
      <c r="F113" s="100"/>
      <c r="G113" s="100"/>
    </row>
    <row r="114" spans="1:7" x14ac:dyDescent="0.35">
      <c r="A114" s="100"/>
      <c r="F114" s="100"/>
      <c r="G114" s="100"/>
    </row>
    <row r="115" spans="1:7" x14ac:dyDescent="0.35">
      <c r="A115" s="100"/>
      <c r="F115" s="100"/>
      <c r="G115" s="100"/>
    </row>
    <row r="116" spans="1:7" x14ac:dyDescent="0.35">
      <c r="A116" s="100"/>
      <c r="F116" s="100"/>
      <c r="G116" s="100"/>
    </row>
    <row r="117" spans="1:7" x14ac:dyDescent="0.35">
      <c r="A117" s="100"/>
      <c r="F117" s="100"/>
      <c r="G117" s="100"/>
    </row>
    <row r="118" spans="1:7" x14ac:dyDescent="0.35">
      <c r="A118" s="100"/>
      <c r="F118" s="100"/>
      <c r="G118" s="100"/>
    </row>
    <row r="119" spans="1:7" x14ac:dyDescent="0.35">
      <c r="A119" s="100"/>
      <c r="F119" s="100"/>
      <c r="G119" s="100"/>
    </row>
    <row r="120" spans="1:7" x14ac:dyDescent="0.35">
      <c r="A120" s="100"/>
      <c r="F120" s="100"/>
      <c r="G120" s="100"/>
    </row>
    <row r="121" spans="1:7" x14ac:dyDescent="0.35">
      <c r="A121" s="100"/>
      <c r="F121" s="100"/>
      <c r="G121" s="100"/>
    </row>
    <row r="122" spans="1:7" x14ac:dyDescent="0.35">
      <c r="A122" s="100"/>
      <c r="F122" s="100"/>
      <c r="G122" s="100"/>
    </row>
    <row r="123" spans="1:7" x14ac:dyDescent="0.35">
      <c r="A123" s="100"/>
      <c r="F123" s="100"/>
      <c r="G123" s="100"/>
    </row>
    <row r="124" spans="1:7" x14ac:dyDescent="0.35">
      <c r="A124" s="100"/>
      <c r="F124" s="100"/>
      <c r="G124" s="100"/>
    </row>
    <row r="125" spans="1:7" x14ac:dyDescent="0.35">
      <c r="A125" s="100"/>
      <c r="F125" s="100"/>
      <c r="G125" s="100"/>
    </row>
    <row r="126" spans="1:7" x14ac:dyDescent="0.35">
      <c r="A126" s="100"/>
      <c r="F126" s="100"/>
      <c r="G126" s="100"/>
    </row>
    <row r="127" spans="1:7" x14ac:dyDescent="0.35">
      <c r="A127" s="100"/>
      <c r="F127" s="100"/>
      <c r="G127" s="100"/>
    </row>
    <row r="128" spans="1:7" x14ac:dyDescent="0.35">
      <c r="A128" s="100"/>
      <c r="F128" s="100"/>
      <c r="G128" s="100"/>
    </row>
    <row r="129" spans="1:7" x14ac:dyDescent="0.35">
      <c r="A129" s="100"/>
      <c r="F129" s="100"/>
      <c r="G129" s="100"/>
    </row>
    <row r="130" spans="1:7" x14ac:dyDescent="0.35">
      <c r="A130" s="100"/>
      <c r="F130" s="100"/>
      <c r="G130" s="100"/>
    </row>
    <row r="131" spans="1:7" x14ac:dyDescent="0.35">
      <c r="A131" s="100"/>
      <c r="F131" s="100"/>
      <c r="G131" s="100"/>
    </row>
    <row r="132" spans="1:7" x14ac:dyDescent="0.35">
      <c r="A132" s="100"/>
      <c r="F132" s="100"/>
      <c r="G132" s="100"/>
    </row>
    <row r="133" spans="1:7" x14ac:dyDescent="0.35">
      <c r="A133" s="100"/>
      <c r="F133" s="100"/>
      <c r="G133" s="100"/>
    </row>
    <row r="134" spans="1:7" x14ac:dyDescent="0.35">
      <c r="A134" s="100"/>
      <c r="F134" s="100"/>
      <c r="G134" s="100"/>
    </row>
    <row r="135" spans="1:7" x14ac:dyDescent="0.35">
      <c r="A135" s="100"/>
      <c r="F135" s="100"/>
      <c r="G135" s="100"/>
    </row>
    <row r="136" spans="1:7" x14ac:dyDescent="0.35">
      <c r="A136" s="100"/>
      <c r="F136" s="100"/>
      <c r="G136" s="100"/>
    </row>
    <row r="137" spans="1:7" x14ac:dyDescent="0.35">
      <c r="A137" s="100"/>
      <c r="F137" s="100"/>
      <c r="G137" s="100"/>
    </row>
    <row r="138" spans="1:7" x14ac:dyDescent="0.35">
      <c r="A138" s="100"/>
      <c r="F138" s="100"/>
      <c r="G138" s="100"/>
    </row>
    <row r="139" spans="1:7" x14ac:dyDescent="0.35">
      <c r="A139" s="100"/>
      <c r="F139" s="100"/>
      <c r="G139" s="100"/>
    </row>
    <row r="140" spans="1:7" x14ac:dyDescent="0.35">
      <c r="A140" s="100"/>
      <c r="F140" s="100"/>
      <c r="G140" s="100"/>
    </row>
    <row r="141" spans="1:7" x14ac:dyDescent="0.35">
      <c r="A141" s="100"/>
      <c r="F141" s="100"/>
      <c r="G141" s="100"/>
    </row>
    <row r="142" spans="1:7" x14ac:dyDescent="0.35">
      <c r="A142" s="100"/>
      <c r="F142" s="100"/>
      <c r="G142" s="100"/>
    </row>
    <row r="143" spans="1:7" x14ac:dyDescent="0.35">
      <c r="A143" s="100"/>
      <c r="F143" s="100"/>
      <c r="G143" s="100"/>
    </row>
    <row r="144" spans="1:7" x14ac:dyDescent="0.35">
      <c r="A144" s="100"/>
      <c r="F144" s="100"/>
      <c r="G144" s="100"/>
    </row>
    <row r="145" spans="1:7" x14ac:dyDescent="0.35">
      <c r="A145" s="100"/>
      <c r="F145" s="100"/>
      <c r="G145" s="100"/>
    </row>
    <row r="146" spans="1:7" x14ac:dyDescent="0.35">
      <c r="A146" s="100"/>
      <c r="F146" s="100"/>
      <c r="G146" s="100"/>
    </row>
    <row r="147" spans="1:7" x14ac:dyDescent="0.35">
      <c r="A147" s="100"/>
      <c r="F147" s="100"/>
      <c r="G147" s="100"/>
    </row>
    <row r="148" spans="1:7" x14ac:dyDescent="0.35">
      <c r="A148" s="100"/>
      <c r="F148" s="100"/>
      <c r="G148" s="100"/>
    </row>
    <row r="149" spans="1:7" x14ac:dyDescent="0.35">
      <c r="A149" s="100"/>
      <c r="F149" s="100"/>
      <c r="G149" s="100"/>
    </row>
    <row r="150" spans="1:7" x14ac:dyDescent="0.35">
      <c r="A150" s="100"/>
      <c r="F150" s="100"/>
      <c r="G150" s="100"/>
    </row>
    <row r="151" spans="1:7" x14ac:dyDescent="0.35">
      <c r="A151" s="100"/>
      <c r="F151" s="100"/>
      <c r="G151" s="100"/>
    </row>
    <row r="152" spans="1:7" x14ac:dyDescent="0.35">
      <c r="A152" s="100"/>
      <c r="F152" s="100"/>
      <c r="G152" s="100"/>
    </row>
    <row r="153" spans="1:7" x14ac:dyDescent="0.35">
      <c r="A153" s="100"/>
      <c r="F153" s="100"/>
      <c r="G153" s="100"/>
    </row>
    <row r="154" spans="1:7" x14ac:dyDescent="0.35">
      <c r="A154" s="100"/>
      <c r="F154" s="100"/>
      <c r="G154" s="100"/>
    </row>
    <row r="155" spans="1:7" x14ac:dyDescent="0.35">
      <c r="A155" s="100"/>
      <c r="F155" s="100"/>
      <c r="G155" s="100"/>
    </row>
    <row r="156" spans="1:7" x14ac:dyDescent="0.35">
      <c r="A156" s="100"/>
      <c r="F156" s="100"/>
      <c r="G156" s="100"/>
    </row>
    <row r="157" spans="1:7" x14ac:dyDescent="0.35">
      <c r="A157" s="100"/>
      <c r="F157" s="100"/>
      <c r="G157" s="100"/>
    </row>
    <row r="158" spans="1:7" x14ac:dyDescent="0.35">
      <c r="A158" s="100"/>
      <c r="F158" s="100"/>
      <c r="G158" s="100"/>
    </row>
    <row r="159" spans="1:7" x14ac:dyDescent="0.35">
      <c r="A159" s="100"/>
      <c r="F159" s="100"/>
      <c r="G159" s="100"/>
    </row>
    <row r="160" spans="1:7" x14ac:dyDescent="0.35">
      <c r="A160" s="100"/>
      <c r="F160" s="100"/>
      <c r="G160" s="100"/>
    </row>
    <row r="161" spans="1:7" x14ac:dyDescent="0.35">
      <c r="A161" s="100"/>
      <c r="F161" s="100"/>
      <c r="G161" s="100"/>
    </row>
    <row r="162" spans="1:7" x14ac:dyDescent="0.35">
      <c r="A162" s="100"/>
      <c r="F162" s="100"/>
      <c r="G162" s="100"/>
    </row>
    <row r="163" spans="1:7" x14ac:dyDescent="0.35">
      <c r="A163" s="100"/>
      <c r="F163" s="100"/>
      <c r="G163" s="100"/>
    </row>
    <row r="164" spans="1:7" x14ac:dyDescent="0.35">
      <c r="A164" s="100"/>
      <c r="F164" s="100"/>
      <c r="G164" s="100"/>
    </row>
    <row r="165" spans="1:7" x14ac:dyDescent="0.35">
      <c r="A165" s="100"/>
      <c r="F165" s="100"/>
      <c r="G165" s="100"/>
    </row>
    <row r="166" spans="1:7" x14ac:dyDescent="0.35">
      <c r="A166" s="100"/>
      <c r="F166" s="100"/>
      <c r="G166" s="100"/>
    </row>
    <row r="167" spans="1:7" x14ac:dyDescent="0.35">
      <c r="A167" s="100"/>
      <c r="F167" s="100"/>
      <c r="G167" s="100"/>
    </row>
    <row r="168" spans="1:7" x14ac:dyDescent="0.35">
      <c r="A168" s="100"/>
      <c r="F168" s="100"/>
      <c r="G168" s="100"/>
    </row>
    <row r="169" spans="1:7" x14ac:dyDescent="0.35">
      <c r="A169" s="100"/>
      <c r="F169" s="100"/>
      <c r="G169" s="100"/>
    </row>
    <row r="170" spans="1:7" x14ac:dyDescent="0.35">
      <c r="A170" s="100"/>
      <c r="F170" s="100"/>
      <c r="G170" s="100"/>
    </row>
    <row r="171" spans="1:7" x14ac:dyDescent="0.35">
      <c r="A171" s="100"/>
      <c r="F171" s="100"/>
      <c r="G171" s="100"/>
    </row>
    <row r="172" spans="1:7" x14ac:dyDescent="0.35">
      <c r="A172" s="100"/>
      <c r="F172" s="100"/>
      <c r="G172" s="100"/>
    </row>
    <row r="173" spans="1:7" x14ac:dyDescent="0.35">
      <c r="A173" s="100"/>
      <c r="F173" s="100"/>
      <c r="G173" s="100"/>
    </row>
    <row r="174" spans="1:7" x14ac:dyDescent="0.35">
      <c r="A174" s="100"/>
      <c r="F174" s="100"/>
      <c r="G174" s="100"/>
    </row>
    <row r="175" spans="1:7" x14ac:dyDescent="0.35">
      <c r="A175" s="100"/>
      <c r="F175" s="100"/>
      <c r="G175" s="100"/>
    </row>
    <row r="176" spans="1:7" x14ac:dyDescent="0.35">
      <c r="A176" s="100"/>
      <c r="F176" s="100"/>
      <c r="G176" s="100"/>
    </row>
    <row r="177" spans="1:7" x14ac:dyDescent="0.35">
      <c r="A177" s="100"/>
      <c r="F177" s="100"/>
      <c r="G177" s="100"/>
    </row>
    <row r="178" spans="1:7" x14ac:dyDescent="0.35">
      <c r="A178" s="100"/>
      <c r="F178" s="100"/>
      <c r="G178" s="100"/>
    </row>
    <row r="179" spans="1:7" x14ac:dyDescent="0.35">
      <c r="A179" s="100"/>
      <c r="F179" s="100"/>
      <c r="G179" s="100"/>
    </row>
    <row r="180" spans="1:7" x14ac:dyDescent="0.35">
      <c r="A180" s="100"/>
      <c r="F180" s="100"/>
      <c r="G180" s="100"/>
    </row>
    <row r="181" spans="1:7" x14ac:dyDescent="0.35">
      <c r="A181" s="100"/>
      <c r="F181" s="100"/>
      <c r="G181" s="100"/>
    </row>
    <row r="182" spans="1:7" x14ac:dyDescent="0.35">
      <c r="A182" s="100"/>
      <c r="F182" s="100"/>
      <c r="G182" s="100"/>
    </row>
    <row r="183" spans="1:7" x14ac:dyDescent="0.35">
      <c r="A183" s="100"/>
      <c r="F183" s="100"/>
      <c r="G183" s="100"/>
    </row>
    <row r="184" spans="1:7" x14ac:dyDescent="0.35">
      <c r="A184" s="100"/>
      <c r="F184" s="100"/>
      <c r="G184" s="100"/>
    </row>
    <row r="185" spans="1:7" x14ac:dyDescent="0.35">
      <c r="A185" s="100"/>
      <c r="F185" s="100"/>
      <c r="G185" s="100"/>
    </row>
    <row r="186" spans="1:7" x14ac:dyDescent="0.35">
      <c r="A186" s="100"/>
      <c r="F186" s="100"/>
      <c r="G186" s="100"/>
    </row>
    <row r="187" spans="1:7" x14ac:dyDescent="0.35">
      <c r="A187" s="100"/>
      <c r="F187" s="100"/>
      <c r="G187" s="100"/>
    </row>
    <row r="188" spans="1:7" x14ac:dyDescent="0.35">
      <c r="A188" s="100"/>
      <c r="F188" s="100"/>
      <c r="G188" s="100"/>
    </row>
    <row r="189" spans="1:7" x14ac:dyDescent="0.35">
      <c r="A189" s="100"/>
      <c r="F189" s="100"/>
      <c r="G189" s="100"/>
    </row>
    <row r="190" spans="1:7" x14ac:dyDescent="0.35">
      <c r="A190" s="100"/>
      <c r="F190" s="100"/>
      <c r="G190" s="100"/>
    </row>
    <row r="191" spans="1:7" x14ac:dyDescent="0.35">
      <c r="A191" s="100"/>
      <c r="F191" s="100"/>
      <c r="G191" s="100"/>
    </row>
    <row r="192" spans="1:7" x14ac:dyDescent="0.35">
      <c r="A192" s="100"/>
      <c r="F192" s="100"/>
      <c r="G192" s="100"/>
    </row>
    <row r="193" spans="1:7" x14ac:dyDescent="0.35">
      <c r="A193" s="100"/>
      <c r="F193" s="100"/>
      <c r="G193" s="100"/>
    </row>
    <row r="194" spans="1:7" x14ac:dyDescent="0.35">
      <c r="A194" s="100"/>
      <c r="F194" s="100"/>
      <c r="G194" s="100"/>
    </row>
    <row r="195" spans="1:7" x14ac:dyDescent="0.35">
      <c r="A195" s="100"/>
      <c r="F195" s="100"/>
      <c r="G195" s="100"/>
    </row>
    <row r="196" spans="1:7" x14ac:dyDescent="0.35">
      <c r="A196" s="100"/>
      <c r="F196" s="100"/>
      <c r="G196" s="100"/>
    </row>
    <row r="197" spans="1:7" x14ac:dyDescent="0.35">
      <c r="A197" s="100"/>
      <c r="F197" s="100"/>
      <c r="G197" s="100"/>
    </row>
    <row r="198" spans="1:7" x14ac:dyDescent="0.35">
      <c r="A198" s="100"/>
      <c r="F198" s="100"/>
      <c r="G198" s="100"/>
    </row>
    <row r="199" spans="1:7" x14ac:dyDescent="0.35">
      <c r="A199" s="100"/>
      <c r="F199" s="100"/>
      <c r="G199" s="100"/>
    </row>
    <row r="200" spans="1:7" x14ac:dyDescent="0.35">
      <c r="A200" s="100"/>
      <c r="F200" s="100"/>
      <c r="G200" s="100"/>
    </row>
    <row r="201" spans="1:7" x14ac:dyDescent="0.35">
      <c r="A201" s="100"/>
      <c r="F201" s="100"/>
      <c r="G201" s="1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C5C-7250-48E3-A879-646FDB7FC52D}">
  <sheetPr>
    <tabColor theme="0" tint="-0.499984740745262"/>
  </sheetPr>
  <dimension ref="A1:S201"/>
  <sheetViews>
    <sheetView workbookViewId="0">
      <selection activeCell="C6" sqref="C6"/>
    </sheetView>
  </sheetViews>
  <sheetFormatPr baseColWidth="10" defaultRowHeight="14.5" x14ac:dyDescent="0.35"/>
  <cols>
    <col min="1" max="1" width="14.26953125" style="24" customWidth="1"/>
    <col min="2" max="2" width="20.26953125" style="24" bestFit="1" customWidth="1"/>
    <col min="3" max="3" width="13.7265625" style="24" bestFit="1" customWidth="1"/>
    <col min="4" max="4" width="42.81640625" style="24" bestFit="1" customWidth="1"/>
    <col min="5" max="5" width="16.1796875" style="24" bestFit="1" customWidth="1"/>
    <col min="6" max="7" width="17.7265625" style="24" customWidth="1"/>
    <col min="8" max="8" width="13.54296875" style="24" customWidth="1"/>
    <col min="9" max="9" width="50.7265625" style="24" customWidth="1"/>
    <col min="10" max="19" width="11.54296875" style="24"/>
  </cols>
  <sheetData>
    <row r="1" spans="1:9" s="25" customFormat="1" ht="29" x14ac:dyDescent="0.35">
      <c r="A1" s="101" t="s">
        <v>1105</v>
      </c>
      <c r="B1" s="101" t="s">
        <v>9</v>
      </c>
      <c r="C1" s="101" t="s">
        <v>1106</v>
      </c>
      <c r="D1" s="101" t="s">
        <v>1108</v>
      </c>
      <c r="E1" s="101" t="s">
        <v>36</v>
      </c>
      <c r="F1" s="101" t="s">
        <v>1127</v>
      </c>
      <c r="G1" s="101" t="s">
        <v>1130</v>
      </c>
      <c r="H1" s="101" t="s">
        <v>1109</v>
      </c>
      <c r="I1" s="101" t="s">
        <v>42</v>
      </c>
    </row>
    <row r="2" spans="1:9" x14ac:dyDescent="0.35">
      <c r="A2" s="100"/>
      <c r="B2" s="24" t="s">
        <v>13</v>
      </c>
      <c r="C2" s="24">
        <v>4165557</v>
      </c>
      <c r="E2" s="24" t="s">
        <v>6</v>
      </c>
      <c r="F2" s="100"/>
      <c r="G2" s="100"/>
      <c r="H2" s="24" t="s">
        <v>1129</v>
      </c>
      <c r="I2" s="24" t="s">
        <v>1128</v>
      </c>
    </row>
    <row r="3" spans="1:9" x14ac:dyDescent="0.35">
      <c r="A3" s="100">
        <v>45680</v>
      </c>
      <c r="B3" s="24" t="s">
        <v>674</v>
      </c>
      <c r="C3" s="24">
        <v>32169</v>
      </c>
      <c r="D3" s="24" t="s">
        <v>1422</v>
      </c>
      <c r="E3" s="24" t="s">
        <v>2</v>
      </c>
      <c r="F3" s="100"/>
      <c r="G3" s="100">
        <v>45708</v>
      </c>
      <c r="H3" s="24" t="s">
        <v>1129</v>
      </c>
      <c r="I3" s="24" t="s">
        <v>1423</v>
      </c>
    </row>
    <row r="4" spans="1:9" x14ac:dyDescent="0.35">
      <c r="A4" s="100"/>
      <c r="B4" s="24" t="s">
        <v>790</v>
      </c>
      <c r="D4" s="24" t="s">
        <v>1527</v>
      </c>
      <c r="E4" s="24" t="s">
        <v>6</v>
      </c>
      <c r="F4" s="100"/>
      <c r="G4" s="100"/>
    </row>
    <row r="5" spans="1:9" x14ac:dyDescent="0.35">
      <c r="A5" s="100">
        <v>45764</v>
      </c>
      <c r="B5" s="24" t="s">
        <v>1023</v>
      </c>
      <c r="C5" s="24">
        <v>717241</v>
      </c>
      <c r="D5" s="24" t="s">
        <v>1581</v>
      </c>
      <c r="E5" s="24" t="s">
        <v>6</v>
      </c>
      <c r="F5" s="100"/>
      <c r="G5" s="100"/>
      <c r="H5" s="24" t="s">
        <v>1582</v>
      </c>
      <c r="I5" s="24" t="s">
        <v>1583</v>
      </c>
    </row>
    <row r="6" spans="1:9" x14ac:dyDescent="0.35">
      <c r="A6" s="100">
        <v>45763</v>
      </c>
      <c r="B6" s="24" t="s">
        <v>1023</v>
      </c>
      <c r="E6" s="24" t="s">
        <v>6</v>
      </c>
      <c r="F6" s="100"/>
      <c r="G6" s="100"/>
      <c r="H6" s="24" t="s">
        <v>1582</v>
      </c>
      <c r="I6" s="24" t="s">
        <v>1583</v>
      </c>
    </row>
    <row r="7" spans="1:9" x14ac:dyDescent="0.35">
      <c r="A7" s="100"/>
      <c r="F7" s="100"/>
      <c r="G7" s="100"/>
    </row>
    <row r="8" spans="1:9" x14ac:dyDescent="0.35">
      <c r="A8" s="100"/>
      <c r="F8" s="100"/>
      <c r="G8" s="100"/>
    </row>
    <row r="9" spans="1:9" x14ac:dyDescent="0.35">
      <c r="A9" s="100"/>
      <c r="F9" s="100"/>
      <c r="G9" s="100"/>
    </row>
    <row r="10" spans="1:9" x14ac:dyDescent="0.35">
      <c r="A10" s="100"/>
      <c r="F10" s="100"/>
      <c r="G10" s="100"/>
    </row>
    <row r="11" spans="1:9" x14ac:dyDescent="0.35">
      <c r="A11" s="100"/>
      <c r="F11" s="100"/>
      <c r="G11" s="100"/>
    </row>
    <row r="12" spans="1:9" x14ac:dyDescent="0.35">
      <c r="A12" s="100"/>
      <c r="F12" s="100"/>
      <c r="G12" s="100"/>
    </row>
    <row r="13" spans="1:9" x14ac:dyDescent="0.35">
      <c r="A13" s="100"/>
      <c r="F13" s="100"/>
      <c r="G13" s="100"/>
    </row>
    <row r="14" spans="1:9" x14ac:dyDescent="0.35">
      <c r="A14" s="100"/>
      <c r="F14" s="100"/>
      <c r="G14" s="100"/>
    </row>
    <row r="15" spans="1:9" x14ac:dyDescent="0.35">
      <c r="A15" s="100"/>
      <c r="F15" s="100"/>
      <c r="G15" s="100"/>
    </row>
    <row r="16" spans="1:9" x14ac:dyDescent="0.35">
      <c r="A16" s="100"/>
      <c r="F16" s="100"/>
      <c r="G16" s="100"/>
    </row>
    <row r="17" spans="1:7" x14ac:dyDescent="0.35">
      <c r="A17" s="100"/>
      <c r="F17" s="100"/>
      <c r="G17" s="100"/>
    </row>
    <row r="18" spans="1:7" x14ac:dyDescent="0.35">
      <c r="A18" s="100"/>
      <c r="F18" s="100"/>
      <c r="G18" s="100"/>
    </row>
    <row r="19" spans="1:7" x14ac:dyDescent="0.35">
      <c r="A19" s="100"/>
      <c r="F19" s="100"/>
      <c r="G19" s="100"/>
    </row>
    <row r="20" spans="1:7" x14ac:dyDescent="0.35">
      <c r="A20" s="100"/>
      <c r="F20" s="100"/>
      <c r="G20" s="100"/>
    </row>
    <row r="21" spans="1:7" x14ac:dyDescent="0.35">
      <c r="A21" s="100"/>
      <c r="F21" s="100"/>
      <c r="G21" s="100"/>
    </row>
    <row r="22" spans="1:7" x14ac:dyDescent="0.35">
      <c r="A22" s="100"/>
      <c r="F22" s="100"/>
      <c r="G22" s="100"/>
    </row>
    <row r="23" spans="1:7" x14ac:dyDescent="0.35">
      <c r="A23" s="100"/>
      <c r="F23" s="100"/>
      <c r="G23" s="100"/>
    </row>
    <row r="24" spans="1:7" x14ac:dyDescent="0.35">
      <c r="A24" s="100"/>
      <c r="F24" s="100"/>
      <c r="G24" s="100"/>
    </row>
    <row r="25" spans="1:7" x14ac:dyDescent="0.35">
      <c r="A25" s="100"/>
      <c r="F25" s="100"/>
      <c r="G25" s="100"/>
    </row>
    <row r="26" spans="1:7" x14ac:dyDescent="0.35">
      <c r="A26" s="100"/>
      <c r="F26" s="100"/>
      <c r="G26" s="100"/>
    </row>
    <row r="27" spans="1:7" x14ac:dyDescent="0.35">
      <c r="A27" s="100"/>
      <c r="F27" s="100"/>
      <c r="G27" s="100"/>
    </row>
    <row r="28" spans="1:7" x14ac:dyDescent="0.35">
      <c r="A28" s="100"/>
      <c r="F28" s="100"/>
      <c r="G28" s="100"/>
    </row>
    <row r="29" spans="1:7" x14ac:dyDescent="0.35">
      <c r="A29" s="100"/>
      <c r="F29" s="100"/>
      <c r="G29" s="100"/>
    </row>
    <row r="30" spans="1:7" x14ac:dyDescent="0.35">
      <c r="A30" s="100"/>
      <c r="F30" s="100"/>
      <c r="G30" s="100"/>
    </row>
    <row r="31" spans="1:7" x14ac:dyDescent="0.35">
      <c r="A31" s="100"/>
      <c r="F31" s="100"/>
      <c r="G31" s="100"/>
    </row>
    <row r="32" spans="1:7" x14ac:dyDescent="0.35">
      <c r="A32" s="100"/>
      <c r="F32" s="100"/>
      <c r="G32" s="100"/>
    </row>
    <row r="33" spans="1:7" x14ac:dyDescent="0.35">
      <c r="A33" s="100"/>
      <c r="F33" s="100"/>
      <c r="G33" s="100"/>
    </row>
    <row r="34" spans="1:7" x14ac:dyDescent="0.35">
      <c r="A34" s="100"/>
      <c r="F34" s="100"/>
      <c r="G34" s="100"/>
    </row>
    <row r="35" spans="1:7" x14ac:dyDescent="0.35">
      <c r="A35" s="100"/>
      <c r="F35" s="100"/>
      <c r="G35" s="100"/>
    </row>
    <row r="36" spans="1:7" x14ac:dyDescent="0.35">
      <c r="A36" s="100"/>
      <c r="F36" s="100"/>
      <c r="G36" s="100"/>
    </row>
    <row r="37" spans="1:7" x14ac:dyDescent="0.35">
      <c r="A37" s="100"/>
      <c r="F37" s="100"/>
      <c r="G37" s="100"/>
    </row>
    <row r="38" spans="1:7" x14ac:dyDescent="0.35">
      <c r="A38" s="100"/>
      <c r="F38" s="100"/>
      <c r="G38" s="100"/>
    </row>
    <row r="39" spans="1:7" x14ac:dyDescent="0.35">
      <c r="A39" s="100"/>
      <c r="F39" s="100"/>
      <c r="G39" s="100"/>
    </row>
    <row r="40" spans="1:7" x14ac:dyDescent="0.35">
      <c r="A40" s="100"/>
      <c r="F40" s="100"/>
      <c r="G40" s="100"/>
    </row>
    <row r="41" spans="1:7" x14ac:dyDescent="0.35">
      <c r="A41" s="100"/>
      <c r="F41" s="100"/>
      <c r="G41" s="100"/>
    </row>
    <row r="42" spans="1:7" x14ac:dyDescent="0.35">
      <c r="A42" s="100"/>
      <c r="F42" s="100"/>
      <c r="G42" s="100"/>
    </row>
    <row r="43" spans="1:7" x14ac:dyDescent="0.35">
      <c r="A43" s="100"/>
      <c r="F43" s="100"/>
      <c r="G43" s="100"/>
    </row>
    <row r="44" spans="1:7" x14ac:dyDescent="0.35">
      <c r="A44" s="100"/>
      <c r="F44" s="100"/>
      <c r="G44" s="100"/>
    </row>
    <row r="45" spans="1:7" x14ac:dyDescent="0.35">
      <c r="A45" s="100"/>
      <c r="F45" s="100"/>
      <c r="G45" s="100"/>
    </row>
    <row r="46" spans="1:7" x14ac:dyDescent="0.35">
      <c r="A46" s="100"/>
      <c r="F46" s="100"/>
      <c r="G46" s="100"/>
    </row>
    <row r="47" spans="1:7" x14ac:dyDescent="0.35">
      <c r="A47" s="100"/>
      <c r="F47" s="100"/>
      <c r="G47" s="100"/>
    </row>
    <row r="48" spans="1:7" x14ac:dyDescent="0.35">
      <c r="A48" s="100"/>
      <c r="F48" s="100"/>
      <c r="G48" s="100"/>
    </row>
    <row r="49" spans="1:7" x14ac:dyDescent="0.35">
      <c r="A49" s="100"/>
      <c r="F49" s="100"/>
      <c r="G49" s="100"/>
    </row>
    <row r="50" spans="1:7" x14ac:dyDescent="0.35">
      <c r="A50" s="100"/>
      <c r="F50" s="100"/>
      <c r="G50" s="100"/>
    </row>
    <row r="51" spans="1:7" x14ac:dyDescent="0.35">
      <c r="A51" s="100"/>
      <c r="F51" s="100"/>
      <c r="G51" s="100"/>
    </row>
    <row r="52" spans="1:7" x14ac:dyDescent="0.35">
      <c r="A52" s="100"/>
      <c r="F52" s="100"/>
      <c r="G52" s="100"/>
    </row>
    <row r="53" spans="1:7" x14ac:dyDescent="0.35">
      <c r="A53" s="100"/>
      <c r="F53" s="100"/>
      <c r="G53" s="100"/>
    </row>
    <row r="54" spans="1:7" x14ac:dyDescent="0.35">
      <c r="A54" s="100"/>
      <c r="F54" s="100"/>
      <c r="G54" s="100"/>
    </row>
    <row r="55" spans="1:7" x14ac:dyDescent="0.35">
      <c r="A55" s="100"/>
      <c r="F55" s="100"/>
      <c r="G55" s="100"/>
    </row>
    <row r="56" spans="1:7" x14ac:dyDescent="0.35">
      <c r="A56" s="100"/>
      <c r="F56" s="100"/>
      <c r="G56" s="100"/>
    </row>
    <row r="57" spans="1:7" x14ac:dyDescent="0.35">
      <c r="A57" s="100"/>
      <c r="F57" s="100"/>
      <c r="G57" s="100"/>
    </row>
    <row r="58" spans="1:7" x14ac:dyDescent="0.35">
      <c r="A58" s="100"/>
      <c r="F58" s="100"/>
      <c r="G58" s="100"/>
    </row>
    <row r="59" spans="1:7" x14ac:dyDescent="0.35">
      <c r="A59" s="100"/>
      <c r="F59" s="100"/>
      <c r="G59" s="100"/>
    </row>
    <row r="60" spans="1:7" x14ac:dyDescent="0.35">
      <c r="A60" s="100"/>
      <c r="F60" s="100"/>
      <c r="G60" s="100"/>
    </row>
    <row r="61" spans="1:7" x14ac:dyDescent="0.35">
      <c r="A61" s="100"/>
      <c r="F61" s="100"/>
      <c r="G61" s="100"/>
    </row>
    <row r="62" spans="1:7" x14ac:dyDescent="0.35">
      <c r="A62" s="100"/>
      <c r="F62" s="100"/>
      <c r="G62" s="100"/>
    </row>
    <row r="63" spans="1:7" x14ac:dyDescent="0.35">
      <c r="A63" s="100"/>
      <c r="F63" s="100"/>
      <c r="G63" s="100"/>
    </row>
    <row r="64" spans="1:7" x14ac:dyDescent="0.35">
      <c r="A64" s="100"/>
      <c r="F64" s="100"/>
      <c r="G64" s="100"/>
    </row>
    <row r="65" spans="1:7" x14ac:dyDescent="0.35">
      <c r="A65" s="100"/>
      <c r="F65" s="100"/>
      <c r="G65" s="100"/>
    </row>
    <row r="66" spans="1:7" x14ac:dyDescent="0.35">
      <c r="A66" s="100"/>
      <c r="F66" s="100"/>
      <c r="G66" s="100"/>
    </row>
    <row r="67" spans="1:7" x14ac:dyDescent="0.35">
      <c r="A67" s="100"/>
      <c r="F67" s="100"/>
      <c r="G67" s="100"/>
    </row>
    <row r="68" spans="1:7" x14ac:dyDescent="0.35">
      <c r="A68" s="100"/>
      <c r="F68" s="100"/>
      <c r="G68" s="100"/>
    </row>
    <row r="69" spans="1:7" x14ac:dyDescent="0.35">
      <c r="A69" s="100"/>
      <c r="F69" s="100"/>
      <c r="G69" s="100"/>
    </row>
    <row r="70" spans="1:7" x14ac:dyDescent="0.35">
      <c r="A70" s="100"/>
      <c r="F70" s="100"/>
      <c r="G70" s="100"/>
    </row>
    <row r="71" spans="1:7" x14ac:dyDescent="0.35">
      <c r="A71" s="100"/>
      <c r="F71" s="100"/>
      <c r="G71" s="100"/>
    </row>
    <row r="72" spans="1:7" x14ac:dyDescent="0.35">
      <c r="A72" s="100"/>
      <c r="F72" s="100"/>
      <c r="G72" s="100"/>
    </row>
    <row r="73" spans="1:7" x14ac:dyDescent="0.35">
      <c r="A73" s="100"/>
      <c r="F73" s="100"/>
      <c r="G73" s="100"/>
    </row>
    <row r="74" spans="1:7" x14ac:dyDescent="0.35">
      <c r="A74" s="100"/>
      <c r="F74" s="100"/>
      <c r="G74" s="100"/>
    </row>
    <row r="75" spans="1:7" x14ac:dyDescent="0.35">
      <c r="A75" s="100"/>
      <c r="F75" s="100"/>
      <c r="G75" s="100"/>
    </row>
    <row r="76" spans="1:7" x14ac:dyDescent="0.35">
      <c r="A76" s="100"/>
      <c r="F76" s="100"/>
      <c r="G76" s="100"/>
    </row>
    <row r="77" spans="1:7" x14ac:dyDescent="0.35">
      <c r="A77" s="100"/>
      <c r="F77" s="100"/>
      <c r="G77" s="100"/>
    </row>
    <row r="78" spans="1:7" x14ac:dyDescent="0.35">
      <c r="A78" s="100"/>
      <c r="F78" s="100"/>
      <c r="G78" s="100"/>
    </row>
    <row r="79" spans="1:7" x14ac:dyDescent="0.35">
      <c r="A79" s="100"/>
      <c r="F79" s="100"/>
      <c r="G79" s="100"/>
    </row>
    <row r="80" spans="1:7" x14ac:dyDescent="0.35">
      <c r="A80" s="100"/>
      <c r="F80" s="100"/>
      <c r="G80" s="100"/>
    </row>
    <row r="81" spans="1:7" x14ac:dyDescent="0.35">
      <c r="A81" s="100"/>
      <c r="F81" s="100"/>
      <c r="G81" s="100"/>
    </row>
    <row r="82" spans="1:7" x14ac:dyDescent="0.35">
      <c r="A82" s="100"/>
      <c r="F82" s="100"/>
      <c r="G82" s="100"/>
    </row>
    <row r="83" spans="1:7" x14ac:dyDescent="0.35">
      <c r="A83" s="100"/>
      <c r="F83" s="100"/>
      <c r="G83" s="100"/>
    </row>
    <row r="84" spans="1:7" x14ac:dyDescent="0.35">
      <c r="A84" s="100"/>
      <c r="F84" s="100"/>
      <c r="G84" s="100"/>
    </row>
    <row r="85" spans="1:7" x14ac:dyDescent="0.35">
      <c r="A85" s="100"/>
      <c r="F85" s="100"/>
      <c r="G85" s="100"/>
    </row>
    <row r="86" spans="1:7" x14ac:dyDescent="0.35">
      <c r="A86" s="100"/>
      <c r="F86" s="100"/>
      <c r="G86" s="100"/>
    </row>
    <row r="87" spans="1:7" x14ac:dyDescent="0.35">
      <c r="A87" s="100"/>
      <c r="F87" s="100"/>
      <c r="G87" s="100"/>
    </row>
    <row r="88" spans="1:7" x14ac:dyDescent="0.35">
      <c r="A88" s="100"/>
      <c r="F88" s="100"/>
      <c r="G88" s="100"/>
    </row>
    <row r="89" spans="1:7" x14ac:dyDescent="0.35">
      <c r="A89" s="100"/>
      <c r="F89" s="100"/>
      <c r="G89" s="100"/>
    </row>
    <row r="90" spans="1:7" x14ac:dyDescent="0.35">
      <c r="A90" s="100"/>
      <c r="F90" s="100"/>
      <c r="G90" s="100"/>
    </row>
    <row r="91" spans="1:7" x14ac:dyDescent="0.35">
      <c r="A91" s="100"/>
      <c r="F91" s="100"/>
      <c r="G91" s="100"/>
    </row>
    <row r="92" spans="1:7" x14ac:dyDescent="0.35">
      <c r="A92" s="100"/>
      <c r="F92" s="100"/>
      <c r="G92" s="100"/>
    </row>
    <row r="93" spans="1:7" x14ac:dyDescent="0.35">
      <c r="A93" s="100"/>
      <c r="F93" s="100"/>
      <c r="G93" s="100"/>
    </row>
    <row r="94" spans="1:7" x14ac:dyDescent="0.35">
      <c r="A94" s="100"/>
      <c r="F94" s="100"/>
      <c r="G94" s="100"/>
    </row>
    <row r="95" spans="1:7" x14ac:dyDescent="0.35">
      <c r="A95" s="100"/>
      <c r="F95" s="100"/>
      <c r="G95" s="100"/>
    </row>
    <row r="96" spans="1:7" x14ac:dyDescent="0.35">
      <c r="A96" s="100"/>
      <c r="F96" s="100"/>
      <c r="G96" s="100"/>
    </row>
    <row r="97" spans="1:7" x14ac:dyDescent="0.35">
      <c r="A97" s="100"/>
      <c r="F97" s="100"/>
      <c r="G97" s="100"/>
    </row>
    <row r="98" spans="1:7" x14ac:dyDescent="0.35">
      <c r="A98" s="100"/>
      <c r="F98" s="100"/>
      <c r="G98" s="100"/>
    </row>
    <row r="99" spans="1:7" x14ac:dyDescent="0.35">
      <c r="A99" s="100"/>
      <c r="F99" s="100"/>
      <c r="G99" s="100"/>
    </row>
    <row r="100" spans="1:7" x14ac:dyDescent="0.35">
      <c r="A100" s="100"/>
      <c r="F100" s="100"/>
      <c r="G100" s="100"/>
    </row>
    <row r="101" spans="1:7" x14ac:dyDescent="0.35">
      <c r="A101" s="100"/>
      <c r="F101" s="100"/>
      <c r="G101" s="100"/>
    </row>
    <row r="102" spans="1:7" x14ac:dyDescent="0.35">
      <c r="A102" s="100"/>
      <c r="F102" s="100"/>
      <c r="G102" s="100"/>
    </row>
    <row r="103" spans="1:7" x14ac:dyDescent="0.35">
      <c r="A103" s="100"/>
      <c r="F103" s="100"/>
      <c r="G103" s="100"/>
    </row>
    <row r="104" spans="1:7" x14ac:dyDescent="0.35">
      <c r="A104" s="100"/>
      <c r="F104" s="100"/>
      <c r="G104" s="100"/>
    </row>
    <row r="105" spans="1:7" x14ac:dyDescent="0.35">
      <c r="A105" s="100"/>
      <c r="F105" s="100"/>
      <c r="G105" s="100"/>
    </row>
    <row r="106" spans="1:7" x14ac:dyDescent="0.35">
      <c r="A106" s="100"/>
      <c r="F106" s="100"/>
      <c r="G106" s="100"/>
    </row>
    <row r="107" spans="1:7" x14ac:dyDescent="0.35">
      <c r="A107" s="100"/>
      <c r="F107" s="100"/>
      <c r="G107" s="100"/>
    </row>
    <row r="108" spans="1:7" x14ac:dyDescent="0.35">
      <c r="A108" s="100"/>
      <c r="F108" s="100"/>
      <c r="G108" s="100"/>
    </row>
    <row r="109" spans="1:7" x14ac:dyDescent="0.35">
      <c r="A109" s="100"/>
      <c r="F109" s="100"/>
      <c r="G109" s="100"/>
    </row>
    <row r="110" spans="1:7" x14ac:dyDescent="0.35">
      <c r="A110" s="100"/>
      <c r="F110" s="100"/>
      <c r="G110" s="100"/>
    </row>
    <row r="111" spans="1:7" x14ac:dyDescent="0.35">
      <c r="A111" s="100"/>
      <c r="F111" s="100"/>
      <c r="G111" s="100"/>
    </row>
    <row r="112" spans="1:7" x14ac:dyDescent="0.35">
      <c r="A112" s="100"/>
      <c r="F112" s="100"/>
      <c r="G112" s="100"/>
    </row>
    <row r="113" spans="1:7" x14ac:dyDescent="0.35">
      <c r="A113" s="100"/>
      <c r="F113" s="100"/>
      <c r="G113" s="100"/>
    </row>
    <row r="114" spans="1:7" x14ac:dyDescent="0.35">
      <c r="A114" s="100"/>
      <c r="F114" s="100"/>
      <c r="G114" s="100"/>
    </row>
    <row r="115" spans="1:7" x14ac:dyDescent="0.35">
      <c r="A115" s="100"/>
      <c r="F115" s="100"/>
      <c r="G115" s="100"/>
    </row>
    <row r="116" spans="1:7" x14ac:dyDescent="0.35">
      <c r="A116" s="100"/>
      <c r="F116" s="100"/>
      <c r="G116" s="100"/>
    </row>
    <row r="117" spans="1:7" x14ac:dyDescent="0.35">
      <c r="A117" s="100"/>
      <c r="F117" s="100"/>
      <c r="G117" s="100"/>
    </row>
    <row r="118" spans="1:7" x14ac:dyDescent="0.35">
      <c r="A118" s="100"/>
      <c r="F118" s="100"/>
      <c r="G118" s="100"/>
    </row>
    <row r="119" spans="1:7" x14ac:dyDescent="0.35">
      <c r="A119" s="100"/>
      <c r="F119" s="100"/>
      <c r="G119" s="100"/>
    </row>
    <row r="120" spans="1:7" x14ac:dyDescent="0.35">
      <c r="A120" s="100"/>
      <c r="F120" s="100"/>
      <c r="G120" s="100"/>
    </row>
    <row r="121" spans="1:7" x14ac:dyDescent="0.35">
      <c r="A121" s="100"/>
      <c r="F121" s="100"/>
      <c r="G121" s="100"/>
    </row>
    <row r="122" spans="1:7" x14ac:dyDescent="0.35">
      <c r="A122" s="100"/>
      <c r="F122" s="100"/>
      <c r="G122" s="100"/>
    </row>
    <row r="123" spans="1:7" x14ac:dyDescent="0.35">
      <c r="A123" s="100"/>
      <c r="F123" s="100"/>
      <c r="G123" s="100"/>
    </row>
    <row r="124" spans="1:7" x14ac:dyDescent="0.35">
      <c r="A124" s="100"/>
      <c r="F124" s="100"/>
      <c r="G124" s="100"/>
    </row>
    <row r="125" spans="1:7" x14ac:dyDescent="0.35">
      <c r="A125" s="100"/>
      <c r="F125" s="100"/>
      <c r="G125" s="100"/>
    </row>
    <row r="126" spans="1:7" x14ac:dyDescent="0.35">
      <c r="A126" s="100"/>
      <c r="F126" s="100"/>
      <c r="G126" s="100"/>
    </row>
    <row r="127" spans="1:7" x14ac:dyDescent="0.35">
      <c r="A127" s="100"/>
      <c r="F127" s="100"/>
      <c r="G127" s="100"/>
    </row>
    <row r="128" spans="1:7" x14ac:dyDescent="0.35">
      <c r="A128" s="100"/>
      <c r="F128" s="100"/>
      <c r="G128" s="100"/>
    </row>
    <row r="129" spans="1:7" x14ac:dyDescent="0.35">
      <c r="A129" s="100"/>
      <c r="F129" s="100"/>
      <c r="G129" s="100"/>
    </row>
    <row r="130" spans="1:7" x14ac:dyDescent="0.35">
      <c r="A130" s="100"/>
      <c r="F130" s="100"/>
      <c r="G130" s="100"/>
    </row>
    <row r="131" spans="1:7" x14ac:dyDescent="0.35">
      <c r="A131" s="100"/>
      <c r="F131" s="100"/>
      <c r="G131" s="100"/>
    </row>
    <row r="132" spans="1:7" x14ac:dyDescent="0.35">
      <c r="A132" s="100"/>
      <c r="F132" s="100"/>
      <c r="G132" s="100"/>
    </row>
    <row r="133" spans="1:7" x14ac:dyDescent="0.35">
      <c r="A133" s="100"/>
      <c r="F133" s="100"/>
      <c r="G133" s="100"/>
    </row>
    <row r="134" spans="1:7" x14ac:dyDescent="0.35">
      <c r="A134" s="100"/>
      <c r="F134" s="100"/>
      <c r="G134" s="100"/>
    </row>
    <row r="135" spans="1:7" x14ac:dyDescent="0.35">
      <c r="A135" s="100"/>
      <c r="F135" s="100"/>
      <c r="G135" s="100"/>
    </row>
    <row r="136" spans="1:7" x14ac:dyDescent="0.35">
      <c r="A136" s="100"/>
      <c r="F136" s="100"/>
      <c r="G136" s="100"/>
    </row>
    <row r="137" spans="1:7" x14ac:dyDescent="0.35">
      <c r="A137" s="100"/>
      <c r="F137" s="100"/>
      <c r="G137" s="100"/>
    </row>
    <row r="138" spans="1:7" x14ac:dyDescent="0.35">
      <c r="A138" s="100"/>
      <c r="F138" s="100"/>
      <c r="G138" s="100"/>
    </row>
    <row r="139" spans="1:7" x14ac:dyDescent="0.35">
      <c r="A139" s="100"/>
      <c r="F139" s="100"/>
      <c r="G139" s="100"/>
    </row>
    <row r="140" spans="1:7" x14ac:dyDescent="0.35">
      <c r="A140" s="100"/>
      <c r="F140" s="100"/>
      <c r="G140" s="100"/>
    </row>
    <row r="141" spans="1:7" x14ac:dyDescent="0.35">
      <c r="A141" s="100"/>
      <c r="F141" s="100"/>
      <c r="G141" s="100"/>
    </row>
    <row r="142" spans="1:7" x14ac:dyDescent="0.35">
      <c r="A142" s="100"/>
      <c r="F142" s="100"/>
      <c r="G142" s="100"/>
    </row>
    <row r="143" spans="1:7" x14ac:dyDescent="0.35">
      <c r="A143" s="100"/>
      <c r="F143" s="100"/>
      <c r="G143" s="100"/>
    </row>
    <row r="144" spans="1:7" x14ac:dyDescent="0.35">
      <c r="A144" s="100"/>
      <c r="F144" s="100"/>
      <c r="G144" s="100"/>
    </row>
    <row r="145" spans="1:7" x14ac:dyDescent="0.35">
      <c r="A145" s="100"/>
      <c r="F145" s="100"/>
      <c r="G145" s="100"/>
    </row>
    <row r="146" spans="1:7" x14ac:dyDescent="0.35">
      <c r="A146" s="100"/>
      <c r="F146" s="100"/>
      <c r="G146" s="100"/>
    </row>
    <row r="147" spans="1:7" x14ac:dyDescent="0.35">
      <c r="A147" s="100"/>
      <c r="F147" s="100"/>
      <c r="G147" s="100"/>
    </row>
    <row r="148" spans="1:7" x14ac:dyDescent="0.35">
      <c r="A148" s="100"/>
      <c r="F148" s="100"/>
      <c r="G148" s="100"/>
    </row>
    <row r="149" spans="1:7" x14ac:dyDescent="0.35">
      <c r="A149" s="100"/>
      <c r="F149" s="100"/>
      <c r="G149" s="100"/>
    </row>
    <row r="150" spans="1:7" x14ac:dyDescent="0.35">
      <c r="A150" s="100"/>
      <c r="F150" s="100"/>
      <c r="G150" s="100"/>
    </row>
    <row r="151" spans="1:7" x14ac:dyDescent="0.35">
      <c r="A151" s="100"/>
      <c r="F151" s="100"/>
      <c r="G151" s="100"/>
    </row>
    <row r="152" spans="1:7" x14ac:dyDescent="0.35">
      <c r="A152" s="100"/>
      <c r="F152" s="100"/>
      <c r="G152" s="100"/>
    </row>
    <row r="153" spans="1:7" x14ac:dyDescent="0.35">
      <c r="A153" s="100"/>
      <c r="F153" s="100"/>
      <c r="G153" s="100"/>
    </row>
    <row r="154" spans="1:7" x14ac:dyDescent="0.35">
      <c r="A154" s="100"/>
      <c r="F154" s="100"/>
      <c r="G154" s="100"/>
    </row>
    <row r="155" spans="1:7" x14ac:dyDescent="0.35">
      <c r="A155" s="100"/>
      <c r="F155" s="100"/>
      <c r="G155" s="100"/>
    </row>
    <row r="156" spans="1:7" x14ac:dyDescent="0.35">
      <c r="A156" s="100"/>
      <c r="F156" s="100"/>
      <c r="G156" s="100"/>
    </row>
    <row r="157" spans="1:7" x14ac:dyDescent="0.35">
      <c r="A157" s="100"/>
      <c r="F157" s="100"/>
      <c r="G157" s="100"/>
    </row>
    <row r="158" spans="1:7" x14ac:dyDescent="0.35">
      <c r="A158" s="100"/>
      <c r="F158" s="100"/>
      <c r="G158" s="100"/>
    </row>
    <row r="159" spans="1:7" x14ac:dyDescent="0.35">
      <c r="A159" s="100"/>
      <c r="F159" s="100"/>
      <c r="G159" s="100"/>
    </row>
    <row r="160" spans="1:7" x14ac:dyDescent="0.35">
      <c r="A160" s="100"/>
      <c r="F160" s="100"/>
      <c r="G160" s="100"/>
    </row>
    <row r="161" spans="1:7" x14ac:dyDescent="0.35">
      <c r="A161" s="100"/>
      <c r="F161" s="100"/>
      <c r="G161" s="100"/>
    </row>
    <row r="162" spans="1:7" x14ac:dyDescent="0.35">
      <c r="A162" s="100"/>
      <c r="F162" s="100"/>
      <c r="G162" s="100"/>
    </row>
    <row r="163" spans="1:7" x14ac:dyDescent="0.35">
      <c r="A163" s="100"/>
      <c r="F163" s="100"/>
      <c r="G163" s="100"/>
    </row>
    <row r="164" spans="1:7" x14ac:dyDescent="0.35">
      <c r="A164" s="100"/>
      <c r="F164" s="100"/>
      <c r="G164" s="100"/>
    </row>
    <row r="165" spans="1:7" x14ac:dyDescent="0.35">
      <c r="A165" s="100"/>
      <c r="F165" s="100"/>
      <c r="G165" s="100"/>
    </row>
    <row r="166" spans="1:7" x14ac:dyDescent="0.35">
      <c r="A166" s="100"/>
      <c r="F166" s="100"/>
      <c r="G166" s="100"/>
    </row>
    <row r="167" spans="1:7" x14ac:dyDescent="0.35">
      <c r="A167" s="100"/>
      <c r="F167" s="100"/>
      <c r="G167" s="100"/>
    </row>
    <row r="168" spans="1:7" x14ac:dyDescent="0.35">
      <c r="A168" s="100"/>
      <c r="F168" s="100"/>
      <c r="G168" s="100"/>
    </row>
    <row r="169" spans="1:7" x14ac:dyDescent="0.35">
      <c r="A169" s="100"/>
      <c r="F169" s="100"/>
      <c r="G169" s="100"/>
    </row>
    <row r="170" spans="1:7" x14ac:dyDescent="0.35">
      <c r="A170" s="100"/>
      <c r="F170" s="100"/>
      <c r="G170" s="100"/>
    </row>
    <row r="171" spans="1:7" x14ac:dyDescent="0.35">
      <c r="A171" s="100"/>
      <c r="F171" s="100"/>
      <c r="G171" s="100"/>
    </row>
    <row r="172" spans="1:7" x14ac:dyDescent="0.35">
      <c r="A172" s="100"/>
      <c r="F172" s="100"/>
      <c r="G172" s="100"/>
    </row>
    <row r="173" spans="1:7" x14ac:dyDescent="0.35">
      <c r="A173" s="100"/>
      <c r="F173" s="100"/>
      <c r="G173" s="100"/>
    </row>
    <row r="174" spans="1:7" x14ac:dyDescent="0.35">
      <c r="A174" s="100"/>
      <c r="F174" s="100"/>
      <c r="G174" s="100"/>
    </row>
    <row r="175" spans="1:7" x14ac:dyDescent="0.35">
      <c r="A175" s="100"/>
      <c r="F175" s="100"/>
      <c r="G175" s="100"/>
    </row>
    <row r="176" spans="1:7" x14ac:dyDescent="0.35">
      <c r="A176" s="100"/>
      <c r="F176" s="100"/>
      <c r="G176" s="100"/>
    </row>
    <row r="177" spans="1:7" x14ac:dyDescent="0.35">
      <c r="A177" s="100"/>
      <c r="F177" s="100"/>
      <c r="G177" s="100"/>
    </row>
    <row r="178" spans="1:7" x14ac:dyDescent="0.35">
      <c r="A178" s="100"/>
      <c r="F178" s="100"/>
      <c r="G178" s="100"/>
    </row>
    <row r="179" spans="1:7" x14ac:dyDescent="0.35">
      <c r="A179" s="100"/>
      <c r="F179" s="100"/>
      <c r="G179" s="100"/>
    </row>
    <row r="180" spans="1:7" x14ac:dyDescent="0.35">
      <c r="A180" s="100"/>
      <c r="F180" s="100"/>
      <c r="G180" s="100"/>
    </row>
    <row r="181" spans="1:7" x14ac:dyDescent="0.35">
      <c r="A181" s="100"/>
      <c r="F181" s="100"/>
      <c r="G181" s="100"/>
    </row>
    <row r="182" spans="1:7" x14ac:dyDescent="0.35">
      <c r="A182" s="100"/>
      <c r="F182" s="100"/>
      <c r="G182" s="100"/>
    </row>
    <row r="183" spans="1:7" x14ac:dyDescent="0.35">
      <c r="A183" s="100"/>
      <c r="F183" s="100"/>
      <c r="G183" s="100"/>
    </row>
    <row r="184" spans="1:7" x14ac:dyDescent="0.35">
      <c r="A184" s="100"/>
      <c r="F184" s="100"/>
      <c r="G184" s="100"/>
    </row>
    <row r="185" spans="1:7" x14ac:dyDescent="0.35">
      <c r="A185" s="100"/>
      <c r="F185" s="100"/>
      <c r="G185" s="100"/>
    </row>
    <row r="186" spans="1:7" x14ac:dyDescent="0.35">
      <c r="A186" s="100"/>
      <c r="F186" s="100"/>
      <c r="G186" s="100"/>
    </row>
    <row r="187" spans="1:7" x14ac:dyDescent="0.35">
      <c r="A187" s="100"/>
      <c r="F187" s="100"/>
      <c r="G187" s="100"/>
    </row>
    <row r="188" spans="1:7" x14ac:dyDescent="0.35">
      <c r="A188" s="100"/>
      <c r="F188" s="100"/>
      <c r="G188" s="100"/>
    </row>
    <row r="189" spans="1:7" x14ac:dyDescent="0.35">
      <c r="A189" s="100"/>
      <c r="F189" s="100"/>
      <c r="G189" s="100"/>
    </row>
    <row r="190" spans="1:7" x14ac:dyDescent="0.35">
      <c r="A190" s="100"/>
      <c r="F190" s="100"/>
      <c r="G190" s="100"/>
    </row>
    <row r="191" spans="1:7" x14ac:dyDescent="0.35">
      <c r="A191" s="100"/>
      <c r="F191" s="100"/>
      <c r="G191" s="100"/>
    </row>
    <row r="192" spans="1:7" x14ac:dyDescent="0.35">
      <c r="A192" s="100"/>
      <c r="F192" s="100"/>
      <c r="G192" s="100"/>
    </row>
    <row r="193" spans="1:7" x14ac:dyDescent="0.35">
      <c r="A193" s="100"/>
      <c r="F193" s="100"/>
      <c r="G193" s="100"/>
    </row>
    <row r="194" spans="1:7" x14ac:dyDescent="0.35">
      <c r="A194" s="100"/>
      <c r="F194" s="100"/>
      <c r="G194" s="100"/>
    </row>
    <row r="195" spans="1:7" x14ac:dyDescent="0.35">
      <c r="A195" s="100"/>
      <c r="F195" s="100"/>
      <c r="G195" s="100"/>
    </row>
    <row r="196" spans="1:7" x14ac:dyDescent="0.35">
      <c r="A196" s="100"/>
      <c r="F196" s="100"/>
      <c r="G196" s="100"/>
    </row>
    <row r="197" spans="1:7" x14ac:dyDescent="0.35">
      <c r="A197" s="100"/>
      <c r="F197" s="100"/>
      <c r="G197" s="100"/>
    </row>
    <row r="198" spans="1:7" x14ac:dyDescent="0.35">
      <c r="A198" s="100"/>
      <c r="F198" s="100"/>
      <c r="G198" s="100"/>
    </row>
    <row r="199" spans="1:7" x14ac:dyDescent="0.35">
      <c r="A199" s="100"/>
      <c r="F199" s="100"/>
      <c r="G199" s="100"/>
    </row>
    <row r="200" spans="1:7" x14ac:dyDescent="0.35">
      <c r="A200" s="100"/>
      <c r="F200" s="100"/>
      <c r="G200" s="100"/>
    </row>
    <row r="201" spans="1:7" x14ac:dyDescent="0.35">
      <c r="A201" s="100"/>
      <c r="F201" s="100"/>
      <c r="G201" s="1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5E1D-556C-4438-A7AB-89D9B02D11B7}">
  <dimension ref="B5:F25"/>
  <sheetViews>
    <sheetView workbookViewId="0">
      <selection activeCell="B9" sqref="B9:E17"/>
    </sheetView>
  </sheetViews>
  <sheetFormatPr baseColWidth="10" defaultColWidth="11.54296875" defaultRowHeight="14.5" x14ac:dyDescent="0.35"/>
  <cols>
    <col min="1" max="1" width="11.54296875" style="80"/>
    <col min="2" max="2" width="10.7265625" style="80" customWidth="1"/>
    <col min="3" max="5" width="9.7265625" style="80" customWidth="1"/>
    <col min="6" max="6" width="12.1796875" style="80" bestFit="1" customWidth="1"/>
    <col min="7" max="16384" width="11.54296875" style="80"/>
  </cols>
  <sheetData>
    <row r="5" spans="2:6" x14ac:dyDescent="0.35">
      <c r="B5" s="80" t="s">
        <v>936</v>
      </c>
    </row>
    <row r="7" spans="2:6" x14ac:dyDescent="0.35">
      <c r="B7" s="129" t="s">
        <v>937</v>
      </c>
      <c r="C7" s="129"/>
      <c r="D7" s="129"/>
      <c r="E7" s="129"/>
      <c r="F7" s="106">
        <v>903</v>
      </c>
    </row>
    <row r="8" spans="2:6" x14ac:dyDescent="0.35">
      <c r="B8" s="84"/>
      <c r="C8" s="84"/>
      <c r="D8" s="84"/>
      <c r="E8" s="84"/>
    </row>
    <row r="9" spans="2:6" x14ac:dyDescent="0.35">
      <c r="B9" s="84" t="s">
        <v>1479</v>
      </c>
      <c r="C9" s="84">
        <f>+VLOOKUP(BIENVENIDO!$F$7,ASIST.MEDICA!$A$4:$AE$1009,8,FALSE)</f>
        <v>17007</v>
      </c>
      <c r="D9" s="84"/>
      <c r="E9" s="84"/>
    </row>
    <row r="10" spans="2:6" x14ac:dyDescent="0.35">
      <c r="B10" s="80" t="s">
        <v>938</v>
      </c>
      <c r="C10" s="84" t="str">
        <f>+VLOOKUP(BIENVENIDO!$F$7,ASIST.MEDICA!$A$4:$AE$1009,17,FALSE)</f>
        <v>Mediken</v>
      </c>
    </row>
    <row r="11" spans="2:6" x14ac:dyDescent="0.35">
      <c r="B11" s="80" t="s">
        <v>954</v>
      </c>
      <c r="C11" s="84" t="str">
        <f>+VLOOKUP(BIENVENIDO!$F$7,ASIST.MEDICA!$A$4:$AE$1009,18,FALSE)</f>
        <v>JR 20K</v>
      </c>
      <c r="D11" s="84"/>
    </row>
    <row r="12" spans="2:6" x14ac:dyDescent="0.35">
      <c r="B12" s="80" t="s">
        <v>939</v>
      </c>
      <c r="C12" s="84" t="str">
        <f>+VLOOKUP(BIENVENIDO!$F$7,ASIST.MEDICA!$A$4:$AE$1009,9,FALSE)</f>
        <v>PAULA DANIELA OCAMPO CAÑIZARES</v>
      </c>
    </row>
    <row r="13" spans="2:6" x14ac:dyDescent="0.35">
      <c r="B13" s="80" t="s">
        <v>949</v>
      </c>
      <c r="C13" s="89">
        <f>+VLOOKUP(BIENVENIDO!$F$7,ASIST.MEDICA!$A$4:$AE$1009,20,FALSE)</f>
        <v>147.75</v>
      </c>
      <c r="D13" s="89" t="str">
        <f>+VLOOKUP(BIENVENIDO!$F$7,ASIST.MEDICA!$A$4:$AE$1009,13,FALSE)</f>
        <v>DEBITO BANCARIO</v>
      </c>
      <c r="E13" s="89" t="str">
        <f>+VLOOKUP(BIENVENIDO!$F$7,ASIST.MEDICA!$A$4:$AE$1009,14,FALSE)</f>
        <v>MENSUAL</v>
      </c>
    </row>
    <row r="14" spans="2:6" x14ac:dyDescent="0.35">
      <c r="B14" s="80" t="s">
        <v>940</v>
      </c>
      <c r="C14" s="84" t="str">
        <f>+VLOOKUP(BIENVENIDO!$F$7,ASIST.MEDICA!$A$4:$AE$1009,7,FALSE)</f>
        <v>ADRIANA JARRIN</v>
      </c>
    </row>
    <row r="15" spans="2:6" x14ac:dyDescent="0.35">
      <c r="B15" s="80" t="s">
        <v>941</v>
      </c>
      <c r="C15" s="84" t="str">
        <f>+VLOOKUP(BIENVENIDO!$F$7,ASIST.MEDICA!$A$4:$AE$1009,6,FALSE)</f>
        <v>JARRIN &amp; ASO.</v>
      </c>
    </row>
    <row r="16" spans="2:6" x14ac:dyDescent="0.35">
      <c r="B16" s="80" t="s">
        <v>942</v>
      </c>
      <c r="C16" s="84" t="str">
        <f>+VLOOKUP(BIENVENIDO!$F$7,ASIST.MEDICA!$A$4:$AE$1009,23,FALSE)</f>
        <v>40% DESCUENTO EN PRIMERA CUOTA</v>
      </c>
    </row>
    <row r="17" spans="2:2" x14ac:dyDescent="0.35">
      <c r="B17" s="80" t="s">
        <v>952</v>
      </c>
    </row>
    <row r="19" spans="2:2" x14ac:dyDescent="0.35">
      <c r="B19" s="81" t="s">
        <v>943</v>
      </c>
    </row>
    <row r="20" spans="2:2" x14ac:dyDescent="0.35">
      <c r="B20" s="81"/>
    </row>
    <row r="21" spans="2:2" ht="18.5" x14ac:dyDescent="0.35">
      <c r="B21" s="85" t="s">
        <v>944</v>
      </c>
    </row>
    <row r="22" spans="2:2" x14ac:dyDescent="0.35">
      <c r="B22" s="82" t="s">
        <v>945</v>
      </c>
    </row>
    <row r="23" spans="2:2" x14ac:dyDescent="0.35">
      <c r="B23" s="79" t="s">
        <v>946</v>
      </c>
    </row>
    <row r="24" spans="2:2" x14ac:dyDescent="0.35">
      <c r="B24" s="81" t="s">
        <v>947</v>
      </c>
    </row>
    <row r="25" spans="2:2" x14ac:dyDescent="0.35">
      <c r="B25" s="83" t="s">
        <v>948</v>
      </c>
    </row>
  </sheetData>
  <mergeCells count="1">
    <mergeCell ref="B7:E7"/>
  </mergeCells>
  <conditionalFormatting sqref="F7">
    <cfRule type="duplicateValues" dxfId="0" priority="1"/>
  </conditionalFormatting>
  <hyperlinks>
    <hyperlink ref="B25" r:id="rId1" display="http://www.elitepartnersec.com/" xr:uid="{15915DCB-8CBA-42D6-B7A5-62D5A0389542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79998168889431442"/>
  </sheetPr>
  <dimension ref="B1:M29"/>
  <sheetViews>
    <sheetView topLeftCell="B1" workbookViewId="0">
      <selection activeCell="K12" sqref="K12"/>
    </sheetView>
  </sheetViews>
  <sheetFormatPr baseColWidth="10" defaultColWidth="11.453125" defaultRowHeight="14.5" x14ac:dyDescent="0.35"/>
  <cols>
    <col min="1" max="1" width="5.7265625" customWidth="1"/>
    <col min="2" max="2" width="25.7265625" customWidth="1"/>
    <col min="3" max="3" width="9.7265625" style="24" customWidth="1"/>
    <col min="4" max="4" width="13.54296875" style="28" customWidth="1"/>
    <col min="5" max="7" width="13.54296875" customWidth="1"/>
    <col min="8" max="9" width="5.7265625" customWidth="1"/>
    <col min="10" max="12" width="13.7265625" customWidth="1"/>
    <col min="13" max="13" width="20.26953125" bestFit="1" customWidth="1"/>
  </cols>
  <sheetData>
    <row r="1" spans="2:11" x14ac:dyDescent="0.35">
      <c r="B1" s="49"/>
      <c r="C1" s="50"/>
      <c r="D1" s="51"/>
      <c r="E1" s="49"/>
      <c r="F1" s="49"/>
      <c r="G1" s="49"/>
    </row>
    <row r="2" spans="2:11" x14ac:dyDescent="0.35">
      <c r="B2" s="49"/>
      <c r="C2" s="50"/>
      <c r="D2" s="51"/>
      <c r="E2" s="49"/>
      <c r="F2" s="49"/>
      <c r="G2" s="49"/>
    </row>
    <row r="3" spans="2:11" x14ac:dyDescent="0.35">
      <c r="B3" s="49"/>
      <c r="C3" s="50"/>
      <c r="D3" s="51"/>
      <c r="E3" s="49"/>
      <c r="F3" s="49"/>
      <c r="G3" s="49"/>
    </row>
    <row r="4" spans="2:11" x14ac:dyDescent="0.35">
      <c r="B4" s="49"/>
      <c r="C4" s="50"/>
      <c r="D4" s="51"/>
      <c r="E4" s="49"/>
      <c r="F4" s="49"/>
      <c r="G4" s="49"/>
    </row>
    <row r="5" spans="2:11" x14ac:dyDescent="0.35">
      <c r="B5" s="52"/>
      <c r="C5" s="53"/>
      <c r="D5" s="51"/>
      <c r="E5" s="49"/>
      <c r="F5" s="49"/>
      <c r="G5" s="49"/>
    </row>
    <row r="6" spans="2:11" x14ac:dyDescent="0.35">
      <c r="B6" s="49"/>
      <c r="C6" s="50"/>
      <c r="D6" s="51"/>
      <c r="E6" s="49"/>
      <c r="F6" s="49"/>
      <c r="G6" s="49"/>
    </row>
    <row r="7" spans="2:11" ht="45.65" customHeight="1" x14ac:dyDescent="0.35">
      <c r="B7" s="130" t="s">
        <v>673</v>
      </c>
      <c r="C7" s="131"/>
      <c r="D7" s="131"/>
      <c r="E7" s="131"/>
      <c r="F7" s="132"/>
      <c r="G7" s="31">
        <v>45512</v>
      </c>
    </row>
    <row r="8" spans="2:11" s="32" customFormat="1" ht="29" x14ac:dyDescent="0.35">
      <c r="B8" s="39" t="s">
        <v>9</v>
      </c>
      <c r="C8" s="42" t="s">
        <v>27</v>
      </c>
      <c r="D8" s="38" t="s">
        <v>669</v>
      </c>
      <c r="E8" s="40" t="s">
        <v>670</v>
      </c>
      <c r="F8" s="41" t="s">
        <v>671</v>
      </c>
      <c r="G8" s="42" t="s">
        <v>672</v>
      </c>
    </row>
    <row r="9" spans="2:11" x14ac:dyDescent="0.35">
      <c r="B9" s="33" t="s">
        <v>14</v>
      </c>
      <c r="C9" s="44" t="s">
        <v>66</v>
      </c>
      <c r="D9" s="44">
        <v>11587.273432835824</v>
      </c>
      <c r="E9" s="34"/>
      <c r="F9" s="34">
        <v>822.5</v>
      </c>
      <c r="G9" s="35">
        <f t="shared" ref="G9:G22" si="0">SUM(D9:F9)</f>
        <v>12409.773432835824</v>
      </c>
      <c r="J9" t="s">
        <v>36</v>
      </c>
      <c r="K9" t="s">
        <v>675</v>
      </c>
    </row>
    <row r="10" spans="2:11" x14ac:dyDescent="0.35">
      <c r="B10" s="43" t="s">
        <v>20</v>
      </c>
      <c r="C10" s="44" t="s">
        <v>66</v>
      </c>
      <c r="D10" s="44">
        <v>4453.921791044776</v>
      </c>
      <c r="E10" s="34">
        <v>1523</v>
      </c>
      <c r="F10" s="34"/>
      <c r="G10" s="35">
        <f t="shared" si="0"/>
        <v>5976.921791044776</v>
      </c>
      <c r="J10" s="60" t="s">
        <v>2</v>
      </c>
      <c r="K10" s="61">
        <v>698.86238532110087</v>
      </c>
    </row>
    <row r="11" spans="2:11" x14ac:dyDescent="0.35">
      <c r="B11" s="43" t="s">
        <v>13</v>
      </c>
      <c r="C11" s="44" t="s">
        <v>66</v>
      </c>
      <c r="D11" s="44">
        <v>3849.2686567164178</v>
      </c>
      <c r="E11" s="34"/>
      <c r="F11" s="34"/>
      <c r="G11" s="35">
        <f t="shared" si="0"/>
        <v>3849.2686567164178</v>
      </c>
      <c r="J11" s="62" t="s">
        <v>3</v>
      </c>
      <c r="K11" s="63">
        <v>3748.5472636815925</v>
      </c>
    </row>
    <row r="12" spans="2:11" x14ac:dyDescent="0.35">
      <c r="B12" s="43" t="s">
        <v>18</v>
      </c>
      <c r="C12" s="44" t="s">
        <v>66</v>
      </c>
      <c r="D12" s="44">
        <v>3661.7313432835826</v>
      </c>
      <c r="E12" s="34"/>
      <c r="F12" s="34"/>
      <c r="G12" s="35">
        <f t="shared" si="0"/>
        <v>3661.7313432835826</v>
      </c>
      <c r="J12" s="64" t="s">
        <v>148</v>
      </c>
      <c r="K12" s="65">
        <v>10153.910447761195</v>
      </c>
    </row>
    <row r="13" spans="2:11" x14ac:dyDescent="0.35">
      <c r="B13" s="43" t="s">
        <v>16</v>
      </c>
      <c r="C13" s="44" t="s">
        <v>66</v>
      </c>
      <c r="D13" s="44">
        <v>3040.72</v>
      </c>
      <c r="E13" s="34"/>
      <c r="F13" s="34"/>
      <c r="G13" s="35">
        <f t="shared" si="0"/>
        <v>3040.72</v>
      </c>
      <c r="J13" s="66" t="s">
        <v>5</v>
      </c>
      <c r="K13" s="67">
        <v>15521.910447761195</v>
      </c>
    </row>
    <row r="14" spans="2:11" x14ac:dyDescent="0.35">
      <c r="B14" s="43" t="s">
        <v>19</v>
      </c>
      <c r="C14" s="44" t="s">
        <v>66</v>
      </c>
      <c r="D14" s="44">
        <v>1834.8656716417911</v>
      </c>
      <c r="E14" s="34"/>
      <c r="F14" s="34"/>
      <c r="G14" s="35">
        <f t="shared" si="0"/>
        <v>1834.8656716417911</v>
      </c>
      <c r="J14" s="68" t="s">
        <v>407</v>
      </c>
      <c r="K14" s="69">
        <v>1369.671641791045</v>
      </c>
    </row>
    <row r="15" spans="2:11" x14ac:dyDescent="0.35">
      <c r="B15" s="43" t="s">
        <v>11</v>
      </c>
      <c r="C15" s="44" t="s">
        <v>66</v>
      </c>
      <c r="D15" s="44">
        <v>1011.4626865671643</v>
      </c>
      <c r="E15" s="34"/>
      <c r="F15" s="34">
        <v>772.47</v>
      </c>
      <c r="G15" s="35">
        <f t="shared" si="0"/>
        <v>1783.9326865671642</v>
      </c>
      <c r="J15" s="70" t="s">
        <v>6</v>
      </c>
      <c r="K15" s="71">
        <v>7122.24</v>
      </c>
    </row>
    <row r="16" spans="2:11" x14ac:dyDescent="0.35">
      <c r="B16" s="33" t="s">
        <v>15</v>
      </c>
      <c r="C16" s="44" t="s">
        <v>66</v>
      </c>
      <c r="D16" s="44">
        <v>1133.4925373134331</v>
      </c>
      <c r="E16" s="34"/>
      <c r="F16" s="34">
        <v>583.20000000000005</v>
      </c>
      <c r="G16" s="35">
        <f t="shared" si="0"/>
        <v>1716.6925373134331</v>
      </c>
      <c r="J16" s="26" t="s">
        <v>670</v>
      </c>
      <c r="K16" s="28">
        <v>1523</v>
      </c>
    </row>
    <row r="17" spans="2:13" x14ac:dyDescent="0.35">
      <c r="B17" s="33" t="s">
        <v>674</v>
      </c>
      <c r="C17" s="44" t="s">
        <v>66</v>
      </c>
      <c r="D17" s="37"/>
      <c r="E17" s="34"/>
      <c r="F17" s="34">
        <v>1408.23</v>
      </c>
      <c r="G17" s="35">
        <f t="shared" si="0"/>
        <v>1408.23</v>
      </c>
      <c r="J17" s="26" t="s">
        <v>676</v>
      </c>
      <c r="K17" s="28">
        <v>4230.17</v>
      </c>
    </row>
    <row r="18" spans="2:13" x14ac:dyDescent="0.35">
      <c r="B18" s="33" t="s">
        <v>12</v>
      </c>
      <c r="C18" s="44" t="s">
        <v>66</v>
      </c>
      <c r="D18" s="44">
        <v>1369.671641791045</v>
      </c>
      <c r="E18" s="34"/>
      <c r="F18" s="34"/>
      <c r="G18" s="35">
        <f t="shared" si="0"/>
        <v>1369.671641791045</v>
      </c>
    </row>
    <row r="19" spans="2:13" x14ac:dyDescent="0.35">
      <c r="B19" s="43" t="s">
        <v>21</v>
      </c>
      <c r="C19" s="44" t="s">
        <v>66</v>
      </c>
      <c r="D19" s="44">
        <v>1077.995024875622</v>
      </c>
      <c r="E19" s="34"/>
      <c r="F19" s="34"/>
      <c r="G19" s="35">
        <f t="shared" si="0"/>
        <v>1077.995024875622</v>
      </c>
    </row>
    <row r="20" spans="2:13" x14ac:dyDescent="0.35">
      <c r="B20" s="43" t="s">
        <v>17</v>
      </c>
      <c r="C20" s="44" t="s">
        <v>66</v>
      </c>
      <c r="D20" s="44">
        <v>698.86238532110087</v>
      </c>
      <c r="E20" s="34"/>
      <c r="F20" s="34"/>
      <c r="G20" s="35">
        <f t="shared" si="0"/>
        <v>698.86238532110087</v>
      </c>
    </row>
    <row r="21" spans="2:13" x14ac:dyDescent="0.35">
      <c r="B21" s="33" t="s">
        <v>240</v>
      </c>
      <c r="C21" s="44" t="s">
        <v>66</v>
      </c>
      <c r="D21" s="37"/>
      <c r="E21" s="34"/>
      <c r="F21" s="34">
        <v>643.77</v>
      </c>
      <c r="G21" s="35">
        <f t="shared" si="0"/>
        <v>643.77</v>
      </c>
    </row>
    <row r="22" spans="2:13" x14ac:dyDescent="0.35">
      <c r="B22" s="43"/>
      <c r="C22" s="44"/>
      <c r="D22" s="37"/>
      <c r="E22" s="34"/>
      <c r="F22" s="34"/>
      <c r="G22" s="35">
        <f t="shared" si="0"/>
        <v>0</v>
      </c>
    </row>
    <row r="24" spans="2:13" x14ac:dyDescent="0.35">
      <c r="B24" s="36" t="s">
        <v>7</v>
      </c>
      <c r="C24" s="47" t="str">
        <f>+C9</f>
        <v>OMEGA</v>
      </c>
      <c r="D24" s="35">
        <f>SUBTOTAL(9,D9:D22)</f>
        <v>33719.265171390762</v>
      </c>
      <c r="E24" s="35">
        <f>SUBTOTAL(9,E9:E22)</f>
        <v>1523</v>
      </c>
      <c r="F24" s="35">
        <f>SUBTOTAL(9,F9:F22)</f>
        <v>4230.17</v>
      </c>
      <c r="G24" s="35">
        <f>SUBTOTAL(9,G9:G22)</f>
        <v>39472.43517139076</v>
      </c>
    </row>
    <row r="28" spans="2:13" ht="29" x14ac:dyDescent="0.35">
      <c r="J28" s="38" t="s">
        <v>669</v>
      </c>
      <c r="K28" s="40" t="s">
        <v>670</v>
      </c>
      <c r="L28" s="41" t="s">
        <v>671</v>
      </c>
      <c r="M28" s="72" t="s">
        <v>672</v>
      </c>
    </row>
    <row r="29" spans="2:13" x14ac:dyDescent="0.35">
      <c r="J29" s="35">
        <v>33719.265171390754</v>
      </c>
      <c r="K29" s="35">
        <v>1523</v>
      </c>
      <c r="L29" s="35">
        <v>4230.17</v>
      </c>
      <c r="M29" s="35">
        <v>39472.435171390753</v>
      </c>
    </row>
  </sheetData>
  <autoFilter ref="B8:G22" xr:uid="{00000000-0009-0000-0000-000006000000}">
    <sortState xmlns:xlrd2="http://schemas.microsoft.com/office/spreadsheetml/2017/richdata2" ref="B9:G22">
      <sortCondition descending="1" ref="G8:G22"/>
    </sortState>
  </autoFilter>
  <mergeCells count="1">
    <mergeCell ref="B7:F7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1524-A4FC-4EC9-820C-BD0E3932BFAB}">
  <sheetPr>
    <tabColor theme="7" tint="0.79998168889431442"/>
  </sheetPr>
  <dimension ref="A1:K70"/>
  <sheetViews>
    <sheetView topLeftCell="A7" zoomScale="88" workbookViewId="0">
      <selection activeCell="G7" sqref="G7"/>
    </sheetView>
  </sheetViews>
  <sheetFormatPr baseColWidth="10" defaultColWidth="11.453125" defaultRowHeight="14.5" x14ac:dyDescent="0.35"/>
  <cols>
    <col min="1" max="1" width="5.7265625" customWidth="1"/>
    <col min="2" max="2" width="25.7265625" customWidth="1"/>
    <col min="3" max="3" width="9.7265625" style="24" customWidth="1"/>
    <col min="4" max="4" width="13.54296875" style="28" customWidth="1"/>
    <col min="5" max="6" width="13.54296875" customWidth="1"/>
    <col min="7" max="7" width="14.81640625" bestFit="1" customWidth="1"/>
    <col min="8" max="9" width="5.7265625" customWidth="1"/>
    <col min="10" max="12" width="13.7265625" customWidth="1"/>
    <col min="13" max="13" width="20.26953125" bestFit="1" customWidth="1"/>
  </cols>
  <sheetData>
    <row r="1" spans="1:11" x14ac:dyDescent="0.35">
      <c r="B1" s="49"/>
      <c r="C1" s="50"/>
      <c r="D1" s="51"/>
      <c r="E1" s="49"/>
      <c r="F1" s="49"/>
      <c r="G1" s="49"/>
    </row>
    <row r="2" spans="1:11" x14ac:dyDescent="0.35">
      <c r="B2" s="49"/>
      <c r="C2" s="50"/>
      <c r="D2" s="51"/>
      <c r="E2" s="49"/>
      <c r="F2" s="49"/>
      <c r="G2" s="49"/>
    </row>
    <row r="3" spans="1:11" x14ac:dyDescent="0.35">
      <c r="B3" s="49"/>
      <c r="C3" s="50"/>
      <c r="D3" s="51"/>
      <c r="E3" s="49"/>
      <c r="F3" s="49"/>
      <c r="G3" s="49"/>
    </row>
    <row r="4" spans="1:11" x14ac:dyDescent="0.35">
      <c r="B4" s="49"/>
      <c r="C4" s="50"/>
      <c r="D4" s="51"/>
      <c r="E4" s="49"/>
      <c r="F4" s="49"/>
      <c r="G4" s="49"/>
    </row>
    <row r="5" spans="1:11" x14ac:dyDescent="0.35">
      <c r="B5" s="52"/>
      <c r="C5" s="53"/>
      <c r="D5" s="51"/>
      <c r="E5" s="49"/>
      <c r="F5" s="49"/>
      <c r="G5" s="49"/>
    </row>
    <row r="6" spans="1:11" x14ac:dyDescent="0.35">
      <c r="B6" s="49"/>
      <c r="C6" s="50"/>
      <c r="D6" s="51"/>
      <c r="E6" s="49"/>
      <c r="F6" s="49"/>
      <c r="G6" s="49"/>
    </row>
    <row r="7" spans="1:11" ht="45.65" customHeight="1" x14ac:dyDescent="0.35">
      <c r="B7" s="130" t="s">
        <v>673</v>
      </c>
      <c r="C7" s="131"/>
      <c r="D7" s="131"/>
      <c r="E7" s="131"/>
      <c r="F7" s="132"/>
      <c r="G7" s="77" t="s">
        <v>932</v>
      </c>
    </row>
    <row r="8" spans="1:11" s="32" customFormat="1" ht="29" x14ac:dyDescent="0.35">
      <c r="B8" s="39" t="s">
        <v>9</v>
      </c>
      <c r="C8" s="42" t="s">
        <v>27</v>
      </c>
      <c r="D8" s="38" t="s">
        <v>669</v>
      </c>
      <c r="E8" s="40" t="s">
        <v>670</v>
      </c>
      <c r="F8" s="41" t="s">
        <v>671</v>
      </c>
      <c r="G8" s="42" t="s">
        <v>672</v>
      </c>
    </row>
    <row r="9" spans="1:11" x14ac:dyDescent="0.35">
      <c r="A9" s="78">
        <v>1</v>
      </c>
      <c r="B9" s="33" t="s">
        <v>60</v>
      </c>
      <c r="C9" s="44" t="s">
        <v>52</v>
      </c>
      <c r="D9" s="37">
        <v>109646.35</v>
      </c>
      <c r="E9" s="34"/>
      <c r="F9" s="34">
        <v>1798.92</v>
      </c>
      <c r="G9" s="35">
        <f t="shared" ref="G9:G40" si="0">SUM(D9:F9)</f>
        <v>111445.27</v>
      </c>
      <c r="J9" s="26"/>
      <c r="K9" s="29"/>
    </row>
    <row r="10" spans="1:11" x14ac:dyDescent="0.35">
      <c r="A10" s="78">
        <v>2</v>
      </c>
      <c r="B10" s="33" t="s">
        <v>155</v>
      </c>
      <c r="C10" s="44" t="s">
        <v>52</v>
      </c>
      <c r="D10" s="37">
        <v>97627.570000000022</v>
      </c>
      <c r="E10" s="34"/>
      <c r="F10" s="34">
        <v>6310.329999999999</v>
      </c>
      <c r="G10" s="35">
        <f t="shared" si="0"/>
        <v>103937.90000000002</v>
      </c>
      <c r="J10" s="26"/>
      <c r="K10" s="29"/>
    </row>
    <row r="11" spans="1:11" x14ac:dyDescent="0.35">
      <c r="A11" s="78">
        <v>3</v>
      </c>
      <c r="B11" s="33" t="s">
        <v>11</v>
      </c>
      <c r="C11" s="44" t="s">
        <v>66</v>
      </c>
      <c r="D11" s="37">
        <v>55276.339000269378</v>
      </c>
      <c r="E11" s="34"/>
      <c r="F11" s="34">
        <v>14676.89</v>
      </c>
      <c r="G11" s="35">
        <f t="shared" si="0"/>
        <v>69953.229000269377</v>
      </c>
      <c r="J11" s="26"/>
      <c r="K11" s="29"/>
    </row>
    <row r="12" spans="1:11" x14ac:dyDescent="0.35">
      <c r="A12" s="78">
        <v>4</v>
      </c>
      <c r="B12" s="33" t="s">
        <v>129</v>
      </c>
      <c r="C12" s="44" t="s">
        <v>52</v>
      </c>
      <c r="D12" s="37">
        <v>52648.959999999999</v>
      </c>
      <c r="E12" s="34"/>
      <c r="F12" s="34">
        <v>9594.7900000000009</v>
      </c>
      <c r="G12" s="35">
        <f t="shared" si="0"/>
        <v>62243.75</v>
      </c>
      <c r="J12" s="26"/>
      <c r="K12" s="29"/>
    </row>
    <row r="13" spans="1:11" x14ac:dyDescent="0.35">
      <c r="A13" s="78">
        <v>5</v>
      </c>
      <c r="B13" s="33" t="s">
        <v>218</v>
      </c>
      <c r="C13" s="44" t="s">
        <v>66</v>
      </c>
      <c r="D13" s="37">
        <v>53548.429879548508</v>
      </c>
      <c r="E13" s="34"/>
      <c r="F13" s="34">
        <v>7658.0599999999995</v>
      </c>
      <c r="G13" s="35">
        <f t="shared" si="0"/>
        <v>61206.489879548506</v>
      </c>
      <c r="J13" s="26"/>
      <c r="K13" s="29"/>
    </row>
    <row r="14" spans="1:11" x14ac:dyDescent="0.35">
      <c r="A14" s="78">
        <v>6</v>
      </c>
      <c r="B14" s="33" t="s">
        <v>14</v>
      </c>
      <c r="C14" s="44" t="s">
        <v>66</v>
      </c>
      <c r="D14" s="37">
        <v>59306.650199180527</v>
      </c>
      <c r="E14" s="34"/>
      <c r="F14" s="34">
        <v>1740.01</v>
      </c>
      <c r="G14" s="35">
        <f t="shared" si="0"/>
        <v>61046.660199180529</v>
      </c>
      <c r="J14" s="26"/>
      <c r="K14" s="29"/>
    </row>
    <row r="15" spans="1:11" x14ac:dyDescent="0.35">
      <c r="A15" s="78">
        <v>7</v>
      </c>
      <c r="B15" s="33" t="s">
        <v>78</v>
      </c>
      <c r="C15" s="44" t="s">
        <v>52</v>
      </c>
      <c r="D15" s="37">
        <v>48891.029999999992</v>
      </c>
      <c r="E15" s="34"/>
      <c r="F15" s="34">
        <v>603.07000000000005</v>
      </c>
      <c r="G15" s="35">
        <f t="shared" si="0"/>
        <v>49494.099999999991</v>
      </c>
      <c r="J15" s="26"/>
      <c r="K15" s="29"/>
    </row>
    <row r="16" spans="1:11" x14ac:dyDescent="0.35">
      <c r="A16" s="78">
        <v>8</v>
      </c>
      <c r="B16" s="33" t="s">
        <v>98</v>
      </c>
      <c r="C16" s="44" t="s">
        <v>52</v>
      </c>
      <c r="D16" s="37">
        <v>37051.870000000003</v>
      </c>
      <c r="E16" s="34"/>
      <c r="F16" s="34"/>
      <c r="G16" s="35">
        <f t="shared" si="0"/>
        <v>37051.870000000003</v>
      </c>
      <c r="J16" s="26"/>
      <c r="K16" s="29"/>
    </row>
    <row r="17" spans="1:11" x14ac:dyDescent="0.35">
      <c r="A17" s="78">
        <v>9</v>
      </c>
      <c r="B17" s="33" t="s">
        <v>377</v>
      </c>
      <c r="C17" s="44" t="s">
        <v>52</v>
      </c>
      <c r="D17" s="37">
        <v>33246.949999999997</v>
      </c>
      <c r="E17" s="34"/>
      <c r="F17" s="34">
        <v>2374.27</v>
      </c>
      <c r="G17" s="35">
        <f t="shared" si="0"/>
        <v>35621.219999999994</v>
      </c>
      <c r="J17" s="26"/>
      <c r="K17" s="29"/>
    </row>
    <row r="18" spans="1:11" x14ac:dyDescent="0.35">
      <c r="A18" s="78">
        <v>10</v>
      </c>
      <c r="B18" s="33" t="s">
        <v>75</v>
      </c>
      <c r="C18" s="44" t="s">
        <v>52</v>
      </c>
      <c r="D18" s="37">
        <v>35477.89</v>
      </c>
      <c r="E18" s="34"/>
      <c r="F18" s="34"/>
      <c r="G18" s="35">
        <f t="shared" si="0"/>
        <v>35477.89</v>
      </c>
      <c r="J18" s="26"/>
      <c r="K18" s="29"/>
    </row>
    <row r="19" spans="1:11" x14ac:dyDescent="0.35">
      <c r="A19" s="78">
        <v>11</v>
      </c>
      <c r="B19" s="33" t="s">
        <v>15</v>
      </c>
      <c r="C19" s="44" t="s">
        <v>66</v>
      </c>
      <c r="D19" s="37">
        <v>24107.365771144279</v>
      </c>
      <c r="E19" s="34"/>
      <c r="F19" s="34">
        <v>6033.76</v>
      </c>
      <c r="G19" s="35">
        <f t="shared" si="0"/>
        <v>30141.125771144281</v>
      </c>
      <c r="J19" s="26"/>
      <c r="K19" s="29"/>
    </row>
    <row r="20" spans="1:11" x14ac:dyDescent="0.35">
      <c r="A20" s="78">
        <v>12</v>
      </c>
      <c r="B20" s="33" t="s">
        <v>13</v>
      </c>
      <c r="C20" s="44" t="s">
        <v>66</v>
      </c>
      <c r="D20" s="37">
        <v>25019.034626865676</v>
      </c>
      <c r="E20" s="34"/>
      <c r="F20" s="34">
        <v>4729.59</v>
      </c>
      <c r="G20" s="35">
        <f t="shared" si="0"/>
        <v>29748.624626865676</v>
      </c>
      <c r="J20" s="26"/>
      <c r="K20" s="29"/>
    </row>
    <row r="21" spans="1:11" x14ac:dyDescent="0.35">
      <c r="A21" s="78">
        <v>13</v>
      </c>
      <c r="B21" s="33" t="s">
        <v>57</v>
      </c>
      <c r="C21" s="44" t="s">
        <v>52</v>
      </c>
      <c r="D21" s="37">
        <v>28418.260000000006</v>
      </c>
      <c r="E21" s="34"/>
      <c r="F21" s="34">
        <v>540</v>
      </c>
      <c r="G21" s="35">
        <f t="shared" si="0"/>
        <v>28958.260000000006</v>
      </c>
      <c r="J21" s="26"/>
      <c r="K21" s="29"/>
    </row>
    <row r="22" spans="1:11" x14ac:dyDescent="0.35">
      <c r="A22" s="78">
        <v>14</v>
      </c>
      <c r="B22" s="33" t="s">
        <v>118</v>
      </c>
      <c r="C22" s="44" t="s">
        <v>52</v>
      </c>
      <c r="D22" s="37">
        <v>26687.52</v>
      </c>
      <c r="E22" s="34"/>
      <c r="F22" s="34">
        <v>618.54999999999995</v>
      </c>
      <c r="G22" s="35">
        <f t="shared" si="0"/>
        <v>27306.07</v>
      </c>
      <c r="J22" s="26"/>
      <c r="K22" s="29"/>
    </row>
    <row r="23" spans="1:11" x14ac:dyDescent="0.35">
      <c r="A23" s="78">
        <v>15</v>
      </c>
      <c r="B23" s="33" t="s">
        <v>90</v>
      </c>
      <c r="C23" s="44" t="s">
        <v>52</v>
      </c>
      <c r="D23" s="37">
        <v>26497.580000000005</v>
      </c>
      <c r="E23" s="34"/>
      <c r="F23" s="34"/>
      <c r="G23" s="35">
        <f t="shared" si="0"/>
        <v>26497.580000000005</v>
      </c>
      <c r="J23" s="26"/>
      <c r="K23" s="29"/>
    </row>
    <row r="24" spans="1:11" x14ac:dyDescent="0.35">
      <c r="A24" s="78">
        <v>16</v>
      </c>
      <c r="B24" s="33" t="s">
        <v>16</v>
      </c>
      <c r="C24" s="44" t="s">
        <v>66</v>
      </c>
      <c r="D24" s="37">
        <v>25943.705951388562</v>
      </c>
      <c r="E24" s="34"/>
      <c r="F24" s="34"/>
      <c r="G24" s="35">
        <f t="shared" si="0"/>
        <v>25943.705951388562</v>
      </c>
      <c r="J24" s="26"/>
      <c r="K24" s="29"/>
    </row>
    <row r="25" spans="1:11" x14ac:dyDescent="0.35">
      <c r="A25" s="78">
        <v>17</v>
      </c>
      <c r="B25" s="33" t="s">
        <v>18</v>
      </c>
      <c r="C25" s="44" t="s">
        <v>66</v>
      </c>
      <c r="D25" s="37">
        <v>22652.796838238719</v>
      </c>
      <c r="E25" s="34"/>
      <c r="F25" s="34">
        <v>3226.98</v>
      </c>
      <c r="G25" s="35">
        <f t="shared" si="0"/>
        <v>25879.776838238718</v>
      </c>
      <c r="J25" s="26"/>
      <c r="K25" s="29"/>
    </row>
    <row r="26" spans="1:11" x14ac:dyDescent="0.35">
      <c r="A26" s="78">
        <v>18</v>
      </c>
      <c r="B26" s="33" t="s">
        <v>12</v>
      </c>
      <c r="C26" s="44" t="s">
        <v>66</v>
      </c>
      <c r="D26" s="37">
        <v>17802.077589523542</v>
      </c>
      <c r="E26" s="34"/>
      <c r="F26" s="34">
        <v>2039.0600000000002</v>
      </c>
      <c r="G26" s="35">
        <f t="shared" si="0"/>
        <v>19841.137589523543</v>
      </c>
      <c r="J26" s="26"/>
      <c r="K26" s="29"/>
    </row>
    <row r="27" spans="1:11" x14ac:dyDescent="0.35">
      <c r="A27" s="78">
        <v>19</v>
      </c>
      <c r="B27" s="33" t="s">
        <v>20</v>
      </c>
      <c r="C27" s="44" t="s">
        <v>66</v>
      </c>
      <c r="D27" s="37">
        <v>17609.85688621115</v>
      </c>
      <c r="E27" s="34"/>
      <c r="F27" s="34">
        <v>1555.33</v>
      </c>
      <c r="G27" s="35">
        <f t="shared" si="0"/>
        <v>19165.186886211151</v>
      </c>
      <c r="J27" s="26"/>
      <c r="K27" s="29"/>
    </row>
    <row r="28" spans="1:11" x14ac:dyDescent="0.35">
      <c r="A28" s="78">
        <v>20</v>
      </c>
      <c r="B28" s="33" t="s">
        <v>240</v>
      </c>
      <c r="C28" s="44" t="s">
        <v>66</v>
      </c>
      <c r="D28" s="37">
        <v>9431.8892133689787</v>
      </c>
      <c r="E28" s="34"/>
      <c r="F28" s="34">
        <v>8183.2699999999995</v>
      </c>
      <c r="G28" s="35">
        <f t="shared" si="0"/>
        <v>17615.159213368977</v>
      </c>
      <c r="J28" s="26"/>
      <c r="K28" s="29"/>
    </row>
    <row r="29" spans="1:11" x14ac:dyDescent="0.35">
      <c r="A29" s="78">
        <v>21</v>
      </c>
      <c r="B29" s="33" t="s">
        <v>113</v>
      </c>
      <c r="C29" s="44" t="s">
        <v>52</v>
      </c>
      <c r="D29" s="37">
        <v>14534.32</v>
      </c>
      <c r="E29" s="34"/>
      <c r="F29" s="34"/>
      <c r="G29" s="35">
        <f t="shared" si="0"/>
        <v>14534.32</v>
      </c>
      <c r="J29" s="26"/>
      <c r="K29" s="29"/>
    </row>
    <row r="30" spans="1:11" x14ac:dyDescent="0.35">
      <c r="A30" s="78">
        <v>22</v>
      </c>
      <c r="B30" s="33" t="s">
        <v>175</v>
      </c>
      <c r="C30" s="44" t="s">
        <v>66</v>
      </c>
      <c r="D30" s="37">
        <v>10749.522388059702</v>
      </c>
      <c r="E30" s="34"/>
      <c r="F30" s="34">
        <v>640.47</v>
      </c>
      <c r="G30" s="35">
        <f t="shared" si="0"/>
        <v>11389.992388059702</v>
      </c>
      <c r="J30" s="26"/>
      <c r="K30" s="29"/>
    </row>
    <row r="31" spans="1:11" x14ac:dyDescent="0.35">
      <c r="A31" s="78">
        <v>23</v>
      </c>
      <c r="B31" s="33" t="s">
        <v>674</v>
      </c>
      <c r="C31" s="44" t="s">
        <v>66</v>
      </c>
      <c r="D31" s="37">
        <v>6158.3856880733947</v>
      </c>
      <c r="E31" s="34"/>
      <c r="F31" s="34">
        <v>4529.8599999999997</v>
      </c>
      <c r="G31" s="35">
        <f t="shared" si="0"/>
        <v>10688.245688073395</v>
      </c>
      <c r="J31" s="26"/>
      <c r="K31" s="29"/>
    </row>
    <row r="32" spans="1:11" x14ac:dyDescent="0.35">
      <c r="A32" s="78">
        <v>24</v>
      </c>
      <c r="B32" s="33" t="s">
        <v>53</v>
      </c>
      <c r="C32" s="44" t="s">
        <v>52</v>
      </c>
      <c r="D32" s="37">
        <v>9082.24</v>
      </c>
      <c r="E32" s="34"/>
      <c r="F32" s="34">
        <v>1592</v>
      </c>
      <c r="G32" s="35">
        <f t="shared" si="0"/>
        <v>10674.24</v>
      </c>
      <c r="J32" s="26"/>
      <c r="K32" s="29"/>
    </row>
    <row r="33" spans="1:11" x14ac:dyDescent="0.35">
      <c r="A33" s="78">
        <v>25</v>
      </c>
      <c r="B33" s="33" t="s">
        <v>145</v>
      </c>
      <c r="C33" s="44" t="s">
        <v>66</v>
      </c>
      <c r="D33" s="37">
        <v>10627.228344260009</v>
      </c>
      <c r="E33" s="34"/>
      <c r="F33" s="34"/>
      <c r="G33" s="35">
        <f t="shared" si="0"/>
        <v>10627.228344260009</v>
      </c>
      <c r="J33" s="26"/>
      <c r="K33" s="29"/>
    </row>
    <row r="34" spans="1:11" x14ac:dyDescent="0.35">
      <c r="A34" s="78">
        <v>26</v>
      </c>
      <c r="B34" s="33" t="s">
        <v>262</v>
      </c>
      <c r="C34" s="44" t="s">
        <v>66</v>
      </c>
      <c r="D34" s="37">
        <v>5653.3755223880598</v>
      </c>
      <c r="E34" s="34"/>
      <c r="F34" s="34">
        <v>3129.98</v>
      </c>
      <c r="G34" s="35">
        <f t="shared" si="0"/>
        <v>8783.3555223880594</v>
      </c>
      <c r="J34" s="26"/>
      <c r="K34" s="29"/>
    </row>
    <row r="35" spans="1:11" x14ac:dyDescent="0.35">
      <c r="A35" s="78">
        <v>27</v>
      </c>
      <c r="B35" s="33" t="s">
        <v>21</v>
      </c>
      <c r="C35" s="44" t="s">
        <v>66</v>
      </c>
      <c r="D35" s="37">
        <v>5475.2636815920405</v>
      </c>
      <c r="E35" s="34"/>
      <c r="F35" s="34">
        <v>2207.48</v>
      </c>
      <c r="G35" s="35">
        <f t="shared" si="0"/>
        <v>7682.743681592041</v>
      </c>
      <c r="J35" s="26"/>
      <c r="K35" s="29"/>
    </row>
    <row r="36" spans="1:11" x14ac:dyDescent="0.35">
      <c r="A36" s="78">
        <v>28</v>
      </c>
      <c r="B36" s="33" t="s">
        <v>158</v>
      </c>
      <c r="C36" s="44" t="s">
        <v>66</v>
      </c>
      <c r="D36" s="37">
        <v>4961.2668656716432</v>
      </c>
      <c r="E36" s="34"/>
      <c r="F36" s="34">
        <v>2703.5299999999997</v>
      </c>
      <c r="G36" s="35">
        <f t="shared" si="0"/>
        <v>7664.796865671643</v>
      </c>
      <c r="J36" s="26"/>
      <c r="K36" s="29"/>
    </row>
    <row r="37" spans="1:11" x14ac:dyDescent="0.35">
      <c r="A37" s="78">
        <v>29</v>
      </c>
      <c r="B37" s="33" t="s">
        <v>790</v>
      </c>
      <c r="C37" s="44" t="s">
        <v>66</v>
      </c>
      <c r="D37" s="37">
        <v>6867.8456798575935</v>
      </c>
      <c r="E37" s="34"/>
      <c r="F37" s="34"/>
      <c r="G37" s="35">
        <f t="shared" si="0"/>
        <v>6867.8456798575935</v>
      </c>
      <c r="J37" s="26"/>
      <c r="K37" s="29"/>
    </row>
    <row r="38" spans="1:11" x14ac:dyDescent="0.35">
      <c r="A38" s="78">
        <v>30</v>
      </c>
      <c r="B38" s="33" t="s">
        <v>166</v>
      </c>
      <c r="C38" s="44" t="s">
        <v>66</v>
      </c>
      <c r="D38" s="37">
        <v>2748.253731343284</v>
      </c>
      <c r="E38" s="34"/>
      <c r="F38" s="34">
        <v>3730.8599999999997</v>
      </c>
      <c r="G38" s="35">
        <f t="shared" si="0"/>
        <v>6479.1137313432837</v>
      </c>
      <c r="J38" s="26"/>
      <c r="K38" s="29"/>
    </row>
    <row r="39" spans="1:11" x14ac:dyDescent="0.35">
      <c r="A39" s="78">
        <v>31</v>
      </c>
      <c r="B39" s="33" t="s">
        <v>17</v>
      </c>
      <c r="C39" s="44" t="s">
        <v>66</v>
      </c>
      <c r="D39" s="37">
        <v>5687.7504955715294</v>
      </c>
      <c r="E39" s="34"/>
      <c r="F39" s="34"/>
      <c r="G39" s="35">
        <f t="shared" si="0"/>
        <v>5687.7504955715294</v>
      </c>
      <c r="J39" s="26"/>
      <c r="K39" s="29"/>
    </row>
    <row r="40" spans="1:11" x14ac:dyDescent="0.35">
      <c r="A40" s="78">
        <v>32</v>
      </c>
      <c r="B40" s="33" t="s">
        <v>84</v>
      </c>
      <c r="C40" s="44" t="s">
        <v>66</v>
      </c>
      <c r="D40" s="37">
        <v>3913.8164179104479</v>
      </c>
      <c r="E40" s="34"/>
      <c r="F40" s="34">
        <v>1624.62</v>
      </c>
      <c r="G40" s="35">
        <f t="shared" si="0"/>
        <v>5538.4364179104477</v>
      </c>
      <c r="J40" s="26"/>
      <c r="K40" s="29"/>
    </row>
    <row r="41" spans="1:11" x14ac:dyDescent="0.35">
      <c r="A41" s="78">
        <v>33</v>
      </c>
      <c r="B41" s="33" t="s">
        <v>19</v>
      </c>
      <c r="C41" s="44" t="s">
        <v>66</v>
      </c>
      <c r="D41" s="37">
        <v>4679.587064676618</v>
      </c>
      <c r="E41" s="34"/>
      <c r="F41" s="34">
        <v>785.68</v>
      </c>
      <c r="G41" s="35">
        <f t="shared" ref="G41:G68" si="1">SUM(D41:F41)</f>
        <v>5465.2670646766182</v>
      </c>
      <c r="J41" s="26"/>
      <c r="K41" s="29"/>
    </row>
    <row r="42" spans="1:11" x14ac:dyDescent="0.35">
      <c r="A42" s="78">
        <v>34</v>
      </c>
      <c r="B42" s="33" t="s">
        <v>257</v>
      </c>
      <c r="C42" s="44" t="s">
        <v>52</v>
      </c>
      <c r="D42" s="37">
        <v>4249.313432835821</v>
      </c>
      <c r="E42" s="34"/>
      <c r="F42" s="34"/>
      <c r="G42" s="35">
        <f t="shared" si="1"/>
        <v>4249.313432835821</v>
      </c>
      <c r="J42" s="26"/>
      <c r="K42" s="29"/>
    </row>
    <row r="43" spans="1:11" x14ac:dyDescent="0.35">
      <c r="A43" s="78">
        <v>35</v>
      </c>
      <c r="B43" s="33" t="s">
        <v>818</v>
      </c>
      <c r="C43" s="44" t="s">
        <v>52</v>
      </c>
      <c r="D43" s="37">
        <v>3079.5299999999997</v>
      </c>
      <c r="E43" s="34"/>
      <c r="F43" s="34"/>
      <c r="G43" s="35">
        <f t="shared" si="1"/>
        <v>3079.5299999999997</v>
      </c>
      <c r="J43" s="26"/>
      <c r="K43" s="29"/>
    </row>
    <row r="44" spans="1:11" x14ac:dyDescent="0.35">
      <c r="A44" s="78">
        <v>36</v>
      </c>
      <c r="B44" s="33" t="s">
        <v>330</v>
      </c>
      <c r="C44" s="44" t="s">
        <v>66</v>
      </c>
      <c r="D44" s="37">
        <v>1226.3880597014927</v>
      </c>
      <c r="E44" s="34"/>
      <c r="F44" s="34">
        <v>1798.26</v>
      </c>
      <c r="G44" s="35">
        <f t="shared" si="1"/>
        <v>3024.6480597014925</v>
      </c>
      <c r="J44" s="26"/>
      <c r="K44" s="29"/>
    </row>
    <row r="45" spans="1:11" x14ac:dyDescent="0.35">
      <c r="A45" s="78">
        <v>37</v>
      </c>
      <c r="B45" s="33" t="s">
        <v>820</v>
      </c>
      <c r="C45" s="44" t="s">
        <v>52</v>
      </c>
      <c r="D45" s="37">
        <v>1742.62</v>
      </c>
      <c r="E45" s="34"/>
      <c r="F45" s="34"/>
      <c r="G45" s="35">
        <f t="shared" si="1"/>
        <v>1742.62</v>
      </c>
      <c r="J45" s="26"/>
      <c r="K45" s="29"/>
    </row>
    <row r="46" spans="1:11" x14ac:dyDescent="0.35">
      <c r="A46" s="78">
        <v>38</v>
      </c>
      <c r="B46" s="33" t="s">
        <v>569</v>
      </c>
      <c r="C46" s="44" t="s">
        <v>52</v>
      </c>
      <c r="D46" s="37">
        <v>1730.1399999999999</v>
      </c>
      <c r="E46" s="34"/>
      <c r="F46" s="34"/>
      <c r="G46" s="35">
        <f t="shared" si="1"/>
        <v>1730.1399999999999</v>
      </c>
      <c r="J46" s="26"/>
      <c r="K46" s="29"/>
    </row>
    <row r="47" spans="1:11" x14ac:dyDescent="0.35">
      <c r="A47" s="78">
        <v>39</v>
      </c>
      <c r="B47" s="33" t="s">
        <v>933</v>
      </c>
      <c r="C47" s="44" t="s">
        <v>66</v>
      </c>
      <c r="D47" s="37"/>
      <c r="E47" s="75">
        <v>1572.5</v>
      </c>
      <c r="F47" s="34"/>
      <c r="G47" s="35">
        <f t="shared" si="1"/>
        <v>1572.5</v>
      </c>
      <c r="J47" s="26"/>
      <c r="K47" s="29"/>
    </row>
    <row r="48" spans="1:11" x14ac:dyDescent="0.35">
      <c r="A48" s="78">
        <v>40</v>
      </c>
      <c r="B48" s="33" t="s">
        <v>275</v>
      </c>
      <c r="C48" s="44" t="s">
        <v>66</v>
      </c>
      <c r="D48" s="37">
        <v>1269</v>
      </c>
      <c r="E48" s="34"/>
      <c r="F48" s="34"/>
      <c r="G48" s="35">
        <f t="shared" si="1"/>
        <v>1269</v>
      </c>
      <c r="J48" s="26"/>
      <c r="K48" s="29"/>
    </row>
    <row r="49" spans="1:11" x14ac:dyDescent="0.35">
      <c r="A49" s="78">
        <v>41</v>
      </c>
      <c r="B49" s="33" t="s">
        <v>573</v>
      </c>
      <c r="C49" s="44" t="s">
        <v>52</v>
      </c>
      <c r="D49" s="37">
        <v>1225.52</v>
      </c>
      <c r="E49" s="34"/>
      <c r="F49" s="34"/>
      <c r="G49" s="35">
        <f t="shared" si="1"/>
        <v>1225.52</v>
      </c>
      <c r="J49" s="26"/>
      <c r="K49" s="29"/>
    </row>
    <row r="50" spans="1:11" x14ac:dyDescent="0.35">
      <c r="A50" s="78">
        <v>42</v>
      </c>
      <c r="B50" s="33" t="s">
        <v>819</v>
      </c>
      <c r="C50" s="44" t="s">
        <v>52</v>
      </c>
      <c r="D50" s="37">
        <v>331.62</v>
      </c>
      <c r="E50" s="34"/>
      <c r="F50" s="34">
        <v>608</v>
      </c>
      <c r="G50" s="35">
        <f t="shared" si="1"/>
        <v>939.62</v>
      </c>
      <c r="J50" s="26"/>
      <c r="K50" s="29"/>
    </row>
    <row r="51" spans="1:11" x14ac:dyDescent="0.35">
      <c r="A51" s="78">
        <v>43</v>
      </c>
      <c r="B51" s="33" t="s">
        <v>931</v>
      </c>
      <c r="C51" s="44" t="s">
        <v>66</v>
      </c>
      <c r="D51" s="37"/>
      <c r="E51" s="34"/>
      <c r="F51" s="34">
        <v>732.12</v>
      </c>
      <c r="G51" s="35">
        <f t="shared" si="1"/>
        <v>732.12</v>
      </c>
      <c r="J51" s="26"/>
      <c r="K51" s="29"/>
    </row>
    <row r="52" spans="1:11" x14ac:dyDescent="0.35">
      <c r="A52" s="78">
        <v>44</v>
      </c>
      <c r="B52" s="33" t="s">
        <v>928</v>
      </c>
      <c r="C52" s="44" t="s">
        <v>52</v>
      </c>
      <c r="D52" s="37"/>
      <c r="E52" s="34"/>
      <c r="F52" s="34">
        <v>658.42</v>
      </c>
      <c r="G52" s="35">
        <f t="shared" si="1"/>
        <v>658.42</v>
      </c>
      <c r="J52" s="26"/>
      <c r="K52" s="29"/>
    </row>
    <row r="53" spans="1:11" x14ac:dyDescent="0.35">
      <c r="A53" s="78">
        <v>45</v>
      </c>
      <c r="B53" s="33" t="s">
        <v>929</v>
      </c>
      <c r="C53" s="44" t="s">
        <v>66</v>
      </c>
      <c r="D53" s="37"/>
      <c r="E53" s="34"/>
      <c r="F53" s="34">
        <v>627</v>
      </c>
      <c r="G53" s="35">
        <f t="shared" si="1"/>
        <v>627</v>
      </c>
      <c r="J53" s="26"/>
      <c r="K53" s="29"/>
    </row>
    <row r="54" spans="1:11" x14ac:dyDescent="0.35">
      <c r="A54" s="78">
        <v>46</v>
      </c>
      <c r="B54" s="33" t="s">
        <v>930</v>
      </c>
      <c r="C54" s="44" t="s">
        <v>66</v>
      </c>
      <c r="D54" s="37"/>
      <c r="E54" s="34"/>
      <c r="F54" s="34">
        <v>400</v>
      </c>
      <c r="G54" s="35">
        <f t="shared" si="1"/>
        <v>400</v>
      </c>
      <c r="J54" s="26"/>
      <c r="K54" s="29"/>
    </row>
    <row r="55" spans="1:11" x14ac:dyDescent="0.35">
      <c r="A55" s="78">
        <v>47</v>
      </c>
      <c r="B55" s="33" t="s">
        <v>681</v>
      </c>
      <c r="C55" s="44" t="s">
        <v>66</v>
      </c>
      <c r="D55" s="37">
        <v>166.32</v>
      </c>
      <c r="E55" s="76"/>
      <c r="F55" s="34"/>
      <c r="G55" s="35">
        <f t="shared" si="1"/>
        <v>166.32</v>
      </c>
      <c r="J55" s="26"/>
      <c r="K55" s="29"/>
    </row>
    <row r="56" spans="1:11" x14ac:dyDescent="0.35">
      <c r="A56" s="78">
        <v>48</v>
      </c>
      <c r="B56" s="33"/>
      <c r="C56" s="44"/>
      <c r="D56" s="37"/>
      <c r="E56" s="34"/>
      <c r="F56" s="34"/>
      <c r="G56" s="35">
        <f t="shared" si="1"/>
        <v>0</v>
      </c>
      <c r="J56" s="26"/>
      <c r="K56" s="29"/>
    </row>
    <row r="57" spans="1:11" x14ac:dyDescent="0.35">
      <c r="A57" s="78">
        <v>49</v>
      </c>
      <c r="B57" s="33"/>
      <c r="C57" s="44"/>
      <c r="D57" s="37"/>
      <c r="E57" s="34"/>
      <c r="F57" s="34"/>
      <c r="G57" s="35">
        <f t="shared" si="1"/>
        <v>0</v>
      </c>
      <c r="J57" s="26"/>
      <c r="K57" s="29"/>
    </row>
    <row r="58" spans="1:11" x14ac:dyDescent="0.35">
      <c r="A58" s="78">
        <v>50</v>
      </c>
      <c r="B58" s="33"/>
      <c r="C58" s="44"/>
      <c r="D58" s="37"/>
      <c r="E58" s="34"/>
      <c r="F58" s="34"/>
      <c r="G58" s="35">
        <f t="shared" si="1"/>
        <v>0</v>
      </c>
    </row>
    <row r="59" spans="1:11" x14ac:dyDescent="0.35">
      <c r="B59" s="33"/>
      <c r="C59" s="44"/>
      <c r="D59" s="37"/>
      <c r="E59" s="34"/>
      <c r="F59" s="34"/>
      <c r="G59" s="35">
        <f t="shared" si="1"/>
        <v>0</v>
      </c>
    </row>
    <row r="60" spans="1:11" x14ac:dyDescent="0.35">
      <c r="B60" s="33"/>
      <c r="C60" s="44"/>
      <c r="D60" s="37"/>
      <c r="E60" s="34"/>
      <c r="F60" s="34"/>
      <c r="G60" s="35">
        <f t="shared" si="1"/>
        <v>0</v>
      </c>
    </row>
    <row r="61" spans="1:11" x14ac:dyDescent="0.35">
      <c r="B61" s="33"/>
      <c r="C61" s="44"/>
      <c r="D61" s="37"/>
      <c r="E61" s="34"/>
      <c r="F61" s="34"/>
      <c r="G61" s="35">
        <f t="shared" si="1"/>
        <v>0</v>
      </c>
    </row>
    <row r="62" spans="1:11" x14ac:dyDescent="0.35">
      <c r="B62" s="33"/>
      <c r="C62" s="44"/>
      <c r="D62" s="37"/>
      <c r="E62" s="34"/>
      <c r="F62" s="34"/>
      <c r="G62" s="35">
        <f t="shared" si="1"/>
        <v>0</v>
      </c>
    </row>
    <row r="63" spans="1:11" x14ac:dyDescent="0.35">
      <c r="B63" s="33"/>
      <c r="C63" s="44"/>
      <c r="D63" s="37"/>
      <c r="E63" s="34"/>
      <c r="F63" s="34"/>
      <c r="G63" s="35">
        <f t="shared" si="1"/>
        <v>0</v>
      </c>
    </row>
    <row r="64" spans="1:11" x14ac:dyDescent="0.35">
      <c r="B64" s="33"/>
      <c r="C64" s="44"/>
      <c r="D64" s="37"/>
      <c r="E64" s="34"/>
      <c r="F64" s="34"/>
      <c r="G64" s="35">
        <f t="shared" si="1"/>
        <v>0</v>
      </c>
    </row>
    <row r="65" spans="2:7" x14ac:dyDescent="0.35">
      <c r="B65" s="33"/>
      <c r="C65" s="44"/>
      <c r="D65" s="37"/>
      <c r="E65" s="34"/>
      <c r="F65" s="34"/>
      <c r="G65" s="35">
        <f t="shared" si="1"/>
        <v>0</v>
      </c>
    </row>
    <row r="66" spans="2:7" x14ac:dyDescent="0.35">
      <c r="B66" s="33"/>
      <c r="C66" s="44"/>
      <c r="D66" s="37"/>
      <c r="E66" s="34"/>
      <c r="F66" s="34"/>
      <c r="G66" s="35">
        <f t="shared" si="1"/>
        <v>0</v>
      </c>
    </row>
    <row r="67" spans="2:7" x14ac:dyDescent="0.35">
      <c r="B67" s="33"/>
      <c r="C67" s="44"/>
      <c r="D67" s="37"/>
      <c r="E67" s="34"/>
      <c r="F67" s="34"/>
      <c r="G67" s="35">
        <f t="shared" si="1"/>
        <v>0</v>
      </c>
    </row>
    <row r="68" spans="2:7" x14ac:dyDescent="0.35">
      <c r="B68" s="43"/>
      <c r="C68" s="44"/>
      <c r="D68" s="37"/>
      <c r="E68" s="34"/>
      <c r="F68" s="34"/>
      <c r="G68" s="35">
        <f t="shared" si="1"/>
        <v>0</v>
      </c>
    </row>
    <row r="70" spans="2:7" x14ac:dyDescent="0.35">
      <c r="B70" s="36" t="s">
        <v>7</v>
      </c>
      <c r="C70" s="47"/>
      <c r="D70" s="35">
        <f>SUBTOTAL(9,D9:D68)</f>
        <v>913051.43332768069</v>
      </c>
      <c r="E70" s="35">
        <f>SUBTOTAL(9,E9:E68)</f>
        <v>1572.5</v>
      </c>
      <c r="F70" s="35">
        <f>SUBTOTAL(9,F9:F68)</f>
        <v>97451.159999999974</v>
      </c>
      <c r="G70" s="35">
        <f>SUBTOTAL(9,G9:G68)</f>
        <v>1012075.0933276811</v>
      </c>
    </row>
  </sheetData>
  <autoFilter ref="B8:G68" xr:uid="{00000000-0009-0000-0000-000006000000}">
    <sortState xmlns:xlrd2="http://schemas.microsoft.com/office/spreadsheetml/2017/richdata2" ref="B9:G68">
      <sortCondition descending="1" ref="G8:G68"/>
    </sortState>
  </autoFilter>
  <mergeCells count="1">
    <mergeCell ref="B7:F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Hoja1</vt:lpstr>
      <vt:lpstr>Hoja2</vt:lpstr>
      <vt:lpstr>RESUMEN DE VENTAS</vt:lpstr>
      <vt:lpstr>ASIST.MEDICA</vt:lpstr>
      <vt:lpstr>RENOVACIONES</vt:lpstr>
      <vt:lpstr>CAMBIO PLAN</vt:lpstr>
      <vt:lpstr>CANCELACIONES</vt:lpstr>
      <vt:lpstr>NOMBRAMIENTO</vt:lpstr>
      <vt:lpstr>BIENVENIDO</vt:lpstr>
      <vt:lpstr>00</vt:lpstr>
      <vt:lpstr>RESUMEN 2024</vt:lpstr>
      <vt:lpstr>BIENVENIDO!_MailAutoSig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Coordinador Comercial</dc:creator>
  <cp:keywords/>
  <dc:description/>
  <cp:lastModifiedBy>RUTH SELENE GUZMAN ZAMBRANO</cp:lastModifiedBy>
  <cp:revision/>
  <dcterms:created xsi:type="dcterms:W3CDTF">2024-03-07T19:19:02Z</dcterms:created>
  <dcterms:modified xsi:type="dcterms:W3CDTF">2025-06-23T21:44:22Z</dcterms:modified>
  <cp:category/>
  <cp:contentStatus/>
</cp:coreProperties>
</file>