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ink/ink1.xml" ContentType="application/inkml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8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pivotTables/pivotTable3.xml" ContentType="application/vnd.openxmlformats-officedocument.spreadsheetml.pivotTable+xml"/>
  <Override PartName="/xl/drawings/drawing9.xml" ContentType="application/vnd.openxmlformats-officedocument.drawing+xml"/>
  <Override PartName="/xl/slicers/slicer3.xml" ContentType="application/vnd.ms-excel.slicer+xml"/>
  <Override PartName="/xl/timelines/timeline2.xml" ContentType="application/vnd.ms-excel.timeline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0" documentId="8_{67FA14FE-AED7-44BC-838E-7096E9439424}" xr6:coauthVersionLast="47" xr6:coauthVersionMax="47" xr10:uidLastSave="{00000000-0000-0000-0000-000000000000}"/>
  <bookViews>
    <workbookView xWindow="240" yWindow="105" windowWidth="14805" windowHeight="8010" firstSheet="8" activeTab="9" xr2:uid="{00000000-000D-0000-FFFF-FFFF00000000}"/>
  </bookViews>
  <sheets>
    <sheet name="Menu" sheetId="6" r:id="rId1"/>
    <sheet name="Produtos" sheetId="2" r:id="rId2"/>
    <sheet name="Vendedores" sheetId="3" r:id="rId3"/>
    <sheet name="Vendas" sheetId="4" r:id="rId4"/>
    <sheet name="Consultas" sheetId="5" r:id="rId5"/>
    <sheet name="Cadastros Auxiliares" sheetId="1" r:id="rId6"/>
    <sheet name="TD_Produtos" sheetId="7" r:id="rId7"/>
    <sheet name="TD_Vendas" sheetId="9" r:id="rId8"/>
    <sheet name="TD_Vendedores" sheetId="10" r:id="rId9"/>
    <sheet name="Dashboard" sheetId="8" r:id="rId10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NativeTimeline_Data">#N/A</definedName>
    <definedName name="NativeTimeline_Data1">#N/A</definedName>
    <definedName name="SegmentaçãodeDados_Categoria">#N/A</definedName>
    <definedName name="SegmentaçãodeDados_Categoria1">#N/A</definedName>
    <definedName name="SegmentaçãodeDados_Nome_do_Vendedor">#N/A</definedName>
    <definedName name="SegmentaçãodeDados_Produtos">#N/A</definedName>
  </definedNames>
  <calcPr calcId="191028"/>
  <pivotCaches>
    <pivotCache cacheId="7456" r:id="rId11"/>
    <pivotCache cacheId="7457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7"/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H5" i="4" a="1"/>
  <c r="H5" i="4"/>
  <c r="J5" i="4" s="1"/>
  <c r="H6" i="4" a="1"/>
  <c r="H6" i="4"/>
  <c r="J6" i="4" s="1"/>
  <c r="H7" i="4" a="1"/>
  <c r="H7" i="4"/>
  <c r="J7" i="4" s="1"/>
  <c r="H8" i="4" a="1"/>
  <c r="H8" i="4"/>
  <c r="J8" i="4" s="1"/>
  <c r="H9" i="4" a="1"/>
  <c r="H9" i="4"/>
  <c r="J9" i="4" s="1"/>
  <c r="H10" i="4" a="1"/>
  <c r="H10" i="4"/>
  <c r="J10" i="4" s="1"/>
  <c r="H11" i="4" a="1"/>
  <c r="H11" i="4"/>
  <c r="J11" i="4" s="1"/>
  <c r="H12" i="4" a="1"/>
  <c r="H12" i="4"/>
  <c r="J12" i="4" s="1"/>
  <c r="H13" i="4" a="1"/>
  <c r="H13" i="4"/>
  <c r="J13" i="4" s="1"/>
  <c r="H14" i="4" a="1"/>
  <c r="H14" i="4"/>
  <c r="J14" i="4" s="1"/>
  <c r="H15" i="4" a="1"/>
  <c r="H15" i="4"/>
  <c r="J15" i="4" s="1"/>
  <c r="H16" i="4" a="1"/>
  <c r="H16" i="4"/>
  <c r="J16" i="4" s="1"/>
  <c r="H17" i="4" a="1"/>
  <c r="H17" i="4"/>
  <c r="J17" i="4" s="1"/>
  <c r="H18" i="4" a="1"/>
  <c r="H18" i="4"/>
  <c r="J18" i="4" s="1"/>
  <c r="H19" i="4" a="1"/>
  <c r="H19" i="4"/>
  <c r="J19" i="4" s="1"/>
  <c r="H20" i="4" a="1"/>
  <c r="H20" i="4"/>
  <c r="J20" i="4" s="1"/>
  <c r="H21" i="4" a="1"/>
  <c r="H21" i="4"/>
  <c r="J21" i="4" s="1"/>
  <c r="H22" i="4" a="1"/>
  <c r="H22" i="4"/>
  <c r="J22" i="4" s="1"/>
  <c r="H23" i="4" a="1"/>
  <c r="H23" i="4"/>
  <c r="J23" i="4" s="1"/>
  <c r="H24" i="4" a="1"/>
  <c r="H24" i="4"/>
  <c r="J24" i="4" s="1"/>
  <c r="H25" i="4" a="1"/>
  <c r="H25" i="4"/>
  <c r="J25" i="4" s="1"/>
  <c r="H26" i="4" a="1"/>
  <c r="H26" i="4"/>
  <c r="J26" i="4" s="1"/>
  <c r="H27" i="4" a="1"/>
  <c r="H27" i="4"/>
  <c r="J27" i="4" s="1"/>
  <c r="H28" i="4" a="1"/>
  <c r="H28" i="4"/>
  <c r="J28" i="4" s="1"/>
  <c r="H29" i="4" a="1"/>
  <c r="H29" i="4"/>
  <c r="J29" i="4" s="1"/>
  <c r="H30" i="4" a="1"/>
  <c r="H30" i="4"/>
  <c r="J30" i="4" s="1"/>
  <c r="H31" i="4" a="1"/>
  <c r="H31" i="4"/>
  <c r="J31" i="4" s="1"/>
  <c r="H32" i="4" a="1"/>
  <c r="H32" i="4"/>
  <c r="J32" i="4" s="1"/>
  <c r="H33" i="4" a="1"/>
  <c r="H33" i="4"/>
  <c r="J33" i="4" s="1"/>
  <c r="H34" i="4" a="1"/>
  <c r="H34" i="4"/>
  <c r="J34" i="4" s="1"/>
  <c r="H35" i="4" a="1"/>
  <c r="H35" i="4"/>
  <c r="J35" i="4" s="1"/>
  <c r="H36" i="4" a="1"/>
  <c r="H36" i="4"/>
  <c r="J36" i="4" s="1"/>
  <c r="H37" i="4" a="1"/>
  <c r="H37" i="4"/>
  <c r="J37" i="4" s="1"/>
  <c r="H38" i="4" a="1"/>
  <c r="H38" i="4"/>
  <c r="J38" i="4" s="1"/>
  <c r="H39" i="4" a="1"/>
  <c r="H39" i="4"/>
  <c r="J39" i="4" s="1"/>
  <c r="H40" i="4" a="1"/>
  <c r="H40" i="4"/>
  <c r="J40" i="4" s="1"/>
  <c r="H41" i="4" a="1"/>
  <c r="H41" i="4"/>
  <c r="J41" i="4" s="1"/>
  <c r="H42" i="4" a="1"/>
  <c r="H42" i="4"/>
  <c r="J42" i="4" s="1"/>
  <c r="H43" i="4" a="1"/>
  <c r="H43" i="4"/>
  <c r="J43" i="4" s="1"/>
  <c r="H44" i="4" a="1"/>
  <c r="H44" i="4"/>
  <c r="J44" i="4" s="1"/>
  <c r="H45" i="4" a="1"/>
  <c r="H45" i="4"/>
  <c r="J45" i="4" s="1"/>
  <c r="H46" i="4" a="1"/>
  <c r="H46" i="4"/>
  <c r="J46" i="4" s="1"/>
  <c r="H47" i="4" a="1"/>
  <c r="H47" i="4"/>
  <c r="J47" i="4" s="1"/>
  <c r="H48" i="4" a="1"/>
  <c r="H48" i="4"/>
  <c r="J48" i="4" s="1"/>
  <c r="H49" i="4" a="1"/>
  <c r="H49" i="4"/>
  <c r="J49" i="4" s="1"/>
  <c r="H50" i="4" a="1"/>
  <c r="H50" i="4"/>
  <c r="J50" i="4" s="1"/>
  <c r="H51" i="4" a="1"/>
  <c r="H51" i="4"/>
  <c r="J51" i="4" s="1"/>
  <c r="H52" i="4" a="1"/>
  <c r="H52" i="4"/>
  <c r="J52" i="4" s="1"/>
  <c r="H53" i="4" a="1"/>
  <c r="H53" i="4"/>
  <c r="J53" i="4" s="1"/>
  <c r="H54" i="4" a="1"/>
  <c r="H54" i="4"/>
  <c r="J54" i="4" s="1"/>
  <c r="H55" i="4" a="1"/>
  <c r="H55" i="4"/>
  <c r="J55" i="4" s="1"/>
  <c r="H56" i="4" a="1"/>
  <c r="H56" i="4"/>
  <c r="J56" i="4" s="1"/>
  <c r="H57" i="4" a="1"/>
  <c r="H57" i="4"/>
  <c r="J57" i="4" s="1"/>
  <c r="H58" i="4" a="1"/>
  <c r="H58" i="4"/>
  <c r="J58" i="4" s="1"/>
  <c r="H59" i="4" a="1"/>
  <c r="H59" i="4"/>
  <c r="J59" i="4" s="1"/>
  <c r="H60" i="4" a="1"/>
  <c r="H60" i="4"/>
  <c r="J60" i="4" s="1"/>
  <c r="H61" i="4" a="1"/>
  <c r="H61" i="4"/>
  <c r="J61" i="4" s="1"/>
  <c r="H62" i="4" a="1"/>
  <c r="H62" i="4"/>
  <c r="J62" i="4" s="1"/>
  <c r="H63" i="4" a="1"/>
  <c r="H63" i="4"/>
  <c r="J63" i="4" s="1"/>
  <c r="H64" i="4" a="1"/>
  <c r="H64" i="4"/>
  <c r="J64" i="4" s="1"/>
  <c r="H65" i="4" a="1"/>
  <c r="H65" i="4"/>
  <c r="J65" i="4" s="1"/>
  <c r="H66" i="4" a="1"/>
  <c r="H66" i="4"/>
  <c r="J66" i="4" s="1"/>
  <c r="H67" i="4" a="1"/>
  <c r="H67" i="4"/>
  <c r="J67" i="4" s="1"/>
  <c r="H68" i="4" a="1"/>
  <c r="H68" i="4"/>
  <c r="J68" i="4" s="1"/>
  <c r="H69" i="4" a="1"/>
  <c r="H69" i="4"/>
  <c r="J69" i="4" s="1"/>
  <c r="H70" i="4" a="1"/>
  <c r="H70" i="4"/>
  <c r="J70" i="4" s="1"/>
  <c r="H71" i="4" a="1"/>
  <c r="H71" i="4"/>
  <c r="J71" i="4" s="1"/>
  <c r="H72" i="4" a="1"/>
  <c r="H72" i="4"/>
  <c r="J72" i="4" s="1"/>
  <c r="H73" i="4" a="1"/>
  <c r="H73" i="4"/>
  <c r="J73" i="4" s="1"/>
  <c r="H74" i="4" a="1"/>
  <c r="H74" i="4"/>
  <c r="J74" i="4" s="1"/>
  <c r="H75" i="4" a="1"/>
  <c r="H75" i="4"/>
  <c r="J75" i="4" s="1"/>
  <c r="H76" i="4" a="1"/>
  <c r="H76" i="4"/>
  <c r="J76" i="4" s="1"/>
  <c r="H77" i="4" a="1"/>
  <c r="H77" i="4"/>
  <c r="J77" i="4" s="1"/>
  <c r="H78" i="4" a="1"/>
  <c r="H78" i="4"/>
  <c r="J78" i="4" s="1"/>
  <c r="H79" i="4" a="1"/>
  <c r="H79" i="4"/>
  <c r="J79" i="4" s="1"/>
  <c r="H80" i="4" a="1"/>
  <c r="H80" i="4"/>
  <c r="J80" i="4" s="1"/>
  <c r="H81" i="4" a="1"/>
  <c r="H81" i="4"/>
  <c r="J81" i="4" s="1"/>
  <c r="H82" i="4" a="1"/>
  <c r="H82" i="4"/>
  <c r="J82" i="4" s="1"/>
  <c r="H83" i="4" a="1"/>
  <c r="H83" i="4"/>
  <c r="J83" i="4" s="1"/>
  <c r="H84" i="4" a="1"/>
  <c r="H84" i="4"/>
  <c r="J84" i="4" s="1"/>
  <c r="H85" i="4" a="1"/>
  <c r="H85" i="4"/>
  <c r="J85" i="4" s="1"/>
  <c r="H86" i="4" a="1"/>
  <c r="H86" i="4"/>
  <c r="J86" i="4" s="1"/>
  <c r="F17" i="1"/>
  <c r="C19" i="1"/>
  <c r="C18" i="1" a="1"/>
  <c r="C18" i="1"/>
  <c r="G7" i="4"/>
  <c r="K7" i="4" s="1"/>
  <c r="L7" i="4" s="1"/>
  <c r="G6" i="4"/>
  <c r="K6" i="4" s="1"/>
  <c r="L6" i="4" s="1"/>
  <c r="G5" i="4"/>
  <c r="K5" i="4" s="1"/>
  <c r="L5" i="4" s="1"/>
  <c r="G8" i="4"/>
  <c r="K8" i="4" s="1"/>
  <c r="L8" i="4" s="1"/>
  <c r="G9" i="4"/>
  <c r="K9" i="4" s="1"/>
  <c r="L9" i="4" s="1"/>
  <c r="G10" i="4"/>
  <c r="K10" i="4" s="1"/>
  <c r="L10" i="4" s="1"/>
  <c r="G11" i="4"/>
  <c r="K11" i="4" s="1"/>
  <c r="L11" i="4" s="1"/>
  <c r="G12" i="4"/>
  <c r="K12" i="4" s="1"/>
  <c r="L12" i="4" s="1"/>
  <c r="G13" i="4"/>
  <c r="K13" i="4" s="1"/>
  <c r="L13" i="4" s="1"/>
  <c r="G14" i="4"/>
  <c r="K14" i="4" s="1"/>
  <c r="L14" i="4" s="1"/>
  <c r="G15" i="4"/>
  <c r="K15" i="4" s="1"/>
  <c r="L15" i="4" s="1"/>
  <c r="G16" i="4"/>
  <c r="K16" i="4" s="1"/>
  <c r="L16" i="4" s="1"/>
  <c r="G17" i="4"/>
  <c r="K17" i="4" s="1"/>
  <c r="L17" i="4" s="1"/>
  <c r="G18" i="4"/>
  <c r="K18" i="4" s="1"/>
  <c r="L18" i="4" s="1"/>
  <c r="G19" i="4"/>
  <c r="K19" i="4" s="1"/>
  <c r="L19" i="4" s="1"/>
  <c r="G20" i="4"/>
  <c r="K20" i="4" s="1"/>
  <c r="L20" i="4" s="1"/>
  <c r="G21" i="4"/>
  <c r="K21" i="4" s="1"/>
  <c r="L21" i="4" s="1"/>
  <c r="G22" i="4"/>
  <c r="K22" i="4" s="1"/>
  <c r="L22" i="4" s="1"/>
  <c r="G23" i="4"/>
  <c r="K23" i="4" s="1"/>
  <c r="L23" i="4" s="1"/>
  <c r="G24" i="4"/>
  <c r="K24" i="4" s="1"/>
  <c r="L24" i="4" s="1"/>
  <c r="G25" i="4"/>
  <c r="K25" i="4" s="1"/>
  <c r="L25" i="4" s="1"/>
  <c r="G26" i="4"/>
  <c r="K26" i="4" s="1"/>
  <c r="L26" i="4" s="1"/>
  <c r="G27" i="4"/>
  <c r="K27" i="4" s="1"/>
  <c r="L27" i="4" s="1"/>
  <c r="G28" i="4"/>
  <c r="K28" i="4" s="1"/>
  <c r="L28" i="4" s="1"/>
  <c r="G29" i="4"/>
  <c r="K29" i="4" s="1"/>
  <c r="L29" i="4" s="1"/>
  <c r="G30" i="4"/>
  <c r="K30" i="4" s="1"/>
  <c r="L30" i="4" s="1"/>
  <c r="G31" i="4"/>
  <c r="K31" i="4" s="1"/>
  <c r="L31" i="4" s="1"/>
  <c r="G32" i="4"/>
  <c r="K32" i="4" s="1"/>
  <c r="L32" i="4" s="1"/>
  <c r="G33" i="4"/>
  <c r="K33" i="4" s="1"/>
  <c r="L33" i="4" s="1"/>
  <c r="G34" i="4"/>
  <c r="K34" i="4" s="1"/>
  <c r="L34" i="4" s="1"/>
  <c r="G35" i="4"/>
  <c r="K35" i="4" s="1"/>
  <c r="L35" i="4" s="1"/>
  <c r="G36" i="4"/>
  <c r="K36" i="4" s="1"/>
  <c r="L36" i="4" s="1"/>
  <c r="G37" i="4"/>
  <c r="K37" i="4" s="1"/>
  <c r="L37" i="4" s="1"/>
  <c r="G38" i="4"/>
  <c r="K38" i="4" s="1"/>
  <c r="L38" i="4" s="1"/>
  <c r="G39" i="4"/>
  <c r="K39" i="4" s="1"/>
  <c r="L39" i="4" s="1"/>
  <c r="G40" i="4"/>
  <c r="K40" i="4" s="1"/>
  <c r="L40" i="4" s="1"/>
  <c r="G41" i="4"/>
  <c r="K41" i="4" s="1"/>
  <c r="L41" i="4" s="1"/>
  <c r="G42" i="4"/>
  <c r="K42" i="4" s="1"/>
  <c r="L42" i="4" s="1"/>
  <c r="G43" i="4"/>
  <c r="K43" i="4" s="1"/>
  <c r="L43" i="4" s="1"/>
  <c r="G44" i="4"/>
  <c r="K44" i="4" s="1"/>
  <c r="L44" i="4" s="1"/>
  <c r="G45" i="4"/>
  <c r="K45" i="4" s="1"/>
  <c r="L45" i="4" s="1"/>
  <c r="G46" i="4"/>
  <c r="K46" i="4" s="1"/>
  <c r="L46" i="4" s="1"/>
  <c r="G47" i="4"/>
  <c r="K47" i="4" s="1"/>
  <c r="L47" i="4" s="1"/>
  <c r="G48" i="4"/>
  <c r="K48" i="4" s="1"/>
  <c r="L48" i="4" s="1"/>
  <c r="G49" i="4"/>
  <c r="K49" i="4" s="1"/>
  <c r="L49" i="4" s="1"/>
  <c r="G50" i="4"/>
  <c r="K50" i="4" s="1"/>
  <c r="L50" i="4" s="1"/>
  <c r="G51" i="4"/>
  <c r="K51" i="4" s="1"/>
  <c r="L51" i="4" s="1"/>
  <c r="G52" i="4"/>
  <c r="K52" i="4" s="1"/>
  <c r="L52" i="4" s="1"/>
  <c r="G53" i="4"/>
  <c r="K53" i="4" s="1"/>
  <c r="L53" i="4" s="1"/>
  <c r="G54" i="4"/>
  <c r="K54" i="4" s="1"/>
  <c r="L54" i="4" s="1"/>
  <c r="G55" i="4"/>
  <c r="K55" i="4" s="1"/>
  <c r="L55" i="4" s="1"/>
  <c r="G56" i="4"/>
  <c r="K56" i="4" s="1"/>
  <c r="L56" i="4" s="1"/>
  <c r="G57" i="4"/>
  <c r="K57" i="4" s="1"/>
  <c r="L57" i="4" s="1"/>
  <c r="G58" i="4"/>
  <c r="K58" i="4" s="1"/>
  <c r="L58" i="4" s="1"/>
  <c r="G59" i="4"/>
  <c r="K59" i="4" s="1"/>
  <c r="L59" i="4" s="1"/>
  <c r="G60" i="4"/>
  <c r="K60" i="4" s="1"/>
  <c r="L60" i="4" s="1"/>
  <c r="G61" i="4"/>
  <c r="K61" i="4" s="1"/>
  <c r="L61" i="4" s="1"/>
  <c r="G62" i="4"/>
  <c r="K62" i="4" s="1"/>
  <c r="L62" i="4" s="1"/>
  <c r="G63" i="4"/>
  <c r="K63" i="4" s="1"/>
  <c r="L63" i="4" s="1"/>
  <c r="G64" i="4"/>
  <c r="K64" i="4" s="1"/>
  <c r="L64" i="4" s="1"/>
  <c r="G65" i="4"/>
  <c r="K65" i="4" s="1"/>
  <c r="L65" i="4" s="1"/>
  <c r="G66" i="4"/>
  <c r="K66" i="4" s="1"/>
  <c r="L66" i="4" s="1"/>
  <c r="G67" i="4"/>
  <c r="K67" i="4" s="1"/>
  <c r="L67" i="4" s="1"/>
  <c r="G68" i="4"/>
  <c r="K68" i="4" s="1"/>
  <c r="L68" i="4" s="1"/>
  <c r="G69" i="4"/>
  <c r="K69" i="4" s="1"/>
  <c r="L69" i="4" s="1"/>
  <c r="G70" i="4"/>
  <c r="K70" i="4" s="1"/>
  <c r="L70" i="4" s="1"/>
  <c r="G71" i="4"/>
  <c r="K71" i="4" s="1"/>
  <c r="L71" i="4" s="1"/>
  <c r="G72" i="4"/>
  <c r="K72" i="4" s="1"/>
  <c r="L72" i="4" s="1"/>
  <c r="G73" i="4"/>
  <c r="K73" i="4" s="1"/>
  <c r="L73" i="4" s="1"/>
  <c r="G74" i="4"/>
  <c r="K74" i="4" s="1"/>
  <c r="L74" i="4" s="1"/>
  <c r="G75" i="4"/>
  <c r="K75" i="4" s="1"/>
  <c r="L75" i="4" s="1"/>
  <c r="G76" i="4"/>
  <c r="K76" i="4" s="1"/>
  <c r="L76" i="4" s="1"/>
  <c r="G77" i="4"/>
  <c r="K77" i="4" s="1"/>
  <c r="L77" i="4" s="1"/>
  <c r="G78" i="4"/>
  <c r="K78" i="4" s="1"/>
  <c r="L78" i="4" s="1"/>
  <c r="G79" i="4"/>
  <c r="K79" i="4" s="1"/>
  <c r="L79" i="4" s="1"/>
  <c r="G80" i="4"/>
  <c r="K80" i="4" s="1"/>
  <c r="L80" i="4" s="1"/>
  <c r="G81" i="4"/>
  <c r="K81" i="4" s="1"/>
  <c r="L81" i="4" s="1"/>
  <c r="G82" i="4"/>
  <c r="K82" i="4" s="1"/>
  <c r="L82" i="4" s="1"/>
  <c r="G83" i="4"/>
  <c r="K83" i="4" s="1"/>
  <c r="L83" i="4" s="1"/>
  <c r="G84" i="4"/>
  <c r="K84" i="4" s="1"/>
  <c r="L84" i="4" s="1"/>
  <c r="G85" i="4"/>
  <c r="K85" i="4" s="1"/>
  <c r="L85" i="4" s="1"/>
  <c r="G86" i="4"/>
  <c r="K86" i="4" s="1"/>
  <c r="L86" i="4" s="1"/>
  <c r="C11" i="5" a="1"/>
  <c r="C11" i="5"/>
  <c r="F7" i="5"/>
  <c r="C10" i="5" a="1"/>
  <c r="C10" i="5"/>
  <c r="C9" i="5"/>
  <c r="C13" i="5" s="1"/>
  <c r="C7" i="5"/>
  <c r="C8" i="5" a="1"/>
  <c r="C8" i="5"/>
  <c r="F9" i="5"/>
  <c r="F16" i="1" l="1"/>
  <c r="F18" i="1" s="1" a="1"/>
  <c r="F18" i="1" s="1"/>
  <c r="D16" i="1"/>
  <c r="D17" i="1"/>
  <c r="C12" i="5" a="1"/>
  <c r="C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<sst xmlns="http://schemas.openxmlformats.org/spreadsheetml/2006/main" count="638" uniqueCount="181">
  <si>
    <t>Produtos</t>
  </si>
  <si>
    <t>Vendedores</t>
  </si>
  <si>
    <t>Vendas</t>
  </si>
  <si>
    <t>Consultas</t>
  </si>
  <si>
    <t>Controle de Produtos</t>
  </si>
  <si>
    <t>Voltar</t>
  </si>
  <si>
    <t>Código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</si>
  <si>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</si>
  <si>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</si>
  <si>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</si>
  <si>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</si>
  <si>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</si>
  <si>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</si>
  <si>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</si>
  <si>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</si>
  <si>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</si>
  <si>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</si>
  <si>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</si>
  <si>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</si>
  <si>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</si>
  <si>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</si>
  <si>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</si>
  <si>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</si>
  <si>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</si>
  <si>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</si>
  <si>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</si>
  <si>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</si>
  <si>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</si>
  <si>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</si>
  <si>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</si>
  <si>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</si>
  <si>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</si>
  <si>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</si>
  <si>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</si>
  <si>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</si>
  <si>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</si>
  <si>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</si>
  <si>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</si>
  <si>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</si>
  <si>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</si>
  <si>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</si>
  <si>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</si>
  <si>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</si>
  <si>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</si>
  <si>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</si>
  <si>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</si>
  <si>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</si>
  <si>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</si>
  <si>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</si>
  <si>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</si>
  <si>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</si>
  <si>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</si>
  <si>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</si>
  <si>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</si>
  <si>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</si>
  <si>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</si>
  <si>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</si>
  <si>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</si>
  <si>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</si>
  <si>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</si>
  <si>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</si>
  <si>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</si>
  <si>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</si>
  <si>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</si>
  <si>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</si>
  <si>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</si>
  <si>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</si>
  <si>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</si>
  <si>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</si>
  <si>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</si>
  <si>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</si>
  <si>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</si>
  <si>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</si>
  <si>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</si>
  <si>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</si>
  <si>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</si>
  <si>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</si>
  <si>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</si>
  <si>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</si>
  <si>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</si>
  <si>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</si>
  <si>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</si>
  <si>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</si>
  <si>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</si>
  <si>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</si>
  <si>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</si>
  <si>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</si>
  <si>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</si>
  <si>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</si>
  <si>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</si>
  <si>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</si>
  <si>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</si>
  <si>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</si>
  <si>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</si>
  <si>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</si>
  <si>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</si>
  <si>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</si>
  <si>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</si>
  <si>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</si>
  <si>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</si>
  <si>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</si>
  <si>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</si>
  <si>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</si>
  <si>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</si>
  <si>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</si>
  <si>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</si>
  <si>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</si>
  <si>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</si>
  <si>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</si>
  <si>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</si>
  <si>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</si>
  <si>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</si>
  <si>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</si>
  <si>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</si>
  <si>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</si>
  <si>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</si>
  <si>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</si>
  <si>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</si>
  <si>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</si>
  <si>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</si>
  <si>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</si>
  <si>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Mês</t>
  </si>
  <si>
    <t>Produto</t>
  </si>
  <si>
    <t>Data</t>
  </si>
  <si>
    <t>Qtd</t>
  </si>
  <si>
    <t>Desc.</t>
  </si>
  <si>
    <t>Desc. Vendedor</t>
  </si>
  <si>
    <t>Desconto</t>
  </si>
  <si>
    <t>Total</t>
  </si>
  <si>
    <t>Total com Desconto</t>
  </si>
  <si>
    <t>Nome do Vendedor</t>
  </si>
  <si>
    <t>Jan</t>
  </si>
  <si>
    <t>Fev</t>
  </si>
  <si>
    <t>Mar</t>
  </si>
  <si>
    <t>Abr</t>
  </si>
  <si>
    <t>Mai</t>
  </si>
  <si>
    <t>Jun</t>
  </si>
  <si>
    <t>Jul</t>
  </si>
  <si>
    <t>Ago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</si>
  <si>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</si>
  <si>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</si>
  <si>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</si>
  <si>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</si>
  <si>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</si>
  <si>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</si>
  <si>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</si>
  <si>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</si>
  <si>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> 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</si>
  <si>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</si>
  <si>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</si>
  <si>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</si>
  <si>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</si>
  <si>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</si>
  <si>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>Estoque mínimo:</t>
  </si>
  <si>
    <t xml:space="preserve">                            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</si>
  <si>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</si>
  <si>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</si>
  <si>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</si>
  <si>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</si>
  <si>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</si>
  <si>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</si>
  <si>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</si>
  <si>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</si>
  <si>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</si>
  <si>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</si>
  <si>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coluna</t>
  </si>
  <si>
    <t>linha</t>
  </si>
  <si>
    <t>Soma de Estoque</t>
  </si>
  <si>
    <t>Soma de Preço Unitário</t>
  </si>
  <si>
    <t>Acessórios Total</t>
  </si>
  <si>
    <t>Calçado Total</t>
  </si>
  <si>
    <t>Vestuário Total</t>
  </si>
  <si>
    <t>Total Geral</t>
  </si>
  <si>
    <t>Soma de Qtd</t>
  </si>
  <si>
    <t>Soma de Total com Desconto</t>
  </si>
  <si>
    <t>Total de Produtos</t>
  </si>
  <si>
    <t>Produtos Vendidos</t>
  </si>
  <si>
    <t>Total de Vendas</t>
  </si>
  <si>
    <t>Vendas Mensais</t>
  </si>
  <si>
    <t>Vendas por Categoria</t>
  </si>
  <si>
    <t>Ranking de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</si>
</sst>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1">
    <font>
      <sz val="11"/>
      <color theme="1"/>
      <name val="Aptos Narrow"/>
      <family val="2"/>
      <scheme val="minor"/>
    </font>
    <font>
      <sz val="11"/>
      <color theme="1"/>
      <name val="Verdana"/>
    </font>
    <font>
      <sz val="18"/>
      <color theme="1"/>
      <name val="Verdana"/>
    </font>
    <font>
      <sz val="18"/>
      <color theme="0"/>
      <name val="Verdana"/>
    </font>
    <font>
      <b/>
      <sz val="14"/>
      <color rgb="FFF2F2F2"/>
      <name val="Montserrat"/>
    </font>
    <font>
      <b/>
      <sz val="11"/>
      <color rgb="FF000000"/>
      <name val="Montserrat"/>
    </font>
    <font>
      <b/>
      <sz val="12"/>
      <color rgb="FFFFFFFF"/>
      <name val="Montserrat"/>
    </font>
    <font>
      <sz val="11"/>
      <color rgb="FF000000"/>
      <name val="Calibri"/>
      <family val="2"/>
    </font>
    <font>
      <b/>
      <sz val="12"/>
      <color rgb="FF000000"/>
      <name val="Montserrat"/>
    </font>
    <font>
      <b/>
      <sz val="12"/>
      <color rgb="FFF2F2F2"/>
      <name val="Montserrat"/>
    </font>
    <font>
      <b/>
      <sz val="14"/>
      <color rgb="FF000000"/>
      <name val="Montserrat"/>
    </font>
    <font>
      <b/>
      <sz val="18"/>
      <color rgb="FFFFFFFF"/>
      <name val="Verdana"/>
    </font>
    <font>
      <u/>
      <sz val="11"/>
      <color theme="10"/>
      <name val="Aptos Narrow"/>
      <family val="2"/>
      <scheme val="minor"/>
    </font>
    <font>
      <sz val="20"/>
      <color theme="0"/>
      <name val="Verdana"/>
    </font>
    <font>
      <sz val="12"/>
      <color theme="0"/>
      <name val="Verdana"/>
    </font>
    <font>
      <sz val="12"/>
      <color rgb="FF000000"/>
      <name val="Verdana"/>
    </font>
    <font>
      <sz val="12"/>
      <color theme="1"/>
      <name val="Verdana"/>
    </font>
    <font>
      <sz val="11"/>
      <color theme="0"/>
      <name val="Verdana"/>
    </font>
    <font>
      <sz val="16"/>
      <color theme="1"/>
      <name val="Verdana"/>
    </font>
    <font>
      <sz val="16"/>
      <color theme="0"/>
      <name val="Verdana"/>
    </font>
    <font>
      <b/>
      <sz val="11"/>
      <color rgb="FFF2F2F2"/>
      <name val="Montserrat"/>
    </font>
    <font>
      <sz val="20"/>
      <color theme="1"/>
      <name val="Aptos Narrow"/>
      <family val="2"/>
      <scheme val="minor"/>
    </font>
    <font>
      <b/>
      <sz val="18"/>
      <color rgb="FFF2F2F2"/>
      <name val="Montserrat"/>
    </font>
    <font>
      <b/>
      <sz val="18"/>
      <color rgb="FFFFFFFF"/>
      <name val="Montserrat"/>
    </font>
    <font>
      <sz val="18"/>
      <color rgb="FF000000"/>
      <name val="Calibri"/>
      <family val="2"/>
    </font>
    <font>
      <sz val="11"/>
      <color theme="1"/>
      <name val="Corbel"/>
    </font>
    <font>
      <b/>
      <sz val="16"/>
      <color rgb="FFFFFFFF"/>
      <name val="Corbel"/>
    </font>
    <font>
      <b/>
      <sz val="16"/>
      <color theme="1"/>
      <name val="Corbel"/>
    </font>
    <font>
      <sz val="36"/>
      <color theme="1"/>
      <name val="Corbel"/>
    </font>
    <font>
      <b/>
      <sz val="18"/>
      <color theme="0"/>
      <name val="Corbel"/>
    </font>
    <font>
      <b/>
      <sz val="16"/>
      <color theme="0"/>
      <name val="Corbel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CC"/>
        <bgColor rgb="FF000000"/>
      </patternFill>
    </fill>
    <fill>
      <patternFill patternType="solid">
        <fgColor rgb="FF4472C4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/>
      <bottom style="thick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thick">
        <color rgb="FFFFFFFF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7" borderId="0" xfId="0" applyFill="1"/>
    <xf numFmtId="0" fontId="0" fillId="6" borderId="0" xfId="0" applyFill="1"/>
    <xf numFmtId="0" fontId="6" fillId="3" borderId="0" xfId="0" applyFont="1" applyFill="1" applyBorder="1" applyAlignment="1">
      <alignment horizontal="center"/>
    </xf>
    <xf numFmtId="0" fontId="4" fillId="5" borderId="8" xfId="0" applyFont="1" applyFill="1" applyBorder="1" applyAlignment="1"/>
    <xf numFmtId="0" fontId="4" fillId="5" borderId="9" xfId="0" applyFont="1" applyFill="1" applyBorder="1" applyAlignment="1"/>
    <xf numFmtId="0" fontId="8" fillId="8" borderId="10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9" fontId="5" fillId="0" borderId="12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9" fontId="5" fillId="0" borderId="14" xfId="0" applyNumberFormat="1" applyFont="1" applyFill="1" applyBorder="1" applyAlignment="1">
      <alignment horizont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horizontal="center"/>
    </xf>
    <xf numFmtId="0" fontId="9" fillId="3" borderId="17" xfId="0" applyFont="1" applyFill="1" applyBorder="1" applyAlignment="1"/>
    <xf numFmtId="0" fontId="9" fillId="3" borderId="20" xfId="0" applyFont="1" applyFill="1" applyBorder="1" applyAlignment="1"/>
    <xf numFmtId="0" fontId="9" fillId="3" borderId="22" xfId="0" applyFont="1" applyFill="1" applyBorder="1" applyAlignment="1"/>
    <xf numFmtId="0" fontId="9" fillId="3" borderId="23" xfId="0" applyFont="1" applyFill="1" applyBorder="1" applyAlignment="1"/>
    <xf numFmtId="0" fontId="9" fillId="3" borderId="24" xfId="0" applyFont="1" applyFill="1" applyBorder="1" applyAlignment="1"/>
    <xf numFmtId="0" fontId="9" fillId="3" borderId="27" xfId="0" applyFont="1" applyFill="1" applyBorder="1" applyAlignment="1"/>
    <xf numFmtId="0" fontId="10" fillId="7" borderId="19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0" fillId="7" borderId="18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10" fillId="7" borderId="18" xfId="0" applyNumberFormat="1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44" fontId="7" fillId="0" borderId="6" xfId="0" applyNumberFormat="1" applyFont="1" applyFill="1" applyBorder="1" applyAlignment="1"/>
    <xf numFmtId="0" fontId="12" fillId="2" borderId="0" xfId="1" applyFill="1"/>
    <xf numFmtId="0" fontId="14" fillId="2" borderId="0" xfId="0" applyFont="1" applyFill="1" applyAlignment="1">
      <alignment horizontal="center" vertical="center"/>
    </xf>
    <xf numFmtId="0" fontId="0" fillId="6" borderId="0" xfId="0" applyFill="1" applyBorder="1"/>
    <xf numFmtId="0" fontId="13" fillId="2" borderId="0" xfId="1" applyFont="1" applyFill="1" applyAlignment="1">
      <alignment vertical="center"/>
    </xf>
    <xf numFmtId="0" fontId="15" fillId="7" borderId="0" xfId="1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4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164" fontId="10" fillId="7" borderId="19" xfId="0" applyNumberFormat="1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20" fillId="5" borderId="4" xfId="0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9" fontId="5" fillId="4" borderId="24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9" fontId="5" fillId="4" borderId="2" xfId="0" applyNumberFormat="1" applyFont="1" applyFill="1" applyBorder="1" applyAlignment="1">
      <alignment horizontal="center"/>
    </xf>
    <xf numFmtId="9" fontId="1" fillId="0" borderId="0" xfId="0" applyNumberFormat="1" applyFont="1"/>
    <xf numFmtId="0" fontId="21" fillId="0" borderId="0" xfId="0" applyFont="1"/>
    <xf numFmtId="0" fontId="24" fillId="0" borderId="15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14" fontId="24" fillId="0" borderId="6" xfId="0" applyNumberFormat="1" applyFont="1" applyFill="1" applyBorder="1" applyAlignment="1"/>
    <xf numFmtId="164" fontId="24" fillId="0" borderId="6" xfId="0" applyNumberFormat="1" applyFont="1" applyFill="1" applyBorder="1" applyAlignment="1"/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25" fillId="0" borderId="0" xfId="0" applyFont="1"/>
    <xf numFmtId="0" fontId="24" fillId="0" borderId="6" xfId="0" applyFont="1" applyFill="1" applyBorder="1" applyAlignment="1">
      <alignment horizontal="left"/>
    </xf>
    <xf numFmtId="0" fontId="14" fillId="2" borderId="0" xfId="0" applyFont="1" applyFill="1" applyAlignment="1">
      <alignment horizontal="center" vertical="center" wrapText="1"/>
    </xf>
    <xf numFmtId="9" fontId="14" fillId="2" borderId="0" xfId="0" applyNumberFormat="1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9" fontId="0" fillId="7" borderId="0" xfId="0" applyNumberFormat="1" applyFill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64" fontId="24" fillId="0" borderId="6" xfId="0" applyNumberFormat="1" applyFont="1" applyFill="1" applyBorder="1" applyAlignment="1">
      <alignment wrapText="1"/>
    </xf>
    <xf numFmtId="9" fontId="24" fillId="0" borderId="6" xfId="0" applyNumberFormat="1" applyFont="1" applyFill="1" applyBorder="1" applyAlignment="1">
      <alignment wrapText="1"/>
    </xf>
    <xf numFmtId="164" fontId="0" fillId="0" borderId="0" xfId="0" applyNumberFormat="1" applyAlignment="1">
      <alignment wrapText="1"/>
    </xf>
    <xf numFmtId="0" fontId="24" fillId="0" borderId="16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14" fontId="24" fillId="0" borderId="0" xfId="0" applyNumberFormat="1" applyFont="1" applyFill="1" applyBorder="1" applyAlignment="1"/>
    <xf numFmtId="164" fontId="24" fillId="0" borderId="0" xfId="0" applyNumberFormat="1" applyFont="1" applyFill="1" applyBorder="1" applyAlignment="1">
      <alignment wrapText="1"/>
    </xf>
    <xf numFmtId="9" fontId="24" fillId="0" borderId="0" xfId="0" applyNumberFormat="1" applyFont="1" applyFill="1" applyBorder="1" applyAlignment="1">
      <alignment wrapText="1"/>
    </xf>
    <xf numFmtId="164" fontId="24" fillId="0" borderId="0" xfId="0" applyNumberFormat="1" applyFont="1" applyFill="1" applyBorder="1" applyAlignment="1"/>
    <xf numFmtId="0" fontId="22" fillId="5" borderId="34" xfId="0" applyFont="1" applyFill="1" applyBorder="1" applyAlignment="1">
      <alignment horizontal="center" vertical="center"/>
    </xf>
    <xf numFmtId="0" fontId="22" fillId="5" borderId="34" xfId="0" applyFont="1" applyFill="1" applyBorder="1" applyAlignment="1">
      <alignment horizontal="center" vertical="center" wrapText="1"/>
    </xf>
    <xf numFmtId="9" fontId="22" fillId="5" borderId="34" xfId="0" applyNumberFormat="1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/>
    </xf>
    <xf numFmtId="0" fontId="23" fillId="5" borderId="34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/>
    <xf numFmtId="0" fontId="24" fillId="0" borderId="33" xfId="0" applyFont="1" applyFill="1" applyBorder="1" applyAlignment="1"/>
    <xf numFmtId="0" fontId="24" fillId="0" borderId="30" xfId="0" applyFont="1" applyFill="1" applyBorder="1" applyAlignment="1">
      <alignment horizontal="center"/>
    </xf>
    <xf numFmtId="0" fontId="24" fillId="0" borderId="31" xfId="0" applyFont="1" applyFill="1" applyBorder="1" applyAlignment="1">
      <alignment horizontal="center"/>
    </xf>
    <xf numFmtId="0" fontId="24" fillId="0" borderId="31" xfId="0" applyFont="1" applyFill="1" applyBorder="1" applyAlignment="1">
      <alignment horizontal="left"/>
    </xf>
    <xf numFmtId="14" fontId="24" fillId="0" borderId="31" xfId="0" applyNumberFormat="1" applyFont="1" applyFill="1" applyBorder="1" applyAlignment="1"/>
    <xf numFmtId="164" fontId="24" fillId="0" borderId="31" xfId="0" applyNumberFormat="1" applyFont="1" applyFill="1" applyBorder="1" applyAlignment="1">
      <alignment wrapText="1"/>
    </xf>
    <xf numFmtId="9" fontId="24" fillId="0" borderId="31" xfId="0" applyNumberFormat="1" applyFont="1" applyFill="1" applyBorder="1" applyAlignment="1">
      <alignment wrapText="1"/>
    </xf>
    <xf numFmtId="164" fontId="24" fillId="0" borderId="31" xfId="0" applyNumberFormat="1" applyFont="1" applyFill="1" applyBorder="1" applyAlignment="1"/>
    <xf numFmtId="0" fontId="24" fillId="0" borderId="32" xfId="0" applyFont="1" applyFill="1" applyBorder="1" applyAlignment="1"/>
    <xf numFmtId="164" fontId="0" fillId="0" borderId="0" xfId="0" applyNumberFormat="1"/>
    <xf numFmtId="0" fontId="3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29" fillId="9" borderId="15" xfId="0" applyFont="1" applyFill="1" applyBorder="1" applyAlignment="1">
      <alignment horizontal="center" vertical="center"/>
    </xf>
    <xf numFmtId="0" fontId="29" fillId="9" borderId="6" xfId="0" applyFont="1" applyFill="1" applyBorder="1" applyAlignment="1">
      <alignment horizontal="center" vertical="center"/>
    </xf>
    <xf numFmtId="0" fontId="29" fillId="9" borderId="29" xfId="0" applyFont="1" applyFill="1" applyBorder="1" applyAlignment="1">
      <alignment horizontal="center" vertical="center"/>
    </xf>
    <xf numFmtId="0" fontId="29" fillId="9" borderId="30" xfId="0" applyFont="1" applyFill="1" applyBorder="1" applyAlignment="1">
      <alignment horizontal="center" vertical="center"/>
    </xf>
    <xf numFmtId="0" fontId="29" fillId="9" borderId="31" xfId="0" applyFont="1" applyFill="1" applyBorder="1" applyAlignment="1">
      <alignment horizontal="center" vertical="center"/>
    </xf>
    <xf numFmtId="0" fontId="29" fillId="9" borderId="32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33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30" fillId="9" borderId="15" xfId="0" applyFont="1" applyFill="1" applyBorder="1" applyAlignment="1">
      <alignment horizontal="center" vertical="center"/>
    </xf>
    <xf numFmtId="0" fontId="30" fillId="9" borderId="6" xfId="0" applyFont="1" applyFill="1" applyBorder="1" applyAlignment="1">
      <alignment horizontal="center" vertical="center"/>
    </xf>
    <xf numFmtId="0" fontId="30" fillId="9" borderId="29" xfId="0" applyFont="1" applyFill="1" applyBorder="1" applyAlignment="1">
      <alignment horizontal="center" vertical="center"/>
    </xf>
    <xf numFmtId="0" fontId="30" fillId="9" borderId="30" xfId="0" applyFont="1" applyFill="1" applyBorder="1" applyAlignment="1">
      <alignment horizontal="center" vertical="center"/>
    </xf>
    <xf numFmtId="0" fontId="30" fillId="9" borderId="31" xfId="0" applyFont="1" applyFill="1" applyBorder="1" applyAlignment="1">
      <alignment horizontal="center" vertical="center"/>
    </xf>
    <xf numFmtId="0" fontId="30" fillId="9" borderId="32" xfId="0" applyFont="1" applyFill="1" applyBorder="1" applyAlignment="1">
      <alignment horizontal="center" vertical="center"/>
    </xf>
    <xf numFmtId="0" fontId="26" fillId="9" borderId="15" xfId="0" applyFont="1" applyFill="1" applyBorder="1" applyAlignment="1">
      <alignment horizontal="center" vertical="center"/>
    </xf>
    <xf numFmtId="0" fontId="27" fillId="9" borderId="6" xfId="0" applyFont="1" applyFill="1" applyBorder="1" applyAlignment="1">
      <alignment horizontal="center" vertical="center"/>
    </xf>
    <xf numFmtId="0" fontId="27" fillId="9" borderId="29" xfId="0" applyFont="1" applyFill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/>
    </xf>
    <xf numFmtId="0" fontId="27" fillId="9" borderId="31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44" fontId="28" fillId="0" borderId="15" xfId="0" applyNumberFormat="1" applyFont="1" applyBorder="1" applyAlignment="1">
      <alignment horizontal="center" vertical="center"/>
    </xf>
    <xf numFmtId="44" fontId="28" fillId="0" borderId="6" xfId="0" applyNumberFormat="1" applyFont="1" applyBorder="1" applyAlignment="1">
      <alignment horizontal="center" vertical="center"/>
    </xf>
    <xf numFmtId="44" fontId="28" fillId="0" borderId="29" xfId="0" applyNumberFormat="1" applyFont="1" applyBorder="1" applyAlignment="1">
      <alignment horizontal="center" vertical="center"/>
    </xf>
    <xf numFmtId="44" fontId="28" fillId="0" borderId="16" xfId="0" applyNumberFormat="1" applyFont="1" applyBorder="1" applyAlignment="1">
      <alignment horizontal="center" vertical="center"/>
    </xf>
    <xf numFmtId="44" fontId="28" fillId="0" borderId="0" xfId="0" applyNumberFormat="1" applyFont="1" applyAlignment="1">
      <alignment horizontal="center" vertical="center"/>
    </xf>
    <xf numFmtId="44" fontId="28" fillId="0" borderId="33" xfId="0" applyNumberFormat="1" applyFont="1" applyBorder="1" applyAlignment="1">
      <alignment horizontal="center" vertical="center"/>
    </xf>
    <xf numFmtId="44" fontId="28" fillId="0" borderId="30" xfId="0" applyNumberFormat="1" applyFont="1" applyBorder="1" applyAlignment="1">
      <alignment horizontal="center" vertical="center"/>
    </xf>
    <xf numFmtId="44" fontId="28" fillId="0" borderId="31" xfId="0" applyNumberFormat="1" applyFont="1" applyBorder="1" applyAlignment="1">
      <alignment horizontal="center" vertical="center"/>
    </xf>
    <xf numFmtId="44" fontId="28" fillId="0" borderId="32" xfId="0" applyNumberFormat="1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2F2F2"/>
        <name val="Montserrat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Montserrat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11/relationships/timelineCache" Target="timelineCaches/timelineCache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[Aula10Final.xlsx]TD_Vendas!TDIN_Vendas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TD_Vendas!$B$7</c:f>
              <c:strCache>
                <c:ptCount val="1"/>
                <c:pt idx="0">
                  <c:v>Soma de Qtd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TD_Vendas!$A$8:$A$14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Jun</c:v>
                </c:pt>
                <c:pt idx="5">
                  <c:v>Ago</c:v>
                </c:pt>
              </c:strCache>
            </c:strRef>
          </c:cat>
          <c:val>
            <c:numRef>
              <c:f>TD_Vendas!$B$8:$B$14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4-4EE0-9921-1FF65839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1430407"/>
        <c:axId val="1331432455"/>
      </c:barChart>
      <c:lineChart>
        <c:grouping val="standard"/>
        <c:varyColors val="0"/>
        <c:ser>
          <c:idx val="1"/>
          <c:order val="1"/>
          <c:tx>
            <c:strRef>
              <c:f>TD_Vendas!$C$7</c:f>
              <c:strCache>
                <c:ptCount val="1"/>
                <c:pt idx="0">
                  <c:v>Soma de Total com Desconto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TD_Vendas!$A$8:$A$14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Jun</c:v>
                </c:pt>
                <c:pt idx="5">
                  <c:v>Ago</c:v>
                </c:pt>
              </c:strCache>
            </c:strRef>
          </c:cat>
          <c:val>
            <c:numRef>
              <c:f>TD_Vendas!$C$8:$C$14</c:f>
              <c:numCache>
                <c:formatCode>"R$"\ #,##0.00</c:formatCode>
                <c:ptCount val="6"/>
                <c:pt idx="0">
                  <c:v>405</c:v>
                </c:pt>
                <c:pt idx="1">
                  <c:v>249.9</c:v>
                </c:pt>
                <c:pt idx="2">
                  <c:v>552.71249999999998</c:v>
                </c:pt>
                <c:pt idx="3">
                  <c:v>405.44900000000007</c:v>
                </c:pt>
                <c:pt idx="4">
                  <c:v>421.03799999999995</c:v>
                </c:pt>
                <c:pt idx="5">
                  <c:v>788.25049999999999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4-4EE0-9921-1FF65839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26055"/>
        <c:axId val="79384583"/>
      </c:lineChart>
      <c:catAx>
        <c:axId val="1331430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32455"/>
        <c:crosses val="autoZero"/>
        <c:auto val="1"/>
        <c:lblAlgn val="ctr"/>
        <c:lblOffset val="100"/>
        <c:noMultiLvlLbl val="0"/>
      </c:catAx>
      <c:valAx>
        <c:axId val="1331432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30407"/>
        <c:crosses val="autoZero"/>
        <c:crossBetween val="between"/>
      </c:valAx>
      <c:valAx>
        <c:axId val="79384583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6055"/>
        <c:crosses val="max"/>
        <c:crossBetween val="between"/>
      </c:valAx>
      <c:catAx>
        <c:axId val="79426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384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[Aula10Final.xlsx]TD_Vendedores!TDIN_Vendedor</c:name>
    <c:fmtId val="4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TD_Vendedores!$A$4:$A$9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TD_Vendedores!$B$4:$B$9</c:f>
              <c:numCache>
                <c:formatCode>"R$"\ #,##0.00</c:formatCode>
                <c:ptCount val="5"/>
                <c:pt idx="0">
                  <c:v>115.74900000000001</c:v>
                </c:pt>
                <c:pt idx="1">
                  <c:v>280.90800000000002</c:v>
                </c:pt>
                <c:pt idx="2">
                  <c:v>263.89800000000002</c:v>
                </c:pt>
                <c:pt idx="3">
                  <c:v>47.540500000000002</c:v>
                </c:pt>
                <c:pt idx="4">
                  <c:v>761.33799999999997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D-43F9-A876-F03D53A8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8281735"/>
        <c:axId val="398287879"/>
      </c:barChart>
      <c:catAx>
        <c:axId val="398281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87879"/>
        <c:crosses val="autoZero"/>
        <c:auto val="1"/>
        <c:lblAlgn val="ctr"/>
        <c:lblOffset val="100"/>
        <c:noMultiLvlLbl val="0"/>
      </c:catAx>
      <c:valAx>
        <c:axId val="39828787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398281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9</xdr:row>
      <xdr:rowOff>180975</xdr:rowOff>
    </xdr:from>
    <xdr:to>
      <xdr:col>19</xdr:col>
      <xdr:colOff>19050</xdr:colOff>
      <xdr:row>13</xdr:row>
      <xdr:rowOff>38100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89C3072A-BC04-4F27-85A3-6072DD4135CC}"/>
            </a:ext>
            <a:ext uri="{147F2762-F138-4A5C-976F-8EAC2B608ADB}">
              <a16:predDERef xmlns:a16="http://schemas.microsoft.com/office/drawing/2014/main" pred="{26692806-B8C8-F3A7-7361-3A5CDE20CC7F}"/>
            </a:ext>
          </a:extLst>
        </xdr:cNvPr>
        <xdr:cNvSpPr/>
      </xdr:nvSpPr>
      <xdr:spPr>
        <a:xfrm>
          <a:off x="3057525" y="189547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190500</xdr:colOff>
      <xdr:row>9</xdr:row>
      <xdr:rowOff>161925</xdr:rowOff>
    </xdr:from>
    <xdr:to>
      <xdr:col>27</xdr:col>
      <xdr:colOff>9525</xdr:colOff>
      <xdr:row>13</xdr:row>
      <xdr:rowOff>19050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44784819-A3E9-476C-B9BA-05DAB932D6E6}"/>
            </a:ext>
            <a:ext uri="{147F2762-F138-4A5C-976F-8EAC2B608ADB}">
              <a16:predDERef xmlns:a16="http://schemas.microsoft.com/office/drawing/2014/main" pred="{89C3072A-BC04-4F27-85A3-6072DD4135CC}"/>
            </a:ext>
          </a:extLst>
        </xdr:cNvPr>
        <xdr:cNvSpPr/>
      </xdr:nvSpPr>
      <xdr:spPr>
        <a:xfrm>
          <a:off x="4953000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200025</xdr:colOff>
      <xdr:row>9</xdr:row>
      <xdr:rowOff>161925</xdr:rowOff>
    </xdr:from>
    <xdr:to>
      <xdr:col>35</xdr:col>
      <xdr:colOff>19050</xdr:colOff>
      <xdr:row>13</xdr:row>
      <xdr:rowOff>19050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1F6A6853-30C4-41F6-AEBD-34271E1A2FDB}"/>
            </a:ext>
            <a:ext uri="{147F2762-F138-4A5C-976F-8EAC2B608ADB}">
              <a16:predDERef xmlns:a16="http://schemas.microsoft.com/office/drawing/2014/main" pred="{44784819-A3E9-476C-B9BA-05DAB932D6E6}"/>
            </a:ext>
          </a:extLst>
        </xdr:cNvPr>
        <xdr:cNvSpPr/>
      </xdr:nvSpPr>
      <xdr:spPr>
        <a:xfrm>
          <a:off x="6867525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200025</xdr:colOff>
      <xdr:row>9</xdr:row>
      <xdr:rowOff>161925</xdr:rowOff>
    </xdr:from>
    <xdr:to>
      <xdr:col>11</xdr:col>
      <xdr:colOff>19050</xdr:colOff>
      <xdr:row>13</xdr:row>
      <xdr:rowOff>19050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F23D70D1-F8FF-49FF-A432-B4B5E9A9F3DD}"/>
            </a:ext>
            <a:ext uri="{147F2762-F138-4A5C-976F-8EAC2B608ADB}">
              <a16:predDERef xmlns:a16="http://schemas.microsoft.com/office/drawing/2014/main" pred="{1F6A6853-30C4-41F6-AEBD-34271E1A2FDB}"/>
            </a:ext>
          </a:extLst>
        </xdr:cNvPr>
        <xdr:cNvSpPr/>
      </xdr:nvSpPr>
      <xdr:spPr>
        <a:xfrm>
          <a:off x="1152525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10</xdr:col>
      <xdr:colOff>123825</xdr:colOff>
      <xdr:row>2</xdr:row>
      <xdr:rowOff>104775</xdr:rowOff>
    </xdr:from>
    <xdr:to>
      <xdr:col>30</xdr:col>
      <xdr:colOff>200025</xdr:colOff>
      <xdr:row>9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9BE276B-53EB-4F0C-DD33-B59887D78046}"/>
            </a:ext>
            <a:ext uri="{147F2762-F138-4A5C-976F-8EAC2B608ADB}">
              <a16:predDERef xmlns:a16="http://schemas.microsoft.com/office/drawing/2014/main" pred="{F23D70D1-F8FF-49FF-A432-B4B5E9A9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6642" b="23723"/>
        <a:stretch>
          <a:fillRect/>
        </a:stretch>
      </xdr:blipFill>
      <xdr:spPr>
        <a:xfrm>
          <a:off x="2505075" y="485775"/>
          <a:ext cx="48387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19050</xdr:rowOff>
    </xdr:from>
    <xdr:to>
      <xdr:col>4</xdr:col>
      <xdr:colOff>1085850</xdr:colOff>
      <xdr:row>0</xdr:row>
      <xdr:rowOff>523875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35AC7E77-E0D8-54D0-8A21-24366939634E}"/>
            </a:ext>
          </a:extLst>
        </xdr:cNvPr>
        <xdr:cNvSpPr/>
      </xdr:nvSpPr>
      <xdr:spPr>
        <a:xfrm>
          <a:off x="5324475" y="19050"/>
          <a:ext cx="1019175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0</xdr:row>
      <xdr:rowOff>19050</xdr:rowOff>
    </xdr:from>
    <xdr:to>
      <xdr:col>6</xdr:col>
      <xdr:colOff>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6EF2441A-5722-4B45-9E7A-A29FA448066F}"/>
            </a:ext>
            <a:ext uri="{147F2762-F138-4A5C-976F-8EAC2B608ADB}">
              <a16:predDERef xmlns:a16="http://schemas.microsoft.com/office/drawing/2014/main" pred="{35AC7E77-E0D8-54D0-8A21-24366939634E}"/>
            </a:ext>
          </a:extLst>
        </xdr:cNvPr>
        <xdr:cNvSpPr/>
      </xdr:nvSpPr>
      <xdr:spPr>
        <a:xfrm>
          <a:off x="6448425" y="19050"/>
          <a:ext cx="990600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0</xdr:row>
      <xdr:rowOff>19050</xdr:rowOff>
    </xdr:from>
    <xdr:to>
      <xdr:col>3</xdr:col>
      <xdr:colOff>1076325</xdr:colOff>
      <xdr:row>0</xdr:row>
      <xdr:rowOff>523875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F12CD18E-FF31-4C25-95AA-78BFEF01B866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4210050" y="19050"/>
          <a:ext cx="990600" cy="5048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1428750</xdr:colOff>
      <xdr:row>0</xdr:row>
      <xdr:rowOff>19050</xdr:rowOff>
    </xdr:from>
    <xdr:to>
      <xdr:col>8</xdr:col>
      <xdr:colOff>9525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74DD24B0-06D4-401A-9B22-B9F50A233DA8}"/>
            </a:ext>
            <a:ext uri="{147F2762-F138-4A5C-976F-8EAC2B608ADB}">
              <a16:predDERef xmlns:a16="http://schemas.microsoft.com/office/drawing/2014/main" pred="{F12CD18E-FF31-4C25-95AA-78BFEF01B866}"/>
            </a:ext>
          </a:extLst>
        </xdr:cNvPr>
        <xdr:cNvSpPr/>
      </xdr:nvSpPr>
      <xdr:spPr>
        <a:xfrm>
          <a:off x="8867775" y="19050"/>
          <a:ext cx="781050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0</xdr:row>
      <xdr:rowOff>9525</xdr:rowOff>
    </xdr:from>
    <xdr:to>
      <xdr:col>2</xdr:col>
      <xdr:colOff>1104900</xdr:colOff>
      <xdr:row>0</xdr:row>
      <xdr:rowOff>523875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9EE93B8C-1FC9-482A-9FBF-5FDF6BB98903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2486025" y="9525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171450</xdr:colOff>
      <xdr:row>0</xdr:row>
      <xdr:rowOff>19050</xdr:rowOff>
    </xdr:from>
    <xdr:to>
      <xdr:col>3</xdr:col>
      <xdr:colOff>1152525</xdr:colOff>
      <xdr:row>0</xdr:row>
      <xdr:rowOff>533400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A20F9885-6B32-476C-BEFE-A627D81A0AA3}"/>
            </a:ext>
            <a:ext uri="{147F2762-F138-4A5C-976F-8EAC2B608ADB}">
              <a16:predDERef xmlns:a16="http://schemas.microsoft.com/office/drawing/2014/main" pred="{9EE93B8C-1FC9-482A-9FBF-5FDF6BB98903}"/>
            </a:ext>
          </a:extLst>
        </xdr:cNvPr>
        <xdr:cNvSpPr/>
      </xdr:nvSpPr>
      <xdr:spPr>
        <a:xfrm>
          <a:off x="3705225" y="19050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1390650</xdr:colOff>
      <xdr:row>0</xdr:row>
      <xdr:rowOff>0</xdr:rowOff>
    </xdr:from>
    <xdr:to>
      <xdr:col>5</xdr:col>
      <xdr:colOff>0</xdr:colOff>
      <xdr:row>0</xdr:row>
      <xdr:rowOff>514350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93CA1388-E94D-4532-B51B-142C532C8224}"/>
            </a:ext>
            <a:ext uri="{147F2762-F138-4A5C-976F-8EAC2B608ADB}">
              <a16:predDERef xmlns:a16="http://schemas.microsoft.com/office/drawing/2014/main" pred="{A20F9885-6B32-476C-BEFE-A627D81A0AA3}"/>
            </a:ext>
          </a:extLst>
        </xdr:cNvPr>
        <xdr:cNvSpPr/>
      </xdr:nvSpPr>
      <xdr:spPr>
        <a:xfrm>
          <a:off x="4981575" y="0"/>
          <a:ext cx="11715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590550</xdr:colOff>
      <xdr:row>0</xdr:row>
      <xdr:rowOff>9525</xdr:rowOff>
    </xdr:from>
    <xdr:to>
      <xdr:col>7</xdr:col>
      <xdr:colOff>9525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BA16ACC8-BBA6-4661-8BF8-31310E802FBD}"/>
            </a:ext>
            <a:ext uri="{147F2762-F138-4A5C-976F-8EAC2B608ADB}">
              <a16:predDERef xmlns:a16="http://schemas.microsoft.com/office/drawing/2014/main" pred="{93CA1388-E94D-4532-B51B-142C532C8224}"/>
            </a:ext>
          </a:extLst>
        </xdr:cNvPr>
        <xdr:cNvSpPr/>
      </xdr:nvSpPr>
      <xdr:spPr>
        <a:xfrm>
          <a:off x="6619875" y="9525"/>
          <a:ext cx="638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1504950</xdr:colOff>
      <xdr:row>0</xdr:row>
      <xdr:rowOff>19050</xdr:rowOff>
    </xdr:from>
    <xdr:to>
      <xdr:col>6</xdr:col>
      <xdr:colOff>38100</xdr:colOff>
      <xdr:row>0</xdr:row>
      <xdr:rowOff>533400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7861629E-91E5-423C-8AB3-EA6302FD7460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3743325" y="19050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504825</xdr:colOff>
      <xdr:row>0</xdr:row>
      <xdr:rowOff>9525</xdr:rowOff>
    </xdr:from>
    <xdr:to>
      <xdr:col>6</xdr:col>
      <xdr:colOff>1485900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384BDBD6-17E0-46FB-98CD-F6065DE9B6B9}"/>
            </a:ext>
            <a:ext uri="{147F2762-F138-4A5C-976F-8EAC2B608ADB}">
              <a16:predDERef xmlns:a16="http://schemas.microsoft.com/office/drawing/2014/main" pred="{7861629E-91E5-423C-8AB3-EA6302FD7460}"/>
            </a:ext>
          </a:extLst>
        </xdr:cNvPr>
        <xdr:cNvSpPr/>
      </xdr:nvSpPr>
      <xdr:spPr>
        <a:xfrm>
          <a:off x="5191125" y="9525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228600</xdr:colOff>
      <xdr:row>0</xdr:row>
      <xdr:rowOff>19050</xdr:rowOff>
    </xdr:from>
    <xdr:to>
      <xdr:col>9</xdr:col>
      <xdr:colOff>1247775</xdr:colOff>
      <xdr:row>0</xdr:row>
      <xdr:rowOff>533400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37F11DF7-1B89-4F5C-9F3A-9BCD40DFFF1C}"/>
            </a:ext>
            <a:ext uri="{147F2762-F138-4A5C-976F-8EAC2B608ADB}">
              <a16:predDERef xmlns:a16="http://schemas.microsoft.com/office/drawing/2014/main" pred="{384BDBD6-17E0-46FB-98CD-F6065DE9B6B9}"/>
            </a:ext>
          </a:extLst>
        </xdr:cNvPr>
        <xdr:cNvSpPr/>
      </xdr:nvSpPr>
      <xdr:spPr>
        <a:xfrm>
          <a:off x="10325100" y="19050"/>
          <a:ext cx="1019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161925</xdr:colOff>
      <xdr:row>0</xdr:row>
      <xdr:rowOff>9525</xdr:rowOff>
    </xdr:from>
    <xdr:to>
      <xdr:col>12</xdr:col>
      <xdr:colOff>1238250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3BA769FC-5842-43E7-93A6-84D1A86B927F}"/>
            </a:ext>
            <a:ext uri="{147F2762-F138-4A5C-976F-8EAC2B608ADB}">
              <a16:predDERef xmlns:a16="http://schemas.microsoft.com/office/drawing/2014/main" pred="{37F11DF7-1B89-4F5C-9F3A-9BCD40DFFF1C}"/>
            </a:ext>
          </a:extLst>
        </xdr:cNvPr>
        <xdr:cNvSpPr/>
      </xdr:nvSpPr>
      <xdr:spPr>
        <a:xfrm>
          <a:off x="12315825" y="9525"/>
          <a:ext cx="107632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9525</xdr:rowOff>
    </xdr:from>
    <xdr:to>
      <xdr:col>2</xdr:col>
      <xdr:colOff>1504950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542A16A5-34BE-4FC2-9277-4DD8163D69F4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2752725" y="9525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2047875</xdr:colOff>
      <xdr:row>0</xdr:row>
      <xdr:rowOff>19050</xdr:rowOff>
    </xdr:from>
    <xdr:to>
      <xdr:col>4</xdr:col>
      <xdr:colOff>9525</xdr:colOff>
      <xdr:row>0</xdr:row>
      <xdr:rowOff>533400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3D24D58F-C8AD-4975-B0B2-C970A3F459B0}"/>
            </a:ext>
            <a:ext uri="{147F2762-F138-4A5C-976F-8EAC2B608ADB}">
              <a16:predDERef xmlns:a16="http://schemas.microsoft.com/office/drawing/2014/main" pred="{542A16A5-34BE-4FC2-9277-4DD8163D69F4}"/>
            </a:ext>
          </a:extLst>
        </xdr:cNvPr>
        <xdr:cNvSpPr/>
      </xdr:nvSpPr>
      <xdr:spPr>
        <a:xfrm>
          <a:off x="4305300" y="19050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219075</xdr:colOff>
      <xdr:row>0</xdr:row>
      <xdr:rowOff>9525</xdr:rowOff>
    </xdr:from>
    <xdr:to>
      <xdr:col>4</xdr:col>
      <xdr:colOff>1228725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CC4B89A6-A244-4FB4-ADAB-BB3F938B0582}"/>
            </a:ext>
            <a:ext uri="{147F2762-F138-4A5C-976F-8EAC2B608ADB}">
              <a16:predDERef xmlns:a16="http://schemas.microsoft.com/office/drawing/2014/main" pred="{3D24D58F-C8AD-4975-B0B2-C970A3F459B0}"/>
            </a:ext>
          </a:extLst>
        </xdr:cNvPr>
        <xdr:cNvSpPr/>
      </xdr:nvSpPr>
      <xdr:spPr>
        <a:xfrm>
          <a:off x="5524500" y="9525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1619250</xdr:colOff>
      <xdr:row>0</xdr:row>
      <xdr:rowOff>9525</xdr:rowOff>
    </xdr:from>
    <xdr:to>
      <xdr:col>7</xdr:col>
      <xdr:colOff>9525</xdr:colOff>
      <xdr:row>0</xdr:row>
      <xdr:rowOff>523875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6EFD114D-4B20-423B-A518-0247BB1A06C3}"/>
            </a:ext>
            <a:ext uri="{147F2762-F138-4A5C-976F-8EAC2B608ADB}">
              <a16:predDERef xmlns:a16="http://schemas.microsoft.com/office/drawing/2014/main" pred="{CC4B89A6-A244-4FB4-ADAB-BB3F938B0582}"/>
            </a:ext>
          </a:extLst>
        </xdr:cNvPr>
        <xdr:cNvSpPr/>
      </xdr:nvSpPr>
      <xdr:spPr>
        <a:xfrm>
          <a:off x="8420100" y="9525"/>
          <a:ext cx="638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3</xdr:row>
      <xdr:rowOff>133350</xdr:rowOff>
    </xdr:from>
    <xdr:to>
      <xdr:col>1</xdr:col>
      <xdr:colOff>943530</xdr:colOff>
      <xdr:row>3</xdr:row>
      <xdr:rowOff>133710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A7098DA9-8B92-47FC-8965-0ED3B2AA5065}"/>
                </a:ext>
              </a:extLst>
            </xdr14:cNvPr>
            <xdr14:cNvContentPartPr/>
          </xdr14:nvContentPartPr>
          <xdr14:nvPr macro=""/>
          <xdr14:xfrm>
            <a:off x="1543050" y="704850"/>
            <a:ext cx="10080" cy="36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A7098DA9-8B92-47FC-8965-0ED3B2AA50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25050" y="68721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1</xdr:row>
      <xdr:rowOff>152400</xdr:rowOff>
    </xdr:from>
    <xdr:to>
      <xdr:col>10</xdr:col>
      <xdr:colOff>762000</xdr:colOff>
      <xdr:row>11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tos">
              <a:extLst>
                <a:ext uri="{FF2B5EF4-FFF2-40B4-BE49-F238E27FC236}">
                  <a16:creationId xmlns:a16="http://schemas.microsoft.com/office/drawing/2014/main" id="{F972432E-7AC5-E5F5-DDF6-0BAC1EE123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9700" y="342900"/>
              <a:ext cx="57531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4</xdr:col>
      <xdr:colOff>619125</xdr:colOff>
      <xdr:row>12</xdr:row>
      <xdr:rowOff>28575</xdr:rowOff>
    </xdr:from>
    <xdr:to>
      <xdr:col>6</xdr:col>
      <xdr:colOff>685800</xdr:colOff>
      <xdr:row>18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4D46EEB4-1F0E-6B6E-000D-0FB161C4F5A7}"/>
                </a:ext>
                <a:ext uri="{147F2762-F138-4A5C-976F-8EAC2B608ADB}">
                  <a16:predDERef xmlns:a16="http://schemas.microsoft.com/office/drawing/2014/main" pred="{F972432E-7AC5-E5F5-DDF6-0BAC1EE123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275" y="2314575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85725</xdr:rowOff>
    </xdr:from>
    <xdr:to>
      <xdr:col>3</xdr:col>
      <xdr:colOff>1409700</xdr:colOff>
      <xdr:row>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23DDB32A-4BA8-1986-42FE-AE12F6837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276225"/>
              <a:ext cx="4600575" cy="828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28575</xdr:colOff>
      <xdr:row>3</xdr:row>
      <xdr:rowOff>114300</xdr:rowOff>
    </xdr:from>
    <xdr:to>
      <xdr:col>14</xdr:col>
      <xdr:colOff>0</xdr:colOff>
      <xdr:row>12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a">
              <a:extLst>
                <a:ext uri="{FF2B5EF4-FFF2-40B4-BE49-F238E27FC236}">
                  <a16:creationId xmlns:a16="http://schemas.microsoft.com/office/drawing/2014/main" id="{FF41233B-E4F7-37E5-7742-8C7D92AAD847}"/>
                </a:ext>
                <a:ext uri="{147F2762-F138-4A5C-976F-8EAC2B608ADB}">
                  <a16:predDERef xmlns:a16="http://schemas.microsoft.com/office/drawing/2014/main" pred="{23DDB32A-4BA8-1986-42FE-AE12F6837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5" y="685800"/>
              <a:ext cx="5457825" cy="160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</xdr:row>
      <xdr:rowOff>19050</xdr:rowOff>
    </xdr:from>
    <xdr:to>
      <xdr:col>3</xdr:col>
      <xdr:colOff>304800</xdr:colOff>
      <xdr:row>15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Nome do Vendedor">
              <a:extLst>
                <a:ext uri="{FF2B5EF4-FFF2-40B4-BE49-F238E27FC236}">
                  <a16:creationId xmlns:a16="http://schemas.microsoft.com/office/drawing/2014/main" id="{665487ED-1761-10C6-C55F-4C32F93BC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 do 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9950" y="400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19050</xdr:rowOff>
    </xdr:from>
    <xdr:to>
      <xdr:col>2</xdr:col>
      <xdr:colOff>171450</xdr:colOff>
      <xdr:row>18</xdr:row>
      <xdr:rowOff>57150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Data 1">
              <a:extLst>
                <a:ext uri="{FF2B5EF4-FFF2-40B4-BE49-F238E27FC236}">
                  <a16:creationId xmlns:a16="http://schemas.microsoft.com/office/drawing/2014/main" id="{D96292CB-6B41-FA01-CA71-8306B2BA8CC9}"/>
                </a:ext>
                <a:ext uri="{147F2762-F138-4A5C-976F-8EAC2B608ADB}">
                  <a16:predDERef xmlns:a16="http://schemas.microsoft.com/office/drawing/2014/main" pred="{665487ED-1761-10C6-C55F-4C32F93BC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145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12</xdr:row>
      <xdr:rowOff>28575</xdr:rowOff>
    </xdr:from>
    <xdr:to>
      <xdr:col>78</xdr:col>
      <xdr:colOff>123825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72A99-6972-88BB-BC6E-4577B655DF5C}"/>
            </a:ext>
            <a:ext uri="{147F2762-F138-4A5C-976F-8EAC2B608ADB}">
              <a16:predDERef xmlns:a16="http://schemas.microsoft.com/office/drawing/2014/main" pred="{FF41233B-E4F7-37E5-7742-8C7D92AAD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57150</xdr:colOff>
      <xdr:row>28</xdr:row>
      <xdr:rowOff>47625</xdr:rowOff>
    </xdr:from>
    <xdr:to>
      <xdr:col>77</xdr:col>
      <xdr:colOff>95250</xdr:colOff>
      <xdr:row>43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72D5F7-DA87-9586-FF33-0B4046C1EC9D}"/>
            </a:ext>
            <a:ext uri="{147F2762-F138-4A5C-976F-8EAC2B608ADB}">
              <a16:predDERef xmlns:a16="http://schemas.microsoft.com/office/drawing/2014/main" pred="{D7C72A99-6972-88BB-BC6E-4577B655D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08T20:53:37.1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4286 1958 16383 0 0,'0'0'0'0'0</inkml:trace>
  <inkml:trace contextRef="#ctx0" brushRef="#br0" timeOffset="36.47">4286 1958 16383 0 0,'5'0'0'0'0,"5"0"0"0"0,2 0 0 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3.776983217591" createdVersion="8" refreshedVersion="8" minRefreshableVersion="3" recordCount="60" xr:uid="{0F6EDADB-1863-449E-9AF9-BDF65B805293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44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95284393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0.749132523146" createdVersion="8" refreshedVersion="8" minRefreshableVersion="3" recordCount="82" xr:uid="{BC5F6C78-DCA0-4757-BAC2-C50BD19B5FC8}">
  <cacheSource type="worksheet">
    <worksheetSource name="TB_Vendas"/>
  </cacheSource>
  <cacheFields count="14">
    <cacheField name="Mês" numFmtId="0">
      <sharedItems count="8">
        <s v="Jan"/>
        <s v="Fev"/>
        <s v="Mar"/>
        <s v="Abr"/>
        <s v="Mai"/>
        <s v="Jun"/>
        <s v="Jul"/>
        <s v="Ago"/>
      </sharedItems>
    </cacheField>
    <cacheField name="Código" numFmtId="0">
      <sharedItems/>
    </cacheField>
    <cacheField name="Produto" numFmtId="0">
      <sharedItems count="24">
        <s v="Boné"/>
        <s v="Bolsa de couro"/>
        <s v="Camiseta Listrada"/>
        <s v="Calça legging"/>
        <s v="Camiseta Lisa "/>
        <s v="Jaqueta jeans"/>
        <s v="Vestido longo"/>
        <s v="Vestido curto"/>
        <s v="Tênis Chunky"/>
        <s v="Camiseta Estampada"/>
        <s v="Jaqueta couro"/>
        <s v="Jaqueta de Couro"/>
        <s v="Tênis Atitas"/>
        <s v="Calça Alfaiataria"/>
        <s v="Calça jeans"/>
        <s v="Camiseta Conforto"/>
        <s v="Óculos redondo"/>
        <s v="Bermuda"/>
        <s v="Óculos quadrado"/>
        <s v="Vestido Floral"/>
        <s v="Camiseta Lisa"/>
        <s v="Bolsa coringa"/>
        <s v="Sandália Rasteira"/>
        <s v="Saia Plissada"/>
      </sharedItems>
    </cacheField>
    <cacheField name="Categoria" numFmtId="0">
      <sharedItems count="3">
        <s v="Acessórios"/>
        <s v="Vestuário"/>
        <s v="Calçado"/>
      </sharedItems>
    </cacheField>
    <cacheField name="Data" numFmtId="14">
      <sharedItems containsSemiMixedTypes="0" containsNonDate="0" containsDate="1" containsString="0" minDate="2023-01-05T00:00:00" maxDate="2023-08-16T00:00:00" count="77">
        <d v="2023-01-05T00:00:00"/>
        <d v="2023-01-06T00:00:00"/>
        <d v="2023-01-07T00:00:00"/>
        <d v="2023-01-12T00:00:00"/>
        <d v="2023-01-13T00:00:00"/>
        <d v="2023-01-17T00:00:00"/>
        <d v="2023-01-23T00:00:00"/>
        <d v="2023-01-26T00:00:00"/>
        <d v="2023-01-28T00:00:00"/>
        <d v="2023-01-29T00:00:00"/>
        <d v="2023-01-30T00:00:00"/>
        <d v="2023-02-03T00:00:00"/>
        <d v="2023-02-05T00:00:00"/>
        <d v="2023-02-18T00:00:00"/>
        <d v="2023-02-21T00:00:00"/>
        <d v="2023-02-24T00:00:00"/>
        <d v="2023-02-25T00:00:00"/>
        <d v="2023-02-26T00:00:00"/>
        <d v="2023-03-01T00:00:00"/>
        <d v="2023-03-02T00:00:00"/>
        <d v="2023-03-03T00:00:00"/>
        <d v="2023-03-04T00:00:00"/>
        <d v="2023-03-09T00:00:00"/>
        <d v="2023-03-14T00:00:00"/>
        <d v="2023-03-19T00:00:00"/>
        <d v="2023-03-21T00:00:00"/>
        <d v="2023-03-25T00:00:00"/>
        <d v="2023-04-02T00:00:00"/>
        <d v="2023-04-04T00:00:00"/>
        <d v="2023-04-08T00:00:00"/>
        <d v="2023-04-11T00:00:00"/>
        <d v="2023-04-12T00:00:00"/>
        <d v="2023-04-13T00:00:00"/>
        <d v="2023-04-15T00:00:00"/>
        <d v="2023-04-22T00:00:00"/>
        <d v="2023-04-23T00:00:00"/>
        <d v="2023-04-26T00:00:00"/>
        <d v="2023-04-27T00:00:00"/>
        <d v="2023-05-08T00:00:00"/>
        <d v="2023-05-09T00:00:00"/>
        <d v="2023-05-10T00:00:00"/>
        <d v="2023-05-11T00:00:00"/>
        <d v="2023-05-12T00:00:00"/>
        <d v="2023-05-15T00:00:00"/>
        <d v="2023-05-18T00:00:00"/>
        <d v="2023-06-07T00:00:00"/>
        <d v="2023-06-09T00:00:00"/>
        <d v="2023-06-11T00:00:00"/>
        <d v="2023-06-13T00:00:00"/>
        <d v="2023-06-16T00:00:00"/>
        <d v="2023-06-17T00:00:00"/>
        <d v="2023-06-20T00:00:00"/>
        <d v="2023-06-28T00:00:00"/>
        <d v="2023-06-29T00:00:00"/>
        <d v="2023-06-30T00:00:00"/>
        <d v="2023-07-05T00:00:00"/>
        <d v="2023-07-06T00:00:00"/>
        <d v="2023-07-07T00:00:00"/>
        <d v="2023-07-12T00:00:00"/>
        <d v="2023-07-13T00:00:00"/>
        <d v="2023-07-17T00:00:00"/>
        <d v="2023-07-23T00:00:00"/>
        <d v="2023-07-26T00:00:00"/>
        <d v="2023-07-28T00:00:00"/>
        <d v="2023-07-29T00:00:00"/>
        <d v="2023-07-30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</sharedItems>
    </cacheField>
    <cacheField name="Qtd" numFmtId="0">
      <sharedItems containsSemiMixedTypes="0" containsString="0" containsNumber="1" containsInteger="1" minValue="1" maxValue="10"/>
    </cacheField>
    <cacheField name="Preço Unitário" numFmtId="164">
      <sharedItems containsSemiMixedTypes="0" containsString="0" containsNumber="1" minValue="25.9" maxValue="349.9"/>
    </cacheField>
    <cacheField name="Desc." numFmtId="9">
      <sharedItems containsSemiMixedTypes="0" containsString="0" containsNumber="1" minValue="0" maxValue="0.3"/>
    </cacheField>
    <cacheField name="Desc. Vendedor" numFmtId="9">
      <sharedItems containsSemiMixedTypes="0" containsString="0" containsNumber="1" minValue="0.1" maxValue="0.25"/>
    </cacheField>
    <cacheField name="Desconto" numFmtId="9">
      <sharedItems containsSemiMixedTypes="0" containsString="0" containsNumber="1" minValue="0" maxValue="0.25"/>
    </cacheField>
    <cacheField name="Total" numFmtId="164">
      <sharedItems containsSemiMixedTypes="0" containsString="0" containsNumber="1" minValue="26.909999999999997" maxValue="2174.25"/>
    </cacheField>
    <cacheField name="Total com Desconto" numFmtId="164">
      <sharedItems containsSemiMixedTypes="0" containsString="0" containsNumber="1" minValue="24.218999999999998" maxValue="1630.6875"/>
    </cacheField>
    <cacheField name="Vendedor" numFmtId="0">
      <sharedItems/>
    </cacheField>
    <cacheField name="Nome do Vendedor" numFmtId="0">
      <sharedItems count="5">
        <s v="Sarah"/>
        <s v="João"/>
        <s v="Bruno"/>
        <s v="Clara"/>
        <s v="Amanda"/>
      </sharedItems>
    </cacheField>
  </cacheFields>
  <extLst>
    <ext xmlns:x14="http://schemas.microsoft.com/office/spreadsheetml/2009/9/main" uri="{725AE2AE-9491-48be-B2B4-4EB974FC3084}">
      <x14:pivotCacheDefinition pivotCacheId="8955384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0"/>
    <n v="69.900000000000006"/>
  </r>
  <r>
    <s v="PR003"/>
    <x v="0"/>
    <s v="G"/>
    <x v="0"/>
    <n v="37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4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34"/>
    <n v="289.89999999999998"/>
  </r>
  <r>
    <s v="PR048"/>
    <x v="20"/>
    <s v="G"/>
    <x v="0"/>
    <n v="21"/>
    <n v="289.89999999999998"/>
  </r>
  <r>
    <s v="PR049"/>
    <x v="21"/>
    <s v="P"/>
    <x v="0"/>
    <n v="40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s v="PR006"/>
    <x v="0"/>
    <x v="0"/>
    <x v="0"/>
    <n v="1"/>
    <n v="39.9"/>
    <n v="0"/>
    <n v="0.25"/>
    <n v="0"/>
    <n v="39.9"/>
    <n v="39.9"/>
    <s v="VD002"/>
    <x v="0"/>
  </r>
  <r>
    <x v="0"/>
    <s v="PR005"/>
    <x v="1"/>
    <x v="0"/>
    <x v="1"/>
    <n v="1"/>
    <n v="259.89999999999998"/>
    <n v="0"/>
    <n v="0.25"/>
    <n v="0"/>
    <n v="259.89999999999998"/>
    <n v="259.89999999999998"/>
    <s v="VD002"/>
    <x v="0"/>
  </r>
  <r>
    <x v="0"/>
    <s v="PR051"/>
    <x v="2"/>
    <x v="1"/>
    <x v="2"/>
    <n v="2"/>
    <n v="32.9"/>
    <n v="0.15"/>
    <n v="0.2"/>
    <n v="0.15"/>
    <n v="55.93"/>
    <n v="47.540500000000002"/>
    <s v="VD001"/>
    <x v="1"/>
  </r>
  <r>
    <x v="0"/>
    <s v="PR011"/>
    <x v="3"/>
    <x v="1"/>
    <x v="3"/>
    <n v="1"/>
    <n v="46.9"/>
    <n v="0.1"/>
    <n v="0.15"/>
    <n v="0.1"/>
    <n v="42.21"/>
    <n v="37.989000000000004"/>
    <s v="VD005"/>
    <x v="2"/>
  </r>
  <r>
    <x v="0"/>
    <s v="PR017"/>
    <x v="4"/>
    <x v="1"/>
    <x v="4"/>
    <n v="1"/>
    <n v="29.9"/>
    <n v="0.1"/>
    <n v="0.25"/>
    <n v="0.1"/>
    <n v="26.909999999999997"/>
    <n v="24.218999999999998"/>
    <s v="VD002"/>
    <x v="0"/>
  </r>
  <r>
    <x v="0"/>
    <s v="PR025"/>
    <x v="5"/>
    <x v="1"/>
    <x v="5"/>
    <n v="1"/>
    <n v="299.89999999999998"/>
    <n v="0.1"/>
    <n v="0.15"/>
    <n v="0.1"/>
    <n v="269.90999999999997"/>
    <n v="242.91899999999998"/>
    <s v="VD005"/>
    <x v="2"/>
  </r>
  <r>
    <x v="0"/>
    <s v="PR039"/>
    <x v="6"/>
    <x v="1"/>
    <x v="6"/>
    <n v="1"/>
    <n v="146"/>
    <n v="0.1"/>
    <n v="0.1"/>
    <n v="0.1"/>
    <n v="131.4"/>
    <n v="118.26"/>
    <s v="VD003"/>
    <x v="3"/>
  </r>
  <r>
    <x v="0"/>
    <s v="PR034"/>
    <x v="7"/>
    <x v="1"/>
    <x v="7"/>
    <n v="2"/>
    <n v="89.9"/>
    <n v="0.15"/>
    <n v="0.1"/>
    <n v="0.1"/>
    <n v="161.82000000000002"/>
    <n v="145.63800000000003"/>
    <s v="VD003"/>
    <x v="3"/>
  </r>
  <r>
    <x v="0"/>
    <s v="PR032"/>
    <x v="8"/>
    <x v="2"/>
    <x v="8"/>
    <n v="2"/>
    <n v="250"/>
    <n v="0.1"/>
    <n v="0.25"/>
    <n v="0.1"/>
    <n v="450"/>
    <n v="405"/>
    <s v="VD002"/>
    <x v="0"/>
  </r>
  <r>
    <x v="0"/>
    <s v="PR013"/>
    <x v="9"/>
    <x v="1"/>
    <x v="9"/>
    <n v="1"/>
    <n v="39.9"/>
    <n v="0.1"/>
    <n v="0.25"/>
    <n v="0.1"/>
    <n v="35.909999999999997"/>
    <n v="32.318999999999996"/>
    <s v="VD002"/>
    <x v="0"/>
  </r>
  <r>
    <x v="0"/>
    <s v="PR038"/>
    <x v="6"/>
    <x v="1"/>
    <x v="10"/>
    <n v="1"/>
    <n v="142.9"/>
    <n v="0.1"/>
    <n v="0.2"/>
    <n v="0.1"/>
    <n v="128.61000000000001"/>
    <n v="115.74900000000001"/>
    <s v="VD004"/>
    <x v="4"/>
  </r>
  <r>
    <x v="1"/>
    <s v="PR022"/>
    <x v="10"/>
    <x v="1"/>
    <x v="11"/>
    <n v="1"/>
    <n v="300"/>
    <n v="0.1"/>
    <n v="0.1"/>
    <n v="0.1"/>
    <n v="270"/>
    <n v="243"/>
    <s v="VD003"/>
    <x v="3"/>
  </r>
  <r>
    <x v="1"/>
    <s v="PR048"/>
    <x v="11"/>
    <x v="1"/>
    <x v="12"/>
    <n v="2"/>
    <n v="289.89999999999998"/>
    <n v="0.15"/>
    <n v="0.2"/>
    <n v="0.15"/>
    <n v="492.83"/>
    <n v="418.90549999999996"/>
    <s v="VD004"/>
    <x v="4"/>
  </r>
  <r>
    <x v="1"/>
    <s v="PR028"/>
    <x v="12"/>
    <x v="2"/>
    <x v="13"/>
    <n v="1"/>
    <n v="249.9"/>
    <n v="0"/>
    <n v="0.2"/>
    <n v="0"/>
    <n v="249.9"/>
    <n v="249.9"/>
    <s v="VD004"/>
    <x v="4"/>
  </r>
  <r>
    <x v="1"/>
    <s v="PR013"/>
    <x v="9"/>
    <x v="1"/>
    <x v="14"/>
    <n v="2"/>
    <n v="39.9"/>
    <n v="0.15"/>
    <n v="0.2"/>
    <n v="0.15"/>
    <n v="67.83"/>
    <n v="57.655499999999996"/>
    <s v="VD004"/>
    <x v="4"/>
  </r>
  <r>
    <x v="1"/>
    <s v="PR046"/>
    <x v="11"/>
    <x v="1"/>
    <x v="15"/>
    <n v="4"/>
    <n v="289.89999999999998"/>
    <n v="0.2"/>
    <n v="0.2"/>
    <n v="0.2"/>
    <n v="927.68"/>
    <n v="742.14400000000001"/>
    <s v="VD004"/>
    <x v="4"/>
  </r>
  <r>
    <x v="1"/>
    <s v="PR060"/>
    <x v="13"/>
    <x v="1"/>
    <x v="16"/>
    <n v="3"/>
    <n v="180"/>
    <n v="0.2"/>
    <n v="0.25"/>
    <n v="0.2"/>
    <n v="432"/>
    <n v="345.6"/>
    <s v="VD002"/>
    <x v="0"/>
  </r>
  <r>
    <x v="1"/>
    <s v="PR050"/>
    <x v="2"/>
    <x v="1"/>
    <x v="17"/>
    <n v="2"/>
    <n v="32.9"/>
    <n v="0.15"/>
    <n v="0.2"/>
    <n v="0.15"/>
    <n v="55.93"/>
    <n v="47.540500000000002"/>
    <s v="VD001"/>
    <x v="1"/>
  </r>
  <r>
    <x v="2"/>
    <s v="PR029"/>
    <x v="12"/>
    <x v="2"/>
    <x v="18"/>
    <n v="3"/>
    <n v="255"/>
    <n v="0.15"/>
    <n v="0.2"/>
    <n v="0.15"/>
    <n v="650.25"/>
    <n v="552.71249999999998"/>
    <s v="VD004"/>
    <x v="4"/>
  </r>
  <r>
    <x v="2"/>
    <s v="PR038"/>
    <x v="6"/>
    <x v="1"/>
    <x v="18"/>
    <n v="1"/>
    <n v="142.9"/>
    <n v="0.1"/>
    <n v="0.2"/>
    <n v="0.1"/>
    <n v="128.61000000000001"/>
    <n v="115.74900000000001"/>
    <s v="VD001"/>
    <x v="1"/>
  </r>
  <r>
    <x v="2"/>
    <s v="PR009"/>
    <x v="14"/>
    <x v="1"/>
    <x v="19"/>
    <n v="4"/>
    <n v="92.9"/>
    <n v="0.2"/>
    <n v="0.1"/>
    <n v="0.1"/>
    <n v="334.44"/>
    <n v="300.99599999999998"/>
    <s v="VD003"/>
    <x v="3"/>
  </r>
  <r>
    <x v="2"/>
    <s v="PR042"/>
    <x v="15"/>
    <x v="1"/>
    <x v="20"/>
    <n v="2"/>
    <n v="54.9"/>
    <n v="0.15"/>
    <n v="0.2"/>
    <n v="0.15"/>
    <n v="93.33"/>
    <n v="79.330500000000001"/>
    <s v="VD001"/>
    <x v="1"/>
  </r>
  <r>
    <x v="2"/>
    <s v="PR038"/>
    <x v="6"/>
    <x v="1"/>
    <x v="21"/>
    <n v="3"/>
    <n v="142.9"/>
    <n v="0.2"/>
    <n v="0.25"/>
    <n v="0.2"/>
    <n v="342.96000000000004"/>
    <n v="274.36800000000005"/>
    <s v="VD002"/>
    <x v="0"/>
  </r>
  <r>
    <x v="2"/>
    <s v="PR027"/>
    <x v="16"/>
    <x v="0"/>
    <x v="22"/>
    <n v="2"/>
    <n v="120"/>
    <n v="0.05"/>
    <n v="0.25"/>
    <n v="0.05"/>
    <n v="228"/>
    <n v="216.6"/>
    <s v="VD002"/>
    <x v="0"/>
  </r>
  <r>
    <x v="2"/>
    <s v="PR001"/>
    <x v="17"/>
    <x v="1"/>
    <x v="23"/>
    <n v="1"/>
    <n v="65.900000000000006"/>
    <n v="0.1"/>
    <n v="0.2"/>
    <n v="0.1"/>
    <n v="59.31"/>
    <n v="53.379000000000005"/>
    <s v="VD004"/>
    <x v="4"/>
  </r>
  <r>
    <x v="2"/>
    <s v="PR049"/>
    <x v="2"/>
    <x v="1"/>
    <x v="24"/>
    <n v="5"/>
    <n v="32.9"/>
    <n v="0.25"/>
    <n v="0.15"/>
    <n v="0.15"/>
    <n v="139.82499999999999"/>
    <n v="118.85124999999999"/>
    <s v="VD005"/>
    <x v="2"/>
  </r>
  <r>
    <x v="2"/>
    <s v="PR059"/>
    <x v="13"/>
    <x v="1"/>
    <x v="25"/>
    <n v="2"/>
    <n v="180"/>
    <n v="0.15"/>
    <n v="0.25"/>
    <n v="0.15"/>
    <n v="306"/>
    <n v="260.10000000000002"/>
    <s v="VD002"/>
    <x v="0"/>
  </r>
  <r>
    <x v="2"/>
    <s v="PR026"/>
    <x v="18"/>
    <x v="0"/>
    <x v="26"/>
    <n v="3"/>
    <n v="349.9"/>
    <n v="0.15"/>
    <n v="0.2"/>
    <n v="0.15"/>
    <n v="892.24499999999989"/>
    <n v="758.40824999999995"/>
    <s v="VD001"/>
    <x v="1"/>
  </r>
  <r>
    <x v="3"/>
    <s v="PR044"/>
    <x v="19"/>
    <x v="1"/>
    <x v="27"/>
    <n v="1"/>
    <n v="72.5"/>
    <n v="0.1"/>
    <n v="0.1"/>
    <n v="0.1"/>
    <n v="65.25"/>
    <n v="58.725000000000001"/>
    <s v="VD003"/>
    <x v="3"/>
  </r>
  <r>
    <x v="3"/>
    <s v="PR024"/>
    <x v="5"/>
    <x v="1"/>
    <x v="28"/>
    <n v="4"/>
    <n v="259.89999999999998"/>
    <n v="0.2"/>
    <n v="0.2"/>
    <n v="0.2"/>
    <n v="831.68"/>
    <n v="665.34399999999994"/>
    <s v="VD001"/>
    <x v="1"/>
  </r>
  <r>
    <x v="3"/>
    <s v="PR016"/>
    <x v="20"/>
    <x v="1"/>
    <x v="29"/>
    <n v="3"/>
    <n v="25.9"/>
    <n v="0.2"/>
    <n v="0.25"/>
    <n v="0.2"/>
    <n v="62.16"/>
    <n v="49.727999999999994"/>
    <s v="VD002"/>
    <x v="0"/>
  </r>
  <r>
    <x v="3"/>
    <s v="PR004"/>
    <x v="21"/>
    <x v="0"/>
    <x v="30"/>
    <n v="2"/>
    <n v="145"/>
    <n v="0.05"/>
    <n v="0.2"/>
    <n v="0.05"/>
    <n v="275.5"/>
    <n v="261.72500000000002"/>
    <s v="VD001"/>
    <x v="1"/>
  </r>
  <r>
    <x v="3"/>
    <s v="PR006"/>
    <x v="0"/>
    <x v="0"/>
    <x v="31"/>
    <n v="1"/>
    <n v="39.9"/>
    <n v="0"/>
    <n v="0.25"/>
    <n v="0"/>
    <n v="39.9"/>
    <n v="39.9"/>
    <s v="VD002"/>
    <x v="0"/>
  </r>
  <r>
    <x v="3"/>
    <s v="PR026"/>
    <x v="18"/>
    <x v="0"/>
    <x v="32"/>
    <n v="3"/>
    <n v="349.9"/>
    <n v="0.15"/>
    <n v="0.2"/>
    <n v="0.15"/>
    <n v="892.24499999999989"/>
    <n v="758.40824999999995"/>
    <s v="VD004"/>
    <x v="4"/>
  </r>
  <r>
    <x v="3"/>
    <s v="PR057"/>
    <x v="22"/>
    <x v="2"/>
    <x v="33"/>
    <n v="4"/>
    <n v="89.9"/>
    <n v="0.15"/>
    <n v="0.2"/>
    <n v="0.15"/>
    <n v="305.66000000000003"/>
    <n v="259.81100000000004"/>
    <s v="VD001"/>
    <x v="1"/>
  </r>
  <r>
    <x v="3"/>
    <s v="PR055"/>
    <x v="22"/>
    <x v="2"/>
    <x v="34"/>
    <n v="2"/>
    <n v="89.9"/>
    <n v="0.1"/>
    <n v="0.2"/>
    <n v="0.1"/>
    <n v="161.82000000000002"/>
    <n v="145.63800000000003"/>
    <s v="VD004"/>
    <x v="4"/>
  </r>
  <r>
    <x v="3"/>
    <s v="PR002"/>
    <x v="17"/>
    <x v="1"/>
    <x v="35"/>
    <n v="3"/>
    <n v="69.900000000000006"/>
    <n v="0.2"/>
    <n v="0.2"/>
    <n v="0.2"/>
    <n v="167.76"/>
    <n v="134.208"/>
    <s v="VD001"/>
    <x v="1"/>
  </r>
  <r>
    <x v="3"/>
    <s v="PR004"/>
    <x v="21"/>
    <x v="0"/>
    <x v="36"/>
    <n v="1"/>
    <n v="145"/>
    <n v="0"/>
    <n v="0.15"/>
    <n v="0"/>
    <n v="145"/>
    <n v="145"/>
    <s v="VD005"/>
    <x v="2"/>
  </r>
  <r>
    <x v="3"/>
    <s v="PR011"/>
    <x v="3"/>
    <x v="1"/>
    <x v="37"/>
    <n v="4"/>
    <n v="46.9"/>
    <n v="0.2"/>
    <n v="0.2"/>
    <n v="0.2"/>
    <n v="150.07999999999998"/>
    <n v="120.06399999999999"/>
    <s v="VD001"/>
    <x v="1"/>
  </r>
  <r>
    <x v="4"/>
    <s v="PR043"/>
    <x v="19"/>
    <x v="1"/>
    <x v="38"/>
    <n v="2"/>
    <n v="72.5"/>
    <n v="0.15"/>
    <n v="0.15"/>
    <n v="0.15"/>
    <n v="123.25"/>
    <n v="104.7625"/>
    <s v="VD005"/>
    <x v="2"/>
  </r>
  <r>
    <x v="4"/>
    <s v="PR037"/>
    <x v="6"/>
    <x v="1"/>
    <x v="39"/>
    <n v="3"/>
    <n v="140"/>
    <n v="0.2"/>
    <n v="0.2"/>
    <n v="0.2"/>
    <n v="336"/>
    <n v="268.8"/>
    <s v="VD004"/>
    <x v="4"/>
  </r>
  <r>
    <x v="4"/>
    <s v="PR035"/>
    <x v="7"/>
    <x v="1"/>
    <x v="40"/>
    <n v="1"/>
    <n v="91.4"/>
    <n v="0.1"/>
    <n v="0.25"/>
    <n v="0.1"/>
    <n v="82.26"/>
    <n v="74.034000000000006"/>
    <s v="VD002"/>
    <x v="0"/>
  </r>
  <r>
    <x v="4"/>
    <s v="PR026"/>
    <x v="18"/>
    <x v="0"/>
    <x v="41"/>
    <n v="2"/>
    <n v="349.9"/>
    <n v="0.05"/>
    <n v="0.2"/>
    <n v="0.05"/>
    <n v="664.81"/>
    <n v="631.56949999999995"/>
    <s v="VD004"/>
    <x v="4"/>
  </r>
  <r>
    <x v="4"/>
    <s v="PR001"/>
    <x v="17"/>
    <x v="1"/>
    <x v="42"/>
    <n v="3"/>
    <n v="65.900000000000006"/>
    <n v="0.2"/>
    <n v="0.25"/>
    <n v="0.2"/>
    <n v="158.16000000000003"/>
    <n v="126.52800000000002"/>
    <s v="VD002"/>
    <x v="0"/>
  </r>
  <r>
    <x v="4"/>
    <s v="PR035"/>
    <x v="7"/>
    <x v="1"/>
    <x v="43"/>
    <n v="2"/>
    <n v="91.4"/>
    <n v="0.15"/>
    <n v="0.2"/>
    <n v="0.15"/>
    <n v="155.38"/>
    <n v="132.07300000000001"/>
    <s v="VD001"/>
    <x v="1"/>
  </r>
  <r>
    <x v="4"/>
    <s v="PR005"/>
    <x v="1"/>
    <x v="0"/>
    <x v="44"/>
    <n v="4"/>
    <n v="259.89999999999998"/>
    <n v="0.15"/>
    <n v="0.25"/>
    <n v="0.15"/>
    <n v="883.66"/>
    <n v="751.11099999999999"/>
    <s v="VD002"/>
    <x v="0"/>
  </r>
  <r>
    <x v="5"/>
    <s v="PR004"/>
    <x v="21"/>
    <x v="0"/>
    <x v="45"/>
    <n v="3"/>
    <n v="145"/>
    <n v="0.15"/>
    <n v="0.2"/>
    <n v="0.15"/>
    <n v="369.75"/>
    <n v="314.28750000000002"/>
    <s v="VD001"/>
    <x v="1"/>
  </r>
  <r>
    <x v="5"/>
    <s v="PR038"/>
    <x v="6"/>
    <x v="1"/>
    <x v="45"/>
    <n v="2"/>
    <n v="142.9"/>
    <n v="0.15"/>
    <n v="0.1"/>
    <n v="0.1"/>
    <n v="257.22000000000003"/>
    <n v="231.49800000000002"/>
    <s v="VD003"/>
    <x v="3"/>
  </r>
  <r>
    <x v="5"/>
    <s v="PR059"/>
    <x v="13"/>
    <x v="1"/>
    <x v="46"/>
    <n v="2"/>
    <n v="180"/>
    <n v="0.15"/>
    <n v="0.2"/>
    <n v="0.15"/>
    <n v="306"/>
    <n v="260.10000000000002"/>
    <s v="VD001"/>
    <x v="1"/>
  </r>
  <r>
    <x v="5"/>
    <s v="PR015"/>
    <x v="9"/>
    <x v="1"/>
    <x v="46"/>
    <n v="2"/>
    <n v="42.5"/>
    <n v="0.15"/>
    <n v="0.1"/>
    <n v="0.1"/>
    <n v="76.5"/>
    <n v="68.849999999999994"/>
    <s v="VD003"/>
    <x v="3"/>
  </r>
  <r>
    <x v="5"/>
    <s v="PR001"/>
    <x v="17"/>
    <x v="1"/>
    <x v="47"/>
    <n v="1"/>
    <n v="65.900000000000006"/>
    <n v="0.1"/>
    <n v="0.25"/>
    <n v="0.1"/>
    <n v="59.31"/>
    <n v="53.379000000000005"/>
    <s v="VD002"/>
    <x v="0"/>
  </r>
  <r>
    <x v="5"/>
    <s v="PR058"/>
    <x v="13"/>
    <x v="1"/>
    <x v="48"/>
    <n v="1"/>
    <n v="180"/>
    <n v="0.1"/>
    <n v="0.1"/>
    <n v="0.1"/>
    <n v="162"/>
    <n v="145.80000000000001"/>
    <s v="VD003"/>
    <x v="3"/>
  </r>
  <r>
    <x v="5"/>
    <s v="PR050"/>
    <x v="2"/>
    <x v="1"/>
    <x v="49"/>
    <n v="3"/>
    <n v="32.9"/>
    <n v="0.2"/>
    <n v="0.25"/>
    <n v="0.2"/>
    <n v="78.960000000000008"/>
    <n v="63.168000000000006"/>
    <s v="VD002"/>
    <x v="0"/>
  </r>
  <r>
    <x v="5"/>
    <s v="PR009"/>
    <x v="14"/>
    <x v="1"/>
    <x v="49"/>
    <n v="4"/>
    <n v="92.9"/>
    <n v="0.2"/>
    <n v="0.2"/>
    <n v="0.2"/>
    <n v="297.28000000000003"/>
    <n v="237.82400000000001"/>
    <s v="VD001"/>
    <x v="1"/>
  </r>
  <r>
    <x v="5"/>
    <s v="PR033"/>
    <x v="8"/>
    <x v="2"/>
    <x v="50"/>
    <n v="2"/>
    <n v="259.89999999999998"/>
    <n v="0.1"/>
    <n v="0.1"/>
    <n v="0.1"/>
    <n v="467.81999999999994"/>
    <n v="421.03799999999995"/>
    <s v="VD003"/>
    <x v="3"/>
  </r>
  <r>
    <x v="5"/>
    <s v="PR024"/>
    <x v="5"/>
    <x v="1"/>
    <x v="51"/>
    <n v="1"/>
    <n v="259.89999999999998"/>
    <n v="0.1"/>
    <n v="0.15"/>
    <n v="0.1"/>
    <n v="233.90999999999997"/>
    <n v="210.51899999999998"/>
    <s v="VD005"/>
    <x v="2"/>
  </r>
  <r>
    <x v="5"/>
    <s v="PR015"/>
    <x v="9"/>
    <x v="1"/>
    <x v="52"/>
    <n v="5"/>
    <n v="42.5"/>
    <n v="0.25"/>
    <n v="0.15"/>
    <n v="0.15"/>
    <n v="180.625"/>
    <n v="153.53125"/>
    <s v="VD005"/>
    <x v="2"/>
  </r>
  <r>
    <x v="5"/>
    <s v="PR050"/>
    <x v="2"/>
    <x v="1"/>
    <x v="52"/>
    <n v="2"/>
    <n v="32.9"/>
    <n v="0.15"/>
    <n v="0.15"/>
    <n v="0.15"/>
    <n v="55.93"/>
    <n v="47.540500000000002"/>
    <s v="VD005"/>
    <x v="2"/>
  </r>
  <r>
    <x v="5"/>
    <s v="PR009"/>
    <x v="14"/>
    <x v="1"/>
    <x v="53"/>
    <n v="3"/>
    <n v="92.9"/>
    <n v="0.2"/>
    <n v="0.2"/>
    <n v="0.2"/>
    <n v="222.96000000000004"/>
    <n v="178.36800000000002"/>
    <s v="VD001"/>
    <x v="1"/>
  </r>
  <r>
    <x v="5"/>
    <s v="PR016"/>
    <x v="20"/>
    <x v="1"/>
    <x v="54"/>
    <n v="10"/>
    <n v="25.9"/>
    <n v="0.3"/>
    <n v="0.2"/>
    <n v="0.2"/>
    <n v="207.2"/>
    <n v="165.76"/>
    <s v="VD001"/>
    <x v="1"/>
  </r>
  <r>
    <x v="6"/>
    <s v="PR044"/>
    <x v="19"/>
    <x v="1"/>
    <x v="55"/>
    <n v="1"/>
    <n v="72.5"/>
    <n v="0.1"/>
    <n v="0.25"/>
    <n v="0.1"/>
    <n v="65.25"/>
    <n v="58.725000000000001"/>
    <s v="VD002"/>
    <x v="0"/>
  </r>
  <r>
    <x v="6"/>
    <s v="PR021"/>
    <x v="10"/>
    <x v="1"/>
    <x v="56"/>
    <n v="4"/>
    <n v="302.89999999999998"/>
    <n v="0.2"/>
    <n v="0.15"/>
    <n v="0.15"/>
    <n v="1029.8599999999999"/>
    <n v="875.38099999999986"/>
    <s v="VD005"/>
    <x v="2"/>
  </r>
  <r>
    <x v="6"/>
    <s v="PR048"/>
    <x v="11"/>
    <x v="1"/>
    <x v="57"/>
    <n v="8"/>
    <n v="289.89999999999998"/>
    <n v="0.25"/>
    <n v="0.2"/>
    <n v="0.2"/>
    <n v="1855.36"/>
    <n v="1484.288"/>
    <s v="VD001"/>
    <x v="1"/>
  </r>
  <r>
    <x v="6"/>
    <s v="PR041"/>
    <x v="15"/>
    <x v="1"/>
    <x v="58"/>
    <n v="2"/>
    <n v="54.9"/>
    <n v="0.15"/>
    <n v="0.2"/>
    <n v="0.15"/>
    <n v="93.33"/>
    <n v="79.330500000000001"/>
    <s v="VD001"/>
    <x v="1"/>
  </r>
  <r>
    <x v="6"/>
    <s v="PR014"/>
    <x v="9"/>
    <x v="1"/>
    <x v="59"/>
    <n v="2"/>
    <n v="39.9"/>
    <n v="0.15"/>
    <n v="0.15"/>
    <n v="0.15"/>
    <n v="67.83"/>
    <n v="57.655499999999996"/>
    <s v="VD005"/>
    <x v="2"/>
  </r>
  <r>
    <x v="6"/>
    <s v="PR042"/>
    <x v="15"/>
    <x v="1"/>
    <x v="60"/>
    <n v="7"/>
    <n v="54.9"/>
    <n v="0.25"/>
    <n v="0.2"/>
    <n v="0.2"/>
    <n v="307.44"/>
    <n v="245.952"/>
    <s v="VD004"/>
    <x v="4"/>
  </r>
  <r>
    <x v="6"/>
    <s v="PR020"/>
    <x v="10"/>
    <x v="1"/>
    <x v="61"/>
    <n v="4"/>
    <n v="299.89999999999998"/>
    <n v="0.2"/>
    <n v="0.15"/>
    <n v="0.15"/>
    <n v="1019.66"/>
    <n v="866.71100000000001"/>
    <s v="VD005"/>
    <x v="2"/>
  </r>
  <r>
    <x v="6"/>
    <s v="PR024"/>
    <x v="5"/>
    <x v="1"/>
    <x v="62"/>
    <n v="3"/>
    <n v="259.89999999999998"/>
    <n v="0.2"/>
    <n v="0.2"/>
    <n v="0.2"/>
    <n v="623.76"/>
    <n v="499.00799999999998"/>
    <s v="VD004"/>
    <x v="4"/>
  </r>
  <r>
    <x v="6"/>
    <s v="PR044"/>
    <x v="19"/>
    <x v="1"/>
    <x v="63"/>
    <n v="9"/>
    <n v="72.5"/>
    <n v="0.25"/>
    <n v="0.1"/>
    <n v="0.1"/>
    <n v="587.25"/>
    <n v="528.52499999999998"/>
    <s v="VD003"/>
    <x v="3"/>
  </r>
  <r>
    <x v="6"/>
    <s v="PR022"/>
    <x v="10"/>
    <x v="1"/>
    <x v="64"/>
    <n v="4"/>
    <n v="300"/>
    <n v="0.2"/>
    <n v="0.15"/>
    <n v="0.15"/>
    <n v="1020"/>
    <n v="867"/>
    <s v="VD005"/>
    <x v="2"/>
  </r>
  <r>
    <x v="6"/>
    <s v="PR001"/>
    <x v="17"/>
    <x v="1"/>
    <x v="65"/>
    <n v="9"/>
    <n v="65.900000000000006"/>
    <n v="0.25"/>
    <n v="0.15"/>
    <n v="0.15"/>
    <n v="504.13500000000005"/>
    <n v="428.51475000000005"/>
    <s v="VD005"/>
    <x v="2"/>
  </r>
  <r>
    <x v="7"/>
    <s v="PR009"/>
    <x v="14"/>
    <x v="1"/>
    <x v="66"/>
    <n v="10"/>
    <n v="92.9"/>
    <n v="0.3"/>
    <n v="0.15"/>
    <n v="0.15"/>
    <n v="789.65000000000009"/>
    <n v="671.2025000000001"/>
    <s v="VD005"/>
    <x v="2"/>
  </r>
  <r>
    <x v="7"/>
    <s v="PR057"/>
    <x v="22"/>
    <x v="2"/>
    <x v="67"/>
    <n v="1"/>
    <n v="89.9"/>
    <n v="0"/>
    <n v="0.1"/>
    <n v="0"/>
    <n v="89.9"/>
    <n v="89.9"/>
    <s v="VD003"/>
    <x v="3"/>
  </r>
  <r>
    <x v="7"/>
    <s v="PR052"/>
    <x v="23"/>
    <x v="1"/>
    <x v="68"/>
    <n v="2"/>
    <n v="49.9"/>
    <n v="0.15"/>
    <n v="0.1"/>
    <n v="0.1"/>
    <n v="89.82"/>
    <n v="80.837999999999994"/>
    <s v="VD003"/>
    <x v="3"/>
  </r>
  <r>
    <x v="7"/>
    <s v="PR040"/>
    <x v="15"/>
    <x v="1"/>
    <x v="69"/>
    <n v="8"/>
    <n v="70"/>
    <n v="0.25"/>
    <n v="0.25"/>
    <n v="0.25"/>
    <n v="420"/>
    <n v="315"/>
    <s v="VD002"/>
    <x v="0"/>
  </r>
  <r>
    <x v="7"/>
    <s v="PR011"/>
    <x v="3"/>
    <x v="1"/>
    <x v="70"/>
    <n v="5"/>
    <n v="46.9"/>
    <n v="0.25"/>
    <n v="0.1"/>
    <n v="0.1"/>
    <n v="211.05"/>
    <n v="189.94499999999999"/>
    <s v="VD003"/>
    <x v="3"/>
  </r>
  <r>
    <x v="7"/>
    <s v="PR047"/>
    <x v="11"/>
    <x v="1"/>
    <x v="71"/>
    <n v="10"/>
    <n v="289.89999999999998"/>
    <n v="0.3"/>
    <n v="0.25"/>
    <n v="0.25"/>
    <n v="2174.25"/>
    <n v="1630.6875"/>
    <s v="VD002"/>
    <x v="0"/>
  </r>
  <r>
    <x v="7"/>
    <s v="PR015"/>
    <x v="9"/>
    <x v="1"/>
    <x v="72"/>
    <n v="1"/>
    <n v="42.5"/>
    <n v="0.1"/>
    <n v="0.1"/>
    <n v="0.1"/>
    <n v="38.25"/>
    <n v="34.424999999999997"/>
    <s v="VD003"/>
    <x v="3"/>
  </r>
  <r>
    <x v="7"/>
    <s v="PR055"/>
    <x v="22"/>
    <x v="2"/>
    <x v="73"/>
    <n v="2"/>
    <n v="89.9"/>
    <n v="0.1"/>
    <n v="0.25"/>
    <n v="0.1"/>
    <n v="161.82000000000002"/>
    <n v="145.63800000000003"/>
    <s v="VD002"/>
    <x v="0"/>
  </r>
  <r>
    <x v="7"/>
    <s v="PR029"/>
    <x v="12"/>
    <x v="2"/>
    <x v="74"/>
    <n v="3"/>
    <n v="255"/>
    <n v="0.15"/>
    <n v="0.2"/>
    <n v="0.15"/>
    <n v="650.25"/>
    <n v="552.71249999999998"/>
    <s v="VD001"/>
    <x v="1"/>
  </r>
  <r>
    <x v="7"/>
    <s v="PR015"/>
    <x v="9"/>
    <x v="1"/>
    <x v="75"/>
    <n v="6"/>
    <n v="42.5"/>
    <n v="0.25"/>
    <n v="0.2"/>
    <n v="0.2"/>
    <n v="204"/>
    <n v="163.19999999999999"/>
    <s v="VD004"/>
    <x v="4"/>
  </r>
  <r>
    <x v="7"/>
    <s v="PR014"/>
    <x v="9"/>
    <x v="1"/>
    <x v="76"/>
    <n v="8"/>
    <n v="39.9"/>
    <n v="0.25"/>
    <n v="0.25"/>
    <n v="0.25"/>
    <n v="239.39999999999998"/>
    <n v="179.54999999999998"/>
    <s v="VD0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4B059-2129-48EC-B998-AB3891A5F2C8}" name="TDIN_Produtos" cacheId="74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D32" firstHeaderRow="0" firstDataRow="1" firstDataCol="2"/>
  <pivotFields count="6">
    <pivotField compact="0" outline="0" showAll="0"/>
    <pivotField axis="axisRow" compact="0" outline="0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dataField="1" compact="0" outline="0" showAll="0"/>
    <pivotField dataField="1" compact="0" numFmtId="44" outline="0" showAll="0"/>
  </pivotFields>
  <rowFields count="2">
    <field x="3"/>
    <field x="1"/>
  </rowFields>
  <rowItems count="29">
    <i>
      <x/>
      <x v="1"/>
    </i>
    <i r="1">
      <x v="2"/>
    </i>
    <i r="1">
      <x v="3"/>
    </i>
    <i r="1">
      <x v="12"/>
    </i>
    <i r="1">
      <x v="16"/>
    </i>
    <i r="1">
      <x v="17"/>
    </i>
    <i t="default">
      <x/>
    </i>
    <i>
      <x v="1"/>
      <x v="19"/>
    </i>
    <i r="1">
      <x v="20"/>
    </i>
    <i r="1">
      <x v="21"/>
    </i>
    <i t="default">
      <x v="1"/>
    </i>
    <i>
      <x v="2"/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22"/>
    </i>
    <i r="1">
      <x v="23"/>
    </i>
    <i r="1">
      <x v="24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0" baseItem="0" numFmtId="44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5BA0F-35FE-46BE-82A1-20AB66CCDBDD}" name="TDIN_Vendas" cacheId="7457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 chartFormat="5">
  <location ref="A7:C14" firstHeaderRow="0" firstDataRow="1" firstDataCol="1"/>
  <pivotFields count="14"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>
      <items count="25">
        <item x="17"/>
        <item x="21"/>
        <item x="1"/>
        <item x="0"/>
        <item x="13"/>
        <item x="14"/>
        <item x="3"/>
        <item x="15"/>
        <item x="9"/>
        <item x="20"/>
        <item x="4"/>
        <item x="2"/>
        <item x="10"/>
        <item x="11"/>
        <item x="5"/>
        <item x="18"/>
        <item x="16"/>
        <item x="23"/>
        <item x="22"/>
        <item x="12"/>
        <item x="8"/>
        <item x="7"/>
        <item x="19"/>
        <item x="6"/>
        <item t="default"/>
      </items>
    </pivotField>
    <pivotField compact="0" outline="0" showAll="0">
      <items count="4">
        <item h="1" x="0"/>
        <item x="2"/>
        <item h="1" x="1"/>
        <item t="default"/>
      </items>
    </pivotField>
    <pivotField compact="0" numFmtId="14" outline="0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dataField="1" compact="0" outline="0" showAll="0"/>
    <pivotField compact="0" numFmtId="164" outline="0" showAll="0"/>
    <pivotField compact="0" numFmtId="9" outline="0" showAll="0"/>
    <pivotField compact="0" numFmtId="9" outline="0" showAll="0"/>
    <pivotField compact="0" numFmtId="9" outline="0" showAll="0"/>
    <pivotField compact="0" numFmtId="164" outline="0" showAll="0"/>
    <pivotField dataField="1" compact="0" numFmtId="164" outline="0" showAll="0"/>
    <pivotField compact="0" outline="0" showAll="0"/>
    <pivotField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td" fld="5" baseField="0" baseItem="0"/>
    <dataField name="Soma de Total com Desconto" fld="11" baseField="0" baseItem="0" numFmtId="164"/>
  </dataFields>
  <chartFormats count="8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5B302-D316-4186-B86B-E16EE0F5DBAF}" name="TDIN_Vendedor" cacheId="7457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 chartFormat="5">
  <location ref="A3:B9" firstHeaderRow="1" firstDataRow="1" firstDataCol="1"/>
  <pivotFields count="14"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compact="0" outline="0" showAll="0"/>
    <pivotField compact="0" numFmtId="164" outline="0" showAll="0"/>
    <pivotField compact="0" numFmtId="9" outline="0" showAll="0"/>
    <pivotField compact="0" numFmtId="9" outline="0" showAll="0"/>
    <pivotField compact="0" numFmtId="9" outline="0" showAll="0"/>
    <pivotField compact="0" numFmtId="164" outline="0" showAll="0"/>
    <pivotField dataField="1" compact="0" numFmtId="164" outline="0" showAll="0"/>
    <pivotField compact="0" outline="0" showAll="0"/>
    <pivotField axis="axisRow" compact="0" outline="0" showAll="0">
      <items count="6">
        <item x="4"/>
        <item x="2"/>
        <item x="3"/>
        <item x="1"/>
        <item x="0"/>
        <item t="default"/>
      </items>
    </pivotField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 com Desconto" fld="11" baseField="0" baseItem="0" numFmtId="164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4" type="dateBetween" evalOrder="-1" id="6" name="Data">
      <autoFilter ref="A1">
        <filterColumn colId="0">
          <customFilters and="1">
            <customFilter operator="greaterThanOrEqual" val="44927"/>
            <customFilter operator="lessThanOrEqual" val="449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7AA51C44-9D71-4FC0-9941-E8F3B332E29A}" sourceName="Categoria">
  <pivotTables>
    <pivotTable tabId="9" name="TDIN_Vendas"/>
  </pivotTables>
  <data>
    <tabular pivotCacheId="895538430">
      <items count="3">
        <i x="0"/>
        <i x="2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s" xr10:uid="{441868AE-CFF8-45AC-8090-21492A977B7F}" sourceName="Produtos">
  <pivotTables>
    <pivotTable tabId="7" name="TDIN_Produtos"/>
  </pivotTables>
  <data>
    <tabular pivotCacheId="1952843930">
      <items count="25">
        <i x="0" s="1"/>
        <i x="1" s="1"/>
        <i x="2" s="1"/>
        <i x="3" s="1"/>
        <i x="24" s="1"/>
        <i x="4" s="1"/>
        <i x="5" s="1"/>
        <i x="18" s="1"/>
        <i x="6" s="1"/>
        <i x="7" s="1"/>
        <i x="8" s="1"/>
        <i x="21" s="1"/>
        <i x="9" s="1"/>
        <i x="10" s="1"/>
        <i x="20" s="1"/>
        <i x="11" s="1"/>
        <i x="12" s="1"/>
        <i x="13" s="1"/>
        <i x="22" s="1"/>
        <i x="23" s="1"/>
        <i x="14" s="1"/>
        <i x="15" s="1"/>
        <i x="16" s="1"/>
        <i x="19" s="1"/>
        <i x="17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682FF57A-2A6C-4313-BB4D-CB6ACBBE75F9}" sourceName="Categoria">
  <pivotTables>
    <pivotTable tabId="7" name="TDIN_Produtos"/>
  </pivotTables>
  <data>
    <tabular pivotCacheId="1952843930">
      <items count="3">
        <i x="1" s="1"/>
        <i x="2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o_Vendedor" xr10:uid="{820080FE-BC53-491B-86CE-BF80D7520C53}" sourceName="Nome do Vendedor">
  <pivotTables>
    <pivotTable tabId="10" name="TDIN_Vendedor"/>
  </pivotTables>
  <data>
    <tabular pivotCacheId="895538430">
      <items count="5">
        <i x="4" s="1"/>
        <i x="2" s="1"/>
        <i x="3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s" xr10:uid="{A1BEAA27-3F34-47FC-B42C-DF5FAA3B8BD1}" cache="SegmentaçãodeDados_Produtos" caption="Produtos" columnCount="5" rowHeight="228600"/>
  <slicer name="Categoria 1" xr10:uid="{4BB5D84B-182C-47F5-AB6E-D09C3D0384C1}" cache="SegmentaçãodeDados_Categoria1" caption="Categoria" startItem="1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4EB434C1-66AE-40F4-8551-515B676976E8}" cache="SegmentaçãodeDados_Categoria" caption="Categoria" columnCount="3" style="SlicerStyleDark2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 do Vendedor" xr10:uid="{5B1B8AFC-5E20-4D73-B3BE-FAC60ABC152F}" cache="SegmentaçãodeDados_Nome_do_Vendedor" caption="Nome do Vendedo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1ED35-3B6E-4C2D-A779-FA58CC44E435}" name="TB_Produtos" displayName="TB_Produtos" ref="B6:G66" totalsRowShown="0" headerRowDxfId="26" dataDxfId="25" tableBorderDxfId="24">
  <autoFilter ref="B6:G66" xr:uid="{6001ED35-3B6E-4C2D-A779-FA58CC44E435}"/>
  <tableColumns count="6">
    <tableColumn id="1" xr3:uid="{B4DACA79-3E39-4F88-92EB-6909F91D0EE7}" name="Código" dataDxfId="23"/>
    <tableColumn id="2" xr3:uid="{D7407E0B-18D9-4D83-8048-0892E94D51A8}" name="Produtos" dataDxfId="22"/>
    <tableColumn id="3" xr3:uid="{13E10427-5B0F-4484-ACF8-E2F9CC43AC04}" name="Tamanho" dataDxfId="21"/>
    <tableColumn id="4" xr3:uid="{23ED5D4D-C4C8-4033-8744-C89C769B0247}" name="Categoria" dataDxfId="20"/>
    <tableColumn id="5" xr3:uid="{7179D347-AC6E-46D5-9E17-629305D826B5}" name="Estoque" dataDxfId="19"/>
    <tableColumn id="6" xr3:uid="{DF0FE35E-2542-4F11-9F8A-56C84A038747}" name="Preço Unitário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7AA93-D8CF-49EF-87AF-2D1C8EB0AD72}" name="TB_Vendas" displayName="TB_Vendas" ref="A4:N86" totalsRowShown="0" headerRowDxfId="17" dataDxfId="16" headerRowBorderDxfId="14" tableBorderDxfId="15">
  <autoFilter ref="A4:N86" xr:uid="{5E17AA93-D8CF-49EF-87AF-2D1C8EB0AD72}"/>
  <tableColumns count="14">
    <tableColumn id="1" xr3:uid="{13B33C41-5052-4F8E-94A5-A640CE3BC35A}" name="Mês" dataDxfId="13"/>
    <tableColumn id="3" xr3:uid="{D6CC9310-6B10-420B-8BA1-D1D671CDECE9}" name="Código" dataDxfId="12"/>
    <tableColumn id="12" xr3:uid="{F1A68B77-7B8A-434D-ABB6-E4529CF58A62}" name="Produto" dataDxfId="11">
      <calculatedColumnFormula>VLOOKUP(TB_Vendas[[#This Row],[Código]],TB_Produtos[#All],2,FALSE)</calculatedColumnFormula>
    </tableColumn>
    <tableColumn id="13" xr3:uid="{64B37185-006A-4E04-B083-62F5EB18AC48}" name="Categoria" dataDxfId="10">
      <calculatedColumnFormula>VLOOKUP(TB_Vendas[[#This Row],[Código]],TB_Produtos[#All],4,FALSE)</calculatedColumnFormula>
    </tableColumn>
    <tableColumn id="2" xr3:uid="{A43A39A5-CDB2-4665-8012-475E8AD2518F}" name="Data" dataDxfId="9"/>
    <tableColumn id="4" xr3:uid="{C001EEA6-FCDE-474C-8EA4-DEA2EA006469}" name="Qtd" dataDxfId="8"/>
    <tableColumn id="5" xr3:uid="{231A3920-16D6-472B-87F8-7E1BCCB5FA96}" name="Preço Unitário" dataDxfId="7">
      <calculatedColumnFormula>VLOOKUP(TB_Vendas[[#This Row],[Código]],TB_Produtos[#All],6,FALSE)</calculatedColumnFormula>
    </tableColumn>
    <tableColumn id="6" xr3:uid="{7366F2D2-A7F2-4D10-9638-6BEE17AA52A1}" name="Desc." dataDxfId="6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9" xr3:uid="{0DDA0AAB-165E-442D-9B2F-170A2589D397}" name="Desc. Vendedor" dataDxfId="5">
      <calculatedColumnFormula>_xlfn.XLOOKUP(TB_Vendas[[#This Row],[Vendedor]],Vendedores!$A$4:$A$9,Vendedores!$D$4:$D$9)</calculatedColumnFormula>
    </tableColumn>
    <tableColumn id="10" xr3:uid="{B70B11E3-0335-4D54-B17F-5B9349EEFE98}" name="Desconto" dataDxfId="4">
      <calculatedColumnFormula>IF(TB_Vendas[[#This Row],[Desc.]]&gt;TB_Vendas[[#This Row],[Desc. Vendedor]],TB_Vendas[[#This Row],[Desc. Vendedor]],TB_Vendas[[#This Row],[Desc.]])</calculatedColumnFormula>
    </tableColumn>
    <tableColumn id="7" xr3:uid="{B49ED2A0-D8B4-42B2-9ADF-617D631AA07D}" name="Total" dataDxfId="3">
      <calculatedColumnFormula>(TB_Vendas[[#This Row],[Preço Unitário]]-(TB_Vendas[[#This Row],[Preço Unitário]]*TB_Vendas[[#This Row],[Desconto]]))*TB_Vendas[[#This Row],[Qtd]]</calculatedColumnFormula>
    </tableColumn>
    <tableColumn id="11" xr3:uid="{DB65C3F0-12AC-4310-97F8-796AFFDF61DB}" name="Total com Desconto" dataDxfId="2">
      <calculatedColumnFormula>TB_Vendas[[#This Row],[Total]]-(TB_Vendas[[#This Row],[Total]]*TB_Vendas[[#This Row],[Desconto]])</calculatedColumnFormula>
    </tableColumn>
    <tableColumn id="8" xr3:uid="{C1C42127-7C9E-469D-866C-F10609150028}" name="Vendedor" dataDxfId="1"/>
    <tableColumn id="14" xr3:uid="{16AF8DEF-0466-4D0C-9DD9-7B256C2B8285}" name="Nome do Vendedor" dataDxfId="0">
      <calculatedColumnFormula>VLOOKUP(TB_Vendas[[#This Row],[Vendedor]],Vendedores!$A$4:$D$9,2,FALSE)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F42BEE00-29EC-4886-97B2-3B1378C04C8C}" sourceName="Data">
  <pivotTables>
    <pivotTable tabId="9" name="TDIN_Vendas"/>
  </pivotTables>
  <state minimalRefreshVersion="6" lastRefreshVersion="6" pivotCacheId="895538430" filterType="unknown">
    <bounds startDate="2023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1" xr10:uid="{2E973885-22E1-495B-B198-48BDFEFCC4AC}" sourceName="Data">
  <pivotTables>
    <pivotTable tabId="10" name="TDIN_Vendedor"/>
  </pivotTables>
  <state minimalRefreshVersion="6" lastRefreshVersion="6" pivotCacheId="895538430" filterType="dateBetween">
    <selection startDate="2023-01-01T00:00:00" endDate="2023-01-31T00:00:00"/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4EAFFD94-BC76-4421-AB06-E412A2E35644}" cache="NativeTimeline_Data" caption="Data" level="2" selectionLevel="2" scrollPosition="2023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1" xr10:uid="{ED675F5F-8056-4C3C-9CDD-3B2085366D87}" cache="NativeTimeline_Data1" caption="Data" level="2" selectionLevel="2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16A9-A258-48A3-8353-4D361E06780B}">
  <dimension ref="A1:AN20"/>
  <sheetViews>
    <sheetView workbookViewId="0"/>
  </sheetViews>
  <sheetFormatPr defaultColWidth="3.5703125" defaultRowHeight="15"/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35"/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35"/>
      <c r="C10" s="3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5" customHeight="1">
      <c r="A11" s="1"/>
      <c r="B11" s="35"/>
      <c r="C11" s="35"/>
      <c r="D11" s="1"/>
      <c r="E11" s="38"/>
      <c r="F11" s="105" t="s">
        <v>0</v>
      </c>
      <c r="G11" s="105"/>
      <c r="H11" s="105"/>
      <c r="I11" s="105"/>
      <c r="J11" s="105"/>
      <c r="K11" s="105"/>
      <c r="L11" s="1"/>
      <c r="M11" s="1"/>
      <c r="N11" s="104" t="s">
        <v>1</v>
      </c>
      <c r="O11" s="104"/>
      <c r="P11" s="104"/>
      <c r="Q11" s="104"/>
      <c r="R11" s="104"/>
      <c r="S11" s="104"/>
      <c r="T11" s="1"/>
      <c r="U11" s="1"/>
      <c r="V11" s="105" t="s">
        <v>2</v>
      </c>
      <c r="W11" s="105"/>
      <c r="X11" s="105"/>
      <c r="Y11" s="105"/>
      <c r="Z11" s="105"/>
      <c r="AA11" s="105"/>
      <c r="AB11" s="1"/>
      <c r="AC11" s="1"/>
      <c r="AD11" s="105" t="s">
        <v>3</v>
      </c>
      <c r="AE11" s="105"/>
      <c r="AF11" s="105"/>
      <c r="AG11" s="105"/>
      <c r="AH11" s="105"/>
      <c r="AI11" s="105"/>
      <c r="AJ11" s="1"/>
      <c r="AK11" s="1"/>
      <c r="AL11" s="1"/>
      <c r="AM11" s="1"/>
      <c r="AN11" s="1"/>
    </row>
    <row r="12" spans="1:40" ht="15" customHeight="1">
      <c r="A12" s="1"/>
      <c r="B12" s="1"/>
      <c r="C12" s="1"/>
      <c r="D12" s="1"/>
      <c r="E12" s="38"/>
      <c r="F12" s="105"/>
      <c r="G12" s="105"/>
      <c r="H12" s="105"/>
      <c r="I12" s="105"/>
      <c r="J12" s="105"/>
      <c r="K12" s="105"/>
      <c r="L12" s="1"/>
      <c r="M12" s="1"/>
      <c r="N12" s="104"/>
      <c r="O12" s="104"/>
      <c r="P12" s="104"/>
      <c r="Q12" s="104"/>
      <c r="R12" s="104"/>
      <c r="S12" s="104"/>
      <c r="T12" s="1"/>
      <c r="U12" s="1"/>
      <c r="V12" s="105"/>
      <c r="W12" s="105"/>
      <c r="X12" s="105"/>
      <c r="Y12" s="105"/>
      <c r="Z12" s="105"/>
      <c r="AA12" s="105"/>
      <c r="AB12" s="1"/>
      <c r="AC12" s="1"/>
      <c r="AD12" s="105"/>
      <c r="AE12" s="105"/>
      <c r="AF12" s="105"/>
      <c r="AG12" s="105"/>
      <c r="AH12" s="105"/>
      <c r="AI12" s="105"/>
      <c r="AJ12" s="1"/>
      <c r="AK12" s="1"/>
      <c r="AL12" s="1"/>
      <c r="AM12" s="1"/>
      <c r="AN12" s="1"/>
    </row>
    <row r="13" spans="1:40" ht="15" customHeight="1">
      <c r="A13" s="1"/>
      <c r="B13" s="1"/>
      <c r="C13" s="1"/>
      <c r="D13" s="1"/>
      <c r="E13" s="38"/>
      <c r="F13" s="105"/>
      <c r="G13" s="105"/>
      <c r="H13" s="105"/>
      <c r="I13" s="105"/>
      <c r="J13" s="105"/>
      <c r="K13" s="105"/>
      <c r="L13" s="1"/>
      <c r="M13" s="1"/>
      <c r="N13" s="104"/>
      <c r="O13" s="104"/>
      <c r="P13" s="104"/>
      <c r="Q13" s="104"/>
      <c r="R13" s="104"/>
      <c r="S13" s="104"/>
      <c r="T13" s="1"/>
      <c r="U13" s="1"/>
      <c r="V13" s="105"/>
      <c r="W13" s="105"/>
      <c r="X13" s="105"/>
      <c r="Y13" s="105"/>
      <c r="Z13" s="105"/>
      <c r="AA13" s="105"/>
      <c r="AB13" s="1"/>
      <c r="AC13" s="1"/>
      <c r="AD13" s="105"/>
      <c r="AE13" s="105"/>
      <c r="AF13" s="105"/>
      <c r="AG13" s="105"/>
      <c r="AH13" s="105"/>
      <c r="AI13" s="105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</sheetData>
  <mergeCells count="4">
    <mergeCell ref="N11:S13"/>
    <mergeCell ref="V11:AA13"/>
    <mergeCell ref="AD11:AI13"/>
    <mergeCell ref="F11:K13"/>
  </mergeCells>
  <hyperlinks>
    <hyperlink ref="N11:S13" location="'Vendedores'!A1" display="Vendedores" xr:uid="{EFD451B6-8393-4667-9771-9C9D224003DC}"/>
    <hyperlink ref="V11:AA13" location="Tb_Vendas" display="Vendas" xr:uid="{16964D33-8298-4B40-B7B2-EE8869072135}"/>
    <hyperlink ref="AD11:AI13" location="'Consultas'!A1" display="Consultas" xr:uid="{7D7C477E-1A94-417A-81C1-33F8442FEA80}"/>
    <hyperlink ref="F11:K13" location="'Produtos'!A1" display="Produtos" xr:uid="{0B9AAB95-19E8-41E6-8759-F2E46419E92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081-8938-4DC7-A2C8-38EBCF180CE1}">
  <dimension ref="A1:I68"/>
  <sheetViews>
    <sheetView topLeftCell="A6" workbookViewId="0">
      <selection activeCell="C11" sqref="C11"/>
    </sheetView>
  </sheetViews>
  <sheetFormatPr defaultRowHeight="15"/>
  <cols>
    <col min="1" max="1" width="9.140625" style="7"/>
    <col min="2" max="2" width="22.42578125" style="7" customWidth="1"/>
    <col min="3" max="3" width="30.28515625" style="7" customWidth="1"/>
    <col min="4" max="4" width="17" style="7" customWidth="1"/>
    <col min="5" max="5" width="17.85546875" style="7" customWidth="1"/>
    <col min="6" max="6" width="14.85546875" style="7" customWidth="1"/>
    <col min="7" max="7" width="21.5703125" style="7" customWidth="1"/>
    <col min="8" max="8" width="11.42578125" style="7" customWidth="1"/>
    <col min="9" max="16384" width="9.140625" style="7"/>
  </cols>
  <sheetData>
    <row r="1" spans="1:9" ht="44.25" customHeight="1">
      <c r="A1" s="6" t="s">
        <v>4</v>
      </c>
      <c r="B1" s="1"/>
      <c r="C1" s="1"/>
      <c r="D1" s="42" t="s">
        <v>1</v>
      </c>
      <c r="E1" s="43" t="s">
        <v>2</v>
      </c>
      <c r="F1" s="43" t="s">
        <v>3</v>
      </c>
      <c r="G1" s="2"/>
      <c r="H1" s="39" t="s">
        <v>5</v>
      </c>
      <c r="I1" s="2"/>
    </row>
    <row r="2" spans="1:9" ht="6.75" customHeight="1"/>
    <row r="3" spans="1:9" ht="6.75" customHeight="1">
      <c r="A3" s="8"/>
      <c r="B3" s="8"/>
      <c r="C3" s="8"/>
      <c r="D3" s="8"/>
      <c r="E3" s="8"/>
      <c r="F3" s="8"/>
      <c r="G3" s="8"/>
      <c r="H3" s="8"/>
      <c r="I3" s="8"/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spans="1:9" ht="6" customHeight="1">
      <c r="A5" s="8"/>
      <c r="B5" s="8"/>
      <c r="C5" s="8"/>
      <c r="D5" s="8"/>
      <c r="E5" s="8"/>
      <c r="F5" s="8"/>
      <c r="G5" s="8"/>
      <c r="H5" s="8"/>
      <c r="I5" s="8"/>
    </row>
    <row r="6" spans="1:9" ht="18.75">
      <c r="A6" s="8"/>
      <c r="B6" s="9" t="s">
        <v>6</v>
      </c>
      <c r="C6" s="9" t="s">
        <v>0</v>
      </c>
      <c r="D6" s="9" t="s">
        <v>7</v>
      </c>
      <c r="E6" s="9" t="s">
        <v>8</v>
      </c>
      <c r="F6" s="9" t="s">
        <v>9</v>
      </c>
      <c r="G6" s="9" t="s">
        <v>10</v>
      </c>
      <c r="H6" s="8"/>
      <c r="I6" s="8"/>
    </row>
    <row r="7" spans="1:9">
      <c r="A7" s="8"/>
      <c r="B7" s="20" t="s">
        <v>11</v>
      </c>
      <c r="C7" s="19" t="s">
        <v>12</v>
      </c>
      <c r="D7" s="20" t="s">
        <v>13</v>
      </c>
      <c r="E7" s="20" t="s">
        <v>14</v>
      </c>
      <c r="F7" s="20">
        <v>48</v>
      </c>
      <c r="G7" s="34">
        <v>65.900000000000006</v>
      </c>
      <c r="H7" s="8"/>
      <c r="I7" s="8"/>
    </row>
    <row r="8" spans="1:9">
      <c r="A8" s="8"/>
      <c r="B8" s="20" t="s">
        <v>15</v>
      </c>
      <c r="C8" s="19" t="s">
        <v>12</v>
      </c>
      <c r="D8" s="20" t="s">
        <v>16</v>
      </c>
      <c r="E8" s="20" t="s">
        <v>14</v>
      </c>
      <c r="F8" s="20">
        <v>0</v>
      </c>
      <c r="G8" s="34">
        <v>69.900000000000006</v>
      </c>
      <c r="H8" s="8"/>
      <c r="I8" s="8"/>
    </row>
    <row r="9" spans="1:9">
      <c r="A9" s="8"/>
      <c r="B9" s="20" t="s">
        <v>17</v>
      </c>
      <c r="C9" s="19" t="s">
        <v>12</v>
      </c>
      <c r="D9" s="20" t="s">
        <v>18</v>
      </c>
      <c r="E9" s="20" t="s">
        <v>14</v>
      </c>
      <c r="F9" s="20">
        <v>37</v>
      </c>
      <c r="G9" s="34">
        <v>70.900000000000006</v>
      </c>
      <c r="H9" s="8"/>
      <c r="I9" s="8"/>
    </row>
    <row r="10" spans="1:9">
      <c r="A10" s="8"/>
      <c r="B10" s="20" t="s">
        <v>19</v>
      </c>
      <c r="C10" s="19" t="s">
        <v>20</v>
      </c>
      <c r="D10" s="20" t="s">
        <v>21</v>
      </c>
      <c r="E10" s="20" t="s">
        <v>22</v>
      </c>
      <c r="F10" s="20">
        <v>36</v>
      </c>
      <c r="G10" s="34">
        <v>145</v>
      </c>
      <c r="H10" s="8"/>
      <c r="I10" s="8"/>
    </row>
    <row r="11" spans="1:9">
      <c r="A11" s="8"/>
      <c r="B11" s="20" t="s">
        <v>23</v>
      </c>
      <c r="C11" s="19" t="s">
        <v>24</v>
      </c>
      <c r="D11" s="20" t="s">
        <v>21</v>
      </c>
      <c r="E11" s="20" t="s">
        <v>22</v>
      </c>
      <c r="F11" s="20">
        <v>21</v>
      </c>
      <c r="G11" s="34">
        <v>259.89999999999998</v>
      </c>
      <c r="H11" s="8"/>
      <c r="I11" s="8"/>
    </row>
    <row r="12" spans="1:9">
      <c r="A12" s="8"/>
      <c r="B12" s="20" t="s">
        <v>25</v>
      </c>
      <c r="C12" s="19" t="s">
        <v>26</v>
      </c>
      <c r="D12" s="20" t="s">
        <v>21</v>
      </c>
      <c r="E12" s="20" t="s">
        <v>22</v>
      </c>
      <c r="F12" s="20">
        <v>23</v>
      </c>
      <c r="G12" s="34">
        <v>39.9</v>
      </c>
      <c r="H12" s="8"/>
      <c r="I12" s="8"/>
    </row>
    <row r="13" spans="1:9">
      <c r="A13" s="8"/>
      <c r="B13" s="20" t="s">
        <v>27</v>
      </c>
      <c r="C13" s="19" t="s">
        <v>28</v>
      </c>
      <c r="D13" s="20" t="s">
        <v>13</v>
      </c>
      <c r="E13" s="20" t="s">
        <v>14</v>
      </c>
      <c r="F13" s="20">
        <v>24</v>
      </c>
      <c r="G13" s="34">
        <v>85.9</v>
      </c>
      <c r="H13" s="8"/>
      <c r="I13" s="8"/>
    </row>
    <row r="14" spans="1:9">
      <c r="A14" s="8"/>
      <c r="B14" s="20" t="s">
        <v>29</v>
      </c>
      <c r="C14" s="19" t="s">
        <v>28</v>
      </c>
      <c r="D14" s="20" t="s">
        <v>16</v>
      </c>
      <c r="E14" s="20" t="s">
        <v>14</v>
      </c>
      <c r="F14" s="20">
        <v>35</v>
      </c>
      <c r="G14" s="34">
        <v>89.9</v>
      </c>
      <c r="H14" s="8"/>
      <c r="I14" s="8"/>
    </row>
    <row r="15" spans="1:9">
      <c r="A15" s="8"/>
      <c r="B15" s="20" t="s">
        <v>30</v>
      </c>
      <c r="C15" s="19" t="s">
        <v>28</v>
      </c>
      <c r="D15" s="20" t="s">
        <v>18</v>
      </c>
      <c r="E15" s="20" t="s">
        <v>14</v>
      </c>
      <c r="F15" s="20">
        <v>47</v>
      </c>
      <c r="G15" s="34">
        <v>92.9</v>
      </c>
      <c r="H15" s="8"/>
      <c r="I15" s="8"/>
    </row>
    <row r="16" spans="1:9">
      <c r="A16" s="8"/>
      <c r="B16" s="20" t="s">
        <v>31</v>
      </c>
      <c r="C16" s="19" t="s">
        <v>32</v>
      </c>
      <c r="D16" s="20" t="s">
        <v>13</v>
      </c>
      <c r="E16" s="20" t="s">
        <v>14</v>
      </c>
      <c r="F16" s="20">
        <v>42</v>
      </c>
      <c r="G16" s="34">
        <v>44.9</v>
      </c>
      <c r="H16" s="8"/>
      <c r="I16" s="8"/>
    </row>
    <row r="17" spans="1:9">
      <c r="A17" s="8"/>
      <c r="B17" s="20" t="s">
        <v>33</v>
      </c>
      <c r="C17" s="19" t="s">
        <v>32</v>
      </c>
      <c r="D17" s="20" t="s">
        <v>16</v>
      </c>
      <c r="E17" s="20" t="s">
        <v>14</v>
      </c>
      <c r="F17" s="20">
        <v>32</v>
      </c>
      <c r="G17" s="34">
        <v>46.9</v>
      </c>
      <c r="H17" s="8"/>
      <c r="I17" s="8"/>
    </row>
    <row r="18" spans="1:9">
      <c r="A18" s="8"/>
      <c r="B18" s="20" t="s">
        <v>34</v>
      </c>
      <c r="C18" s="19" t="s">
        <v>32</v>
      </c>
      <c r="D18" s="20" t="s">
        <v>18</v>
      </c>
      <c r="E18" s="20" t="s">
        <v>14</v>
      </c>
      <c r="F18" s="20">
        <v>45</v>
      </c>
      <c r="G18" s="34">
        <v>48.9</v>
      </c>
      <c r="H18" s="8"/>
      <c r="I18" s="8"/>
    </row>
    <row r="19" spans="1:9">
      <c r="A19" s="8"/>
      <c r="B19" s="20" t="s">
        <v>35</v>
      </c>
      <c r="C19" s="19" t="s">
        <v>36</v>
      </c>
      <c r="D19" s="20" t="s">
        <v>13</v>
      </c>
      <c r="E19" s="20" t="s">
        <v>14</v>
      </c>
      <c r="F19" s="20">
        <v>19</v>
      </c>
      <c r="G19" s="34">
        <v>39.9</v>
      </c>
      <c r="H19" s="8"/>
      <c r="I19" s="8"/>
    </row>
    <row r="20" spans="1:9">
      <c r="A20" s="8"/>
      <c r="B20" s="20" t="s">
        <v>37</v>
      </c>
      <c r="C20" s="19" t="s">
        <v>36</v>
      </c>
      <c r="D20" s="20" t="s">
        <v>16</v>
      </c>
      <c r="E20" s="20" t="s">
        <v>14</v>
      </c>
      <c r="F20" s="20">
        <v>37</v>
      </c>
      <c r="G20" s="34">
        <v>39.9</v>
      </c>
      <c r="H20" s="8"/>
      <c r="I20" s="8"/>
    </row>
    <row r="21" spans="1:9">
      <c r="A21" s="8"/>
      <c r="B21" s="20" t="s">
        <v>38</v>
      </c>
      <c r="C21" s="19" t="s">
        <v>36</v>
      </c>
      <c r="D21" s="20" t="s">
        <v>18</v>
      </c>
      <c r="E21" s="20" t="s">
        <v>14</v>
      </c>
      <c r="F21" s="20">
        <v>16</v>
      </c>
      <c r="G21" s="34">
        <v>42.5</v>
      </c>
      <c r="H21" s="8"/>
      <c r="I21" s="8"/>
    </row>
    <row r="22" spans="1:9">
      <c r="A22" s="8"/>
      <c r="B22" s="20" t="s">
        <v>39</v>
      </c>
      <c r="C22" s="19" t="s">
        <v>40</v>
      </c>
      <c r="D22" s="20" t="s">
        <v>13</v>
      </c>
      <c r="E22" s="20" t="s">
        <v>14</v>
      </c>
      <c r="F22" s="20">
        <v>43</v>
      </c>
      <c r="G22" s="34">
        <v>25.9</v>
      </c>
      <c r="H22" s="8"/>
      <c r="I22" s="8"/>
    </row>
    <row r="23" spans="1:9">
      <c r="A23" s="8"/>
      <c r="B23" s="20" t="s">
        <v>41</v>
      </c>
      <c r="C23" s="19" t="s">
        <v>42</v>
      </c>
      <c r="D23" s="20" t="s">
        <v>16</v>
      </c>
      <c r="E23" s="20" t="s">
        <v>14</v>
      </c>
      <c r="F23" s="20">
        <v>46</v>
      </c>
      <c r="G23" s="34">
        <v>29.9</v>
      </c>
      <c r="H23" s="8"/>
      <c r="I23" s="8"/>
    </row>
    <row r="24" spans="1:9">
      <c r="A24" s="8"/>
      <c r="B24" s="20" t="s">
        <v>43</v>
      </c>
      <c r="C24" s="19" t="s">
        <v>42</v>
      </c>
      <c r="D24" s="20" t="s">
        <v>18</v>
      </c>
      <c r="E24" s="20" t="s">
        <v>14</v>
      </c>
      <c r="F24" s="20">
        <v>40</v>
      </c>
      <c r="G24" s="34">
        <v>32.9</v>
      </c>
      <c r="H24" s="8"/>
      <c r="I24" s="8"/>
    </row>
    <row r="25" spans="1:9">
      <c r="A25" s="8"/>
      <c r="B25" s="20" t="s">
        <v>44</v>
      </c>
      <c r="C25" s="19" t="s">
        <v>45</v>
      </c>
      <c r="D25" s="20" t="s">
        <v>21</v>
      </c>
      <c r="E25" s="20" t="s">
        <v>22</v>
      </c>
      <c r="F25" s="20">
        <v>2</v>
      </c>
      <c r="G25" s="34">
        <v>49.9</v>
      </c>
      <c r="H25" s="8"/>
      <c r="I25" s="8"/>
    </row>
    <row r="26" spans="1:9">
      <c r="A26" s="8"/>
      <c r="B26" s="20" t="s">
        <v>46</v>
      </c>
      <c r="C26" s="19" t="s">
        <v>47</v>
      </c>
      <c r="D26" s="20" t="s">
        <v>13</v>
      </c>
      <c r="E26" s="20" t="s">
        <v>14</v>
      </c>
      <c r="F26" s="20">
        <v>34</v>
      </c>
      <c r="G26" s="34">
        <v>299.89999999999998</v>
      </c>
      <c r="H26" s="8"/>
      <c r="I26" s="8"/>
    </row>
    <row r="27" spans="1:9">
      <c r="A27" s="8"/>
      <c r="B27" s="20" t="s">
        <v>48</v>
      </c>
      <c r="C27" s="19" t="s">
        <v>47</v>
      </c>
      <c r="D27" s="20" t="s">
        <v>16</v>
      </c>
      <c r="E27" s="20" t="s">
        <v>14</v>
      </c>
      <c r="F27" s="20">
        <v>34</v>
      </c>
      <c r="G27" s="34">
        <v>302.89999999999998</v>
      </c>
      <c r="H27" s="8"/>
      <c r="I27" s="8"/>
    </row>
    <row r="28" spans="1:9">
      <c r="A28" s="8"/>
      <c r="B28" s="20" t="s">
        <v>49</v>
      </c>
      <c r="C28" s="19" t="s">
        <v>47</v>
      </c>
      <c r="D28" s="20" t="s">
        <v>18</v>
      </c>
      <c r="E28" s="20" t="s">
        <v>14</v>
      </c>
      <c r="F28" s="20">
        <v>35</v>
      </c>
      <c r="G28" s="34">
        <v>300</v>
      </c>
      <c r="H28" s="8"/>
      <c r="I28" s="8"/>
    </row>
    <row r="29" spans="1:9">
      <c r="A29" s="8"/>
      <c r="B29" s="20" t="s">
        <v>50</v>
      </c>
      <c r="C29" s="19" t="s">
        <v>51</v>
      </c>
      <c r="D29" s="20" t="s">
        <v>13</v>
      </c>
      <c r="E29" s="20" t="s">
        <v>14</v>
      </c>
      <c r="F29" s="20">
        <v>49</v>
      </c>
      <c r="G29" s="34">
        <v>249.9</v>
      </c>
      <c r="H29" s="8"/>
      <c r="I29" s="8"/>
    </row>
    <row r="30" spans="1:9">
      <c r="A30" s="8"/>
      <c r="B30" s="20" t="s">
        <v>52</v>
      </c>
      <c r="C30" s="19" t="s">
        <v>51</v>
      </c>
      <c r="D30" s="20" t="s">
        <v>16</v>
      </c>
      <c r="E30" s="20" t="s">
        <v>14</v>
      </c>
      <c r="F30" s="20">
        <v>16</v>
      </c>
      <c r="G30" s="34">
        <v>259.89999999999998</v>
      </c>
      <c r="H30" s="8"/>
      <c r="I30" s="8"/>
    </row>
    <row r="31" spans="1:9">
      <c r="A31" s="8"/>
      <c r="B31" s="20" t="s">
        <v>53</v>
      </c>
      <c r="C31" s="19" t="s">
        <v>51</v>
      </c>
      <c r="D31" s="20" t="s">
        <v>18</v>
      </c>
      <c r="E31" s="20" t="s">
        <v>14</v>
      </c>
      <c r="F31" s="20">
        <v>41</v>
      </c>
      <c r="G31" s="34">
        <v>299.89999999999998</v>
      </c>
      <c r="H31" s="8"/>
      <c r="I31" s="8"/>
    </row>
    <row r="32" spans="1:9">
      <c r="A32" s="8"/>
      <c r="B32" s="20" t="s">
        <v>54</v>
      </c>
      <c r="C32" s="19" t="s">
        <v>55</v>
      </c>
      <c r="D32" s="20" t="s">
        <v>21</v>
      </c>
      <c r="E32" s="20" t="s">
        <v>22</v>
      </c>
      <c r="F32" s="20">
        <v>32</v>
      </c>
      <c r="G32" s="34">
        <v>349.9</v>
      </c>
      <c r="H32" s="8"/>
      <c r="I32" s="8"/>
    </row>
    <row r="33" spans="1:9">
      <c r="A33" s="8"/>
      <c r="B33" s="20" t="s">
        <v>56</v>
      </c>
      <c r="C33" s="19" t="s">
        <v>57</v>
      </c>
      <c r="D33" s="20" t="s">
        <v>21</v>
      </c>
      <c r="E33" s="20" t="s">
        <v>22</v>
      </c>
      <c r="F33" s="20">
        <v>45</v>
      </c>
      <c r="G33" s="34">
        <v>120</v>
      </c>
      <c r="H33" s="8"/>
      <c r="I33" s="8"/>
    </row>
    <row r="34" spans="1:9">
      <c r="A34" s="8"/>
      <c r="B34" s="20" t="s">
        <v>58</v>
      </c>
      <c r="C34" s="19" t="s">
        <v>59</v>
      </c>
      <c r="D34" s="20">
        <v>36</v>
      </c>
      <c r="E34" s="20" t="s">
        <v>60</v>
      </c>
      <c r="F34" s="20">
        <v>37</v>
      </c>
      <c r="G34" s="34">
        <v>249.9</v>
      </c>
      <c r="H34" s="8"/>
      <c r="I34" s="8"/>
    </row>
    <row r="35" spans="1:9">
      <c r="A35" s="8"/>
      <c r="B35" s="20" t="s">
        <v>61</v>
      </c>
      <c r="C35" s="19" t="s">
        <v>59</v>
      </c>
      <c r="D35" s="20">
        <v>37</v>
      </c>
      <c r="E35" s="20" t="s">
        <v>60</v>
      </c>
      <c r="F35" s="20">
        <v>41</v>
      </c>
      <c r="G35" s="34">
        <v>255</v>
      </c>
      <c r="H35" s="8"/>
      <c r="I35" s="8"/>
    </row>
    <row r="36" spans="1:9">
      <c r="A36" s="8"/>
      <c r="B36" s="20" t="s">
        <v>62</v>
      </c>
      <c r="C36" s="19" t="s">
        <v>59</v>
      </c>
      <c r="D36" s="20">
        <v>38</v>
      </c>
      <c r="E36" s="20" t="s">
        <v>60</v>
      </c>
      <c r="F36" s="20">
        <v>30</v>
      </c>
      <c r="G36" s="34">
        <v>259.89999999999998</v>
      </c>
      <c r="H36" s="8"/>
      <c r="I36" s="8"/>
    </row>
    <row r="37" spans="1:9">
      <c r="A37" s="8"/>
      <c r="B37" s="20" t="s">
        <v>63</v>
      </c>
      <c r="C37" s="19" t="s">
        <v>64</v>
      </c>
      <c r="D37" s="20">
        <v>36</v>
      </c>
      <c r="E37" s="20" t="s">
        <v>60</v>
      </c>
      <c r="F37" s="20">
        <v>27</v>
      </c>
      <c r="G37" s="34">
        <v>245</v>
      </c>
      <c r="H37" s="8"/>
      <c r="I37" s="8"/>
    </row>
    <row r="38" spans="1:9">
      <c r="A38" s="8"/>
      <c r="B38" s="20" t="s">
        <v>65</v>
      </c>
      <c r="C38" s="19" t="s">
        <v>64</v>
      </c>
      <c r="D38" s="20">
        <v>37</v>
      </c>
      <c r="E38" s="20" t="s">
        <v>60</v>
      </c>
      <c r="F38" s="20">
        <v>41</v>
      </c>
      <c r="G38" s="34">
        <v>250</v>
      </c>
      <c r="H38" s="8"/>
      <c r="I38" s="8"/>
    </row>
    <row r="39" spans="1:9">
      <c r="A39" s="8"/>
      <c r="B39" s="20" t="s">
        <v>66</v>
      </c>
      <c r="C39" s="19" t="s">
        <v>64</v>
      </c>
      <c r="D39" s="20">
        <v>38</v>
      </c>
      <c r="E39" s="20" t="s">
        <v>60</v>
      </c>
      <c r="F39" s="20">
        <v>43</v>
      </c>
      <c r="G39" s="34">
        <v>259.89999999999998</v>
      </c>
      <c r="H39" s="8"/>
      <c r="I39" s="8"/>
    </row>
    <row r="40" spans="1:9">
      <c r="A40" s="8"/>
      <c r="B40" s="20" t="s">
        <v>67</v>
      </c>
      <c r="C40" s="19" t="s">
        <v>68</v>
      </c>
      <c r="D40" s="20" t="s">
        <v>13</v>
      </c>
      <c r="E40" s="20" t="s">
        <v>14</v>
      </c>
      <c r="F40" s="20">
        <v>43</v>
      </c>
      <c r="G40" s="34">
        <v>89.9</v>
      </c>
      <c r="H40" s="8"/>
      <c r="I40" s="8"/>
    </row>
    <row r="41" spans="1:9">
      <c r="A41" s="8"/>
      <c r="B41" s="20" t="s">
        <v>69</v>
      </c>
      <c r="C41" s="19" t="s">
        <v>68</v>
      </c>
      <c r="D41" s="20" t="s">
        <v>16</v>
      </c>
      <c r="E41" s="20" t="s">
        <v>14</v>
      </c>
      <c r="F41" s="20">
        <v>18</v>
      </c>
      <c r="G41" s="34">
        <v>91.4</v>
      </c>
      <c r="H41" s="8"/>
      <c r="I41" s="8"/>
    </row>
    <row r="42" spans="1:9">
      <c r="A42" s="8"/>
      <c r="B42" s="20" t="s">
        <v>70</v>
      </c>
      <c r="C42" s="19" t="s">
        <v>68</v>
      </c>
      <c r="D42" s="20" t="s">
        <v>18</v>
      </c>
      <c r="E42" s="20" t="s">
        <v>14</v>
      </c>
      <c r="F42" s="20">
        <v>45</v>
      </c>
      <c r="G42" s="34">
        <v>93.5</v>
      </c>
      <c r="H42" s="8"/>
      <c r="I42" s="8"/>
    </row>
    <row r="43" spans="1:9">
      <c r="A43" s="8"/>
      <c r="B43" s="20" t="s">
        <v>71</v>
      </c>
      <c r="C43" s="19" t="s">
        <v>72</v>
      </c>
      <c r="D43" s="20" t="s">
        <v>13</v>
      </c>
      <c r="E43" s="20" t="s">
        <v>14</v>
      </c>
      <c r="F43" s="20">
        <v>34</v>
      </c>
      <c r="G43" s="34">
        <v>140</v>
      </c>
      <c r="H43" s="8"/>
      <c r="I43" s="8"/>
    </row>
    <row r="44" spans="1:9">
      <c r="A44" s="8"/>
      <c r="B44" s="20" t="s">
        <v>73</v>
      </c>
      <c r="C44" s="19" t="s">
        <v>72</v>
      </c>
      <c r="D44" s="20" t="s">
        <v>16</v>
      </c>
      <c r="E44" s="20" t="s">
        <v>14</v>
      </c>
      <c r="F44" s="20">
        <v>47</v>
      </c>
      <c r="G44" s="34">
        <v>142.9</v>
      </c>
      <c r="H44" s="8"/>
      <c r="I44" s="8"/>
    </row>
    <row r="45" spans="1:9">
      <c r="A45" s="8"/>
      <c r="B45" s="20" t="s">
        <v>74</v>
      </c>
      <c r="C45" s="19" t="s">
        <v>72</v>
      </c>
      <c r="D45" s="20" t="s">
        <v>18</v>
      </c>
      <c r="E45" s="20" t="s">
        <v>14</v>
      </c>
      <c r="F45" s="20">
        <v>50</v>
      </c>
      <c r="G45" s="34">
        <v>146</v>
      </c>
      <c r="H45" s="8"/>
      <c r="I45" s="8"/>
    </row>
    <row r="46" spans="1:9">
      <c r="A46" s="8"/>
      <c r="B46" s="20" t="s">
        <v>75</v>
      </c>
      <c r="C46" s="19" t="s">
        <v>76</v>
      </c>
      <c r="D46" s="20" t="s">
        <v>13</v>
      </c>
      <c r="E46" s="20" t="s">
        <v>14</v>
      </c>
      <c r="F46" s="20">
        <v>16</v>
      </c>
      <c r="G46" s="34">
        <v>70</v>
      </c>
      <c r="H46" s="8"/>
      <c r="I46" s="8"/>
    </row>
    <row r="47" spans="1:9">
      <c r="A47" s="8"/>
      <c r="B47" s="20" t="s">
        <v>77</v>
      </c>
      <c r="C47" s="19" t="s">
        <v>76</v>
      </c>
      <c r="D47" s="20" t="s">
        <v>16</v>
      </c>
      <c r="E47" s="20" t="s">
        <v>14</v>
      </c>
      <c r="F47" s="20">
        <v>21</v>
      </c>
      <c r="G47" s="34">
        <v>54.9</v>
      </c>
      <c r="H47" s="8"/>
      <c r="I47" s="8"/>
    </row>
    <row r="48" spans="1:9">
      <c r="A48" s="8"/>
      <c r="B48" s="20" t="s">
        <v>78</v>
      </c>
      <c r="C48" s="19" t="s">
        <v>76</v>
      </c>
      <c r="D48" s="20" t="s">
        <v>18</v>
      </c>
      <c r="E48" s="20" t="s">
        <v>14</v>
      </c>
      <c r="F48" s="20">
        <v>43</v>
      </c>
      <c r="G48" s="34">
        <v>54.9</v>
      </c>
      <c r="H48" s="8"/>
      <c r="I48" s="8"/>
    </row>
    <row r="49" spans="1:9">
      <c r="A49" s="8"/>
      <c r="B49" s="20" t="s">
        <v>79</v>
      </c>
      <c r="C49" s="19" t="s">
        <v>80</v>
      </c>
      <c r="D49" s="20" t="s">
        <v>13</v>
      </c>
      <c r="E49" s="20" t="s">
        <v>14</v>
      </c>
      <c r="F49" s="20">
        <v>43</v>
      </c>
      <c r="G49" s="34">
        <v>72.5</v>
      </c>
      <c r="H49" s="8"/>
      <c r="I49" s="8"/>
    </row>
    <row r="50" spans="1:9">
      <c r="A50" s="8"/>
      <c r="B50" s="20" t="s">
        <v>81</v>
      </c>
      <c r="C50" s="19" t="s">
        <v>80</v>
      </c>
      <c r="D50" s="20" t="s">
        <v>16</v>
      </c>
      <c r="E50" s="20" t="s">
        <v>14</v>
      </c>
      <c r="F50" s="20">
        <v>41</v>
      </c>
      <c r="G50" s="34">
        <v>72.5</v>
      </c>
      <c r="H50" s="8"/>
      <c r="I50" s="8"/>
    </row>
    <row r="51" spans="1:9">
      <c r="A51" s="8"/>
      <c r="B51" s="20" t="s">
        <v>82</v>
      </c>
      <c r="C51" s="19" t="s">
        <v>80</v>
      </c>
      <c r="D51" s="20" t="s">
        <v>18</v>
      </c>
      <c r="E51" s="20" t="s">
        <v>14</v>
      </c>
      <c r="F51" s="20">
        <v>49</v>
      </c>
      <c r="G51" s="34">
        <v>72.5</v>
      </c>
      <c r="H51" s="8"/>
      <c r="I51" s="8"/>
    </row>
    <row r="52" spans="1:9">
      <c r="A52" s="8"/>
      <c r="B52" s="20" t="s">
        <v>83</v>
      </c>
      <c r="C52" s="19" t="s">
        <v>84</v>
      </c>
      <c r="D52" s="20" t="s">
        <v>13</v>
      </c>
      <c r="E52" s="20" t="s">
        <v>14</v>
      </c>
      <c r="F52" s="20">
        <v>15</v>
      </c>
      <c r="G52" s="34">
        <v>289.89999999999998</v>
      </c>
      <c r="H52" s="8"/>
      <c r="I52" s="8"/>
    </row>
    <row r="53" spans="1:9">
      <c r="A53" s="8"/>
      <c r="B53" s="20" t="s">
        <v>85</v>
      </c>
      <c r="C53" s="19" t="s">
        <v>84</v>
      </c>
      <c r="D53" s="20" t="s">
        <v>16</v>
      </c>
      <c r="E53" s="20" t="s">
        <v>14</v>
      </c>
      <c r="F53" s="20">
        <v>34</v>
      </c>
      <c r="G53" s="34">
        <v>289.89999999999998</v>
      </c>
      <c r="H53" s="8"/>
      <c r="I53" s="8"/>
    </row>
    <row r="54" spans="1:9">
      <c r="A54" s="8"/>
      <c r="B54" s="20" t="s">
        <v>86</v>
      </c>
      <c r="C54" s="19" t="s">
        <v>84</v>
      </c>
      <c r="D54" s="20" t="s">
        <v>18</v>
      </c>
      <c r="E54" s="20" t="s">
        <v>14</v>
      </c>
      <c r="F54" s="20">
        <v>21</v>
      </c>
      <c r="G54" s="34">
        <v>289.89999999999998</v>
      </c>
      <c r="H54" s="8"/>
      <c r="I54" s="8"/>
    </row>
    <row r="55" spans="1:9">
      <c r="A55" s="8"/>
      <c r="B55" s="20" t="s">
        <v>87</v>
      </c>
      <c r="C55" s="19" t="s">
        <v>88</v>
      </c>
      <c r="D55" s="20" t="s">
        <v>13</v>
      </c>
      <c r="E55" s="20" t="s">
        <v>14</v>
      </c>
      <c r="F55" s="20">
        <v>40</v>
      </c>
      <c r="G55" s="34">
        <v>32.9</v>
      </c>
      <c r="H55" s="8"/>
      <c r="I55" s="8"/>
    </row>
    <row r="56" spans="1:9">
      <c r="A56" s="8"/>
      <c r="B56" s="20" t="s">
        <v>89</v>
      </c>
      <c r="C56" s="19" t="s">
        <v>88</v>
      </c>
      <c r="D56" s="20" t="s">
        <v>16</v>
      </c>
      <c r="E56" s="20" t="s">
        <v>14</v>
      </c>
      <c r="F56" s="20">
        <v>42</v>
      </c>
      <c r="G56" s="34">
        <v>32.9</v>
      </c>
      <c r="H56" s="8"/>
      <c r="I56" s="8"/>
    </row>
    <row r="57" spans="1:9">
      <c r="A57" s="8"/>
      <c r="B57" s="20" t="s">
        <v>90</v>
      </c>
      <c r="C57" s="19" t="s">
        <v>88</v>
      </c>
      <c r="D57" s="20" t="s">
        <v>18</v>
      </c>
      <c r="E57" s="20" t="s">
        <v>14</v>
      </c>
      <c r="F57" s="20">
        <v>48</v>
      </c>
      <c r="G57" s="34">
        <v>32.9</v>
      </c>
      <c r="H57" s="8"/>
      <c r="I57" s="8"/>
    </row>
    <row r="58" spans="1:9">
      <c r="A58" s="8"/>
      <c r="B58" s="20" t="s">
        <v>91</v>
      </c>
      <c r="C58" s="19" t="s">
        <v>92</v>
      </c>
      <c r="D58" s="20" t="s">
        <v>13</v>
      </c>
      <c r="E58" s="20" t="s">
        <v>14</v>
      </c>
      <c r="F58" s="20">
        <v>35</v>
      </c>
      <c r="G58" s="34">
        <v>49.9</v>
      </c>
      <c r="H58" s="8"/>
      <c r="I58" s="8"/>
    </row>
    <row r="59" spans="1:9">
      <c r="A59" s="8"/>
      <c r="B59" s="20" t="s">
        <v>93</v>
      </c>
      <c r="C59" s="19" t="s">
        <v>92</v>
      </c>
      <c r="D59" s="20" t="s">
        <v>16</v>
      </c>
      <c r="E59" s="20" t="s">
        <v>14</v>
      </c>
      <c r="F59" s="20">
        <v>40</v>
      </c>
      <c r="G59" s="34">
        <v>49.9</v>
      </c>
      <c r="H59" s="8"/>
      <c r="I59" s="8"/>
    </row>
    <row r="60" spans="1:9">
      <c r="A60" s="8"/>
      <c r="B60" s="20" t="s">
        <v>94</v>
      </c>
      <c r="C60" s="19" t="s">
        <v>92</v>
      </c>
      <c r="D60" s="20" t="s">
        <v>18</v>
      </c>
      <c r="E60" s="20" t="s">
        <v>14</v>
      </c>
      <c r="F60" s="20">
        <v>18</v>
      </c>
      <c r="G60" s="34">
        <v>49.9</v>
      </c>
      <c r="H60" s="8"/>
      <c r="I60" s="8"/>
    </row>
    <row r="61" spans="1:9">
      <c r="A61" s="8"/>
      <c r="B61" s="20" t="s">
        <v>95</v>
      </c>
      <c r="C61" s="19" t="s">
        <v>96</v>
      </c>
      <c r="D61" s="20">
        <v>35</v>
      </c>
      <c r="E61" s="20" t="s">
        <v>60</v>
      </c>
      <c r="F61" s="20">
        <v>48</v>
      </c>
      <c r="G61" s="34">
        <v>89.9</v>
      </c>
      <c r="H61" s="8"/>
      <c r="I61" s="8"/>
    </row>
    <row r="62" spans="1:9">
      <c r="A62" s="8"/>
      <c r="B62" s="20" t="s">
        <v>97</v>
      </c>
      <c r="C62" s="19" t="s">
        <v>96</v>
      </c>
      <c r="D62" s="20">
        <v>36</v>
      </c>
      <c r="E62" s="20" t="s">
        <v>60</v>
      </c>
      <c r="F62" s="20">
        <v>38</v>
      </c>
      <c r="G62" s="34">
        <v>89.9</v>
      </c>
      <c r="H62" s="8"/>
      <c r="I62" s="8"/>
    </row>
    <row r="63" spans="1:9">
      <c r="A63" s="8"/>
      <c r="B63" s="20" t="s">
        <v>98</v>
      </c>
      <c r="C63" s="19" t="s">
        <v>96</v>
      </c>
      <c r="D63" s="20">
        <v>37</v>
      </c>
      <c r="E63" s="20" t="s">
        <v>60</v>
      </c>
      <c r="F63" s="20">
        <v>45</v>
      </c>
      <c r="G63" s="34">
        <v>89.9</v>
      </c>
      <c r="H63" s="8"/>
      <c r="I63" s="8"/>
    </row>
    <row r="64" spans="1:9">
      <c r="A64" s="8"/>
      <c r="B64" s="20" t="s">
        <v>99</v>
      </c>
      <c r="C64" s="19" t="s">
        <v>100</v>
      </c>
      <c r="D64" s="20" t="s">
        <v>13</v>
      </c>
      <c r="E64" s="20" t="s">
        <v>14</v>
      </c>
      <c r="F64" s="20">
        <v>40</v>
      </c>
      <c r="G64" s="34">
        <v>180</v>
      </c>
      <c r="H64" s="8"/>
      <c r="I64" s="8"/>
    </row>
    <row r="65" spans="1:9">
      <c r="A65" s="8"/>
      <c r="B65" s="20" t="s">
        <v>101</v>
      </c>
      <c r="C65" s="19" t="s">
        <v>100</v>
      </c>
      <c r="D65" s="20" t="s">
        <v>16</v>
      </c>
      <c r="E65" s="20" t="s">
        <v>14</v>
      </c>
      <c r="F65" s="20">
        <v>35</v>
      </c>
      <c r="G65" s="34">
        <v>180</v>
      </c>
      <c r="H65" s="8"/>
      <c r="I65" s="8"/>
    </row>
    <row r="66" spans="1:9">
      <c r="A66" s="8"/>
      <c r="B66" s="20" t="s">
        <v>102</v>
      </c>
      <c r="C66" s="19" t="s">
        <v>100</v>
      </c>
      <c r="D66" s="20" t="s">
        <v>18</v>
      </c>
      <c r="E66" s="20" t="s">
        <v>14</v>
      </c>
      <c r="F66" s="20">
        <v>35</v>
      </c>
      <c r="G66" s="34">
        <v>180</v>
      </c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</sheetData>
  <hyperlinks>
    <hyperlink ref="H1" location="'Menu'!A1" display="Voltar" xr:uid="{BFCCE8BA-AD2E-49DB-A8C5-DF2D403E4897}"/>
    <hyperlink ref="D1" location="'Vendedores'!A1" display="Vendedores" xr:uid="{9194B386-4C8A-4C3A-9328-86B61A24E25E}"/>
    <hyperlink ref="E1" location="TB_Vendas" display="Vendas" xr:uid="{ACB0BA07-BF15-4DC4-9EBD-ADB30E97BBF9}"/>
    <hyperlink ref="F1" location="'Consultas'!A1" display="Consultas" xr:uid="{68A8896E-30C5-4AA9-B51E-8681CF9CF303}"/>
  </hyperlink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45D8-AF24-4576-AF83-24802E70EDC3}">
  <dimension ref="A1:G9"/>
  <sheetViews>
    <sheetView workbookViewId="0">
      <selection activeCell="G1" sqref="G1"/>
    </sheetView>
  </sheetViews>
  <sheetFormatPr defaultRowHeight="15"/>
  <cols>
    <col min="1" max="1" width="18.28515625" customWidth="1"/>
    <col min="2" max="2" width="17.140625" customWidth="1"/>
    <col min="3" max="3" width="17.5703125" customWidth="1"/>
    <col min="4" max="4" width="20.42578125" customWidth="1"/>
    <col min="5" max="5" width="17" customWidth="1"/>
  </cols>
  <sheetData>
    <row r="1" spans="1:7" s="1" customFormat="1" ht="43.5" customHeight="1">
      <c r="A1" s="6" t="s">
        <v>1</v>
      </c>
      <c r="C1" s="36" t="s">
        <v>0</v>
      </c>
      <c r="D1" s="36" t="s">
        <v>2</v>
      </c>
      <c r="E1" s="36" t="s">
        <v>3</v>
      </c>
      <c r="F1" s="36"/>
      <c r="G1" s="39" t="s">
        <v>5</v>
      </c>
    </row>
    <row r="2" spans="1:7" s="7" customFormat="1" ht="6.75" customHeight="1"/>
    <row r="3" spans="1:7" ht="7.5" customHeight="1"/>
    <row r="4" spans="1:7" ht="21.75">
      <c r="A4" s="14" t="s">
        <v>6</v>
      </c>
      <c r="B4" s="10" t="s">
        <v>103</v>
      </c>
      <c r="C4" s="10" t="s">
        <v>104</v>
      </c>
      <c r="D4" s="11" t="s">
        <v>105</v>
      </c>
    </row>
    <row r="5" spans="1:7" ht="18.75">
      <c r="A5" s="12" t="s">
        <v>106</v>
      </c>
      <c r="B5" s="15" t="s">
        <v>107</v>
      </c>
      <c r="C5" s="15" t="s">
        <v>108</v>
      </c>
      <c r="D5" s="16">
        <v>0.2</v>
      </c>
    </row>
    <row r="6" spans="1:7" ht="18.75">
      <c r="A6" s="12" t="s">
        <v>109</v>
      </c>
      <c r="B6" s="15" t="s">
        <v>110</v>
      </c>
      <c r="C6" s="15" t="s">
        <v>111</v>
      </c>
      <c r="D6" s="16">
        <v>0.25</v>
      </c>
    </row>
    <row r="7" spans="1:7" ht="18.75">
      <c r="A7" s="12" t="s">
        <v>112</v>
      </c>
      <c r="B7" s="15" t="s">
        <v>113</v>
      </c>
      <c r="C7" s="15" t="s">
        <v>114</v>
      </c>
      <c r="D7" s="16">
        <v>0.1</v>
      </c>
    </row>
    <row r="8" spans="1:7" ht="18.75">
      <c r="A8" s="12" t="s">
        <v>115</v>
      </c>
      <c r="B8" s="15" t="s">
        <v>116</v>
      </c>
      <c r="C8" s="15" t="s">
        <v>117</v>
      </c>
      <c r="D8" s="16">
        <v>0.2</v>
      </c>
    </row>
    <row r="9" spans="1:7" ht="18.75">
      <c r="A9" s="13" t="s">
        <v>118</v>
      </c>
      <c r="B9" s="17" t="s">
        <v>119</v>
      </c>
      <c r="C9" s="17" t="s">
        <v>120</v>
      </c>
      <c r="D9" s="18">
        <v>0.15</v>
      </c>
    </row>
  </sheetData>
  <hyperlinks>
    <hyperlink ref="G1" location="'Menu'!A1" display="Voltar" xr:uid="{8B263F3E-0683-4832-8287-9E74955EF3F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D619-901D-40A2-BF76-88DB354BE944}">
  <dimension ref="A1:N97"/>
  <sheetViews>
    <sheetView topLeftCell="A4" workbookViewId="0">
      <selection activeCell="C13" sqref="C13"/>
    </sheetView>
  </sheetViews>
  <sheetFormatPr defaultRowHeight="15"/>
  <cols>
    <col min="1" max="1" width="12.28515625" customWidth="1"/>
    <col min="2" max="2" width="21.28515625" bestFit="1" customWidth="1"/>
    <col min="3" max="3" width="30.140625" bestFit="1" customWidth="1"/>
    <col min="4" max="4" width="21.28515625" customWidth="1"/>
    <col min="5" max="5" width="23.42578125" bestFit="1" customWidth="1"/>
    <col min="6" max="6" width="13.28515625" customWidth="1"/>
    <col min="7" max="7" width="29.7109375" style="76" bestFit="1" customWidth="1"/>
    <col min="8" max="8" width="13.7109375" style="77" hidden="1" customWidth="1"/>
    <col min="9" max="9" width="32.42578125" style="77" hidden="1" customWidth="1"/>
    <col min="10" max="10" width="21.140625" style="77" bestFit="1" customWidth="1"/>
    <col min="11" max="11" width="15" bestFit="1" customWidth="1"/>
    <col min="12" max="12" width="28.7109375" customWidth="1"/>
    <col min="13" max="13" width="21.7109375" bestFit="1" customWidth="1"/>
    <col min="14" max="14" width="20.7109375" customWidth="1"/>
  </cols>
  <sheetData>
    <row r="1" spans="1:14" s="1" customFormat="1" ht="42.75" customHeight="1">
      <c r="A1" s="6" t="s">
        <v>2</v>
      </c>
      <c r="F1" s="36" t="s">
        <v>0</v>
      </c>
      <c r="G1" s="72" t="s">
        <v>1</v>
      </c>
      <c r="H1" s="73"/>
      <c r="I1" s="73"/>
      <c r="J1" s="73" t="s">
        <v>3</v>
      </c>
      <c r="K1" s="36"/>
      <c r="L1" s="36"/>
      <c r="M1" s="44" t="s">
        <v>5</v>
      </c>
    </row>
    <row r="2" spans="1:14" s="7" customFormat="1" ht="6" customHeight="1">
      <c r="G2" s="74"/>
      <c r="H2" s="75"/>
      <c r="I2" s="75"/>
      <c r="J2" s="75"/>
    </row>
    <row r="3" spans="1:14" ht="6.75" customHeight="1"/>
    <row r="4" spans="1:14" s="62" customFormat="1" ht="48.75" customHeight="1">
      <c r="A4" s="88" t="s">
        <v>121</v>
      </c>
      <c r="B4" s="88" t="s">
        <v>6</v>
      </c>
      <c r="C4" s="88" t="s">
        <v>122</v>
      </c>
      <c r="D4" s="88" t="s">
        <v>8</v>
      </c>
      <c r="E4" s="88" t="s">
        <v>123</v>
      </c>
      <c r="F4" s="88" t="s">
        <v>124</v>
      </c>
      <c r="G4" s="89" t="s">
        <v>10</v>
      </c>
      <c r="H4" s="90" t="s">
        <v>125</v>
      </c>
      <c r="I4" s="90" t="s">
        <v>126</v>
      </c>
      <c r="J4" s="90" t="s">
        <v>127</v>
      </c>
      <c r="K4" s="91" t="s">
        <v>128</v>
      </c>
      <c r="L4" s="92" t="s">
        <v>129</v>
      </c>
      <c r="M4" s="88" t="s">
        <v>103</v>
      </c>
      <c r="N4" s="89" t="s">
        <v>130</v>
      </c>
    </row>
    <row r="5" spans="1:14" s="62" customFormat="1" ht="26.25">
      <c r="A5" s="63" t="s">
        <v>131</v>
      </c>
      <c r="B5" s="64" t="s">
        <v>25</v>
      </c>
      <c r="C5" s="71" t="str">
        <f>VLOOKUP(TB_Vendas[[#This Row],[Código]],TB_Produtos[#All],2,FALSE)</f>
        <v>Boné</v>
      </c>
      <c r="D5" s="71" t="str">
        <f>VLOOKUP(TB_Vendas[[#This Row],[Código]],TB_Produtos[#All],4,FALSE)</f>
        <v>Acessórios</v>
      </c>
      <c r="E5" s="65">
        <v>44931</v>
      </c>
      <c r="F5" s="64">
        <v>1</v>
      </c>
      <c r="G5" s="78">
        <f>VLOOKUP(TB_Vendas[[#This Row],[Código]],TB_Produtos[#All],6,FALSE)</f>
        <v>39.9</v>
      </c>
      <c r="H5" s="79" cm="1">
        <f t="array" ref="H5">INDEX(Desc_TabelaToda,MATCH(TB_Vendas[[#This Row],[Qtd]],Desc_Quantidades,1),MATCH(_xlfn.XLOOKUP(TB_Vendas[[#This Row],[Código]],TB_Produtos[[#All],[Código]],TB_Produtos[[#All],[Categoria]]),Desc_Categorias,0))</f>
        <v>0</v>
      </c>
      <c r="I5" s="79">
        <f>_xlfn.XLOOKUP(TB_Vendas[[#This Row],[Vendedor]],Vendedores!$A$4:$A$9,Vendedores!$D$4:$D$9)</f>
        <v>0.25</v>
      </c>
      <c r="J5" s="79">
        <f>IF(TB_Vendas[[#This Row],[Desc.]]&gt;TB_Vendas[[#This Row],[Desc. Vendedor]],TB_Vendas[[#This Row],[Desc. Vendedor]],TB_Vendas[[#This Row],[Desc.]])</f>
        <v>0</v>
      </c>
      <c r="K5" s="66">
        <f>(TB_Vendas[[#This Row],[Preço Unitário]]-(TB_Vendas[[#This Row],[Preço Unitário]]*TB_Vendas[[#This Row],[Desconto]]))*TB_Vendas[[#This Row],[Qtd]]</f>
        <v>39.9</v>
      </c>
      <c r="L5" s="66">
        <f>TB_Vendas[[#This Row],[Total]]-(TB_Vendas[[#This Row],[Total]]*TB_Vendas[[#This Row],[Desconto]])</f>
        <v>39.9</v>
      </c>
      <c r="M5" s="64" t="s">
        <v>109</v>
      </c>
      <c r="N5" s="93" t="str">
        <f>VLOOKUP(TB_Vendas[[#This Row],[Vendedor]],Vendedores!$A$4:$D$9,2,FALSE)</f>
        <v>Sarah</v>
      </c>
    </row>
    <row r="6" spans="1:14" s="62" customFormat="1" ht="26.25">
      <c r="A6" s="81" t="s">
        <v>131</v>
      </c>
      <c r="B6" s="82" t="s">
        <v>23</v>
      </c>
      <c r="C6" s="83" t="str">
        <f>VLOOKUP(TB_Vendas[[#This Row],[Código]],TB_Produtos[#All],2,FALSE)</f>
        <v>Bolsa de couro</v>
      </c>
      <c r="D6" s="83" t="str">
        <f>VLOOKUP(TB_Vendas[[#This Row],[Código]],TB_Produtos[#All],4,FALSE)</f>
        <v>Acessórios</v>
      </c>
      <c r="E6" s="84">
        <v>44932</v>
      </c>
      <c r="F6" s="82">
        <v>1</v>
      </c>
      <c r="G6" s="85">
        <f>VLOOKUP(TB_Vendas[[#This Row],[Código]],TB_Produtos[#All],6,FALSE)</f>
        <v>259.89999999999998</v>
      </c>
      <c r="H6" s="86" cm="1">
        <f t="array" ref="H6">INDEX(Desc_TabelaToda,MATCH(TB_Vendas[[#This Row],[Qtd]],Desc_Quantidades,1),MATCH(_xlfn.XLOOKUP(TB_Vendas[[#This Row],[Código]],TB_Produtos[[#All],[Código]],TB_Produtos[[#All],[Categoria]]),Desc_Categorias,0))</f>
        <v>0</v>
      </c>
      <c r="I6" s="86">
        <f>_xlfn.XLOOKUP(TB_Vendas[[#This Row],[Vendedor]],Vendedores!$A$4:$A$9,Vendedores!$D$4:$D$9)</f>
        <v>0.25</v>
      </c>
      <c r="J6" s="86">
        <f>IF(TB_Vendas[[#This Row],[Desc.]]&gt;TB_Vendas[[#This Row],[Desc. Vendedor]],TB_Vendas[[#This Row],[Desc. Vendedor]],TB_Vendas[[#This Row],[Desc.]])</f>
        <v>0</v>
      </c>
      <c r="K6" s="87">
        <f>(TB_Vendas[[#This Row],[Preço Unitário]]-(TB_Vendas[[#This Row],[Preço Unitário]]*TB_Vendas[[#This Row],[Desconto]]))*TB_Vendas[[#This Row],[Qtd]]</f>
        <v>259.89999999999998</v>
      </c>
      <c r="L6" s="87">
        <f>TB_Vendas[[#This Row],[Total]]-(TB_Vendas[[#This Row],[Total]]*TB_Vendas[[#This Row],[Desconto]])</f>
        <v>259.89999999999998</v>
      </c>
      <c r="M6" s="82" t="s">
        <v>109</v>
      </c>
      <c r="N6" s="94" t="str">
        <f>VLOOKUP(TB_Vendas[[#This Row],[Vendedor]],Vendedores!$A$4:$D$9,2,FALSE)</f>
        <v>Sarah</v>
      </c>
    </row>
    <row r="7" spans="1:14" s="62" customFormat="1" ht="26.25">
      <c r="A7" s="81" t="s">
        <v>131</v>
      </c>
      <c r="B7" s="82" t="s">
        <v>90</v>
      </c>
      <c r="C7" s="83" t="str">
        <f>VLOOKUP(TB_Vendas[[#This Row],[Código]],TB_Produtos[#All],2,FALSE)</f>
        <v>Camiseta Listrada</v>
      </c>
      <c r="D7" s="83" t="str">
        <f>VLOOKUP(TB_Vendas[[#This Row],[Código]],TB_Produtos[#All],4,FALSE)</f>
        <v>Vestuário</v>
      </c>
      <c r="E7" s="84">
        <v>44933</v>
      </c>
      <c r="F7" s="82">
        <v>2</v>
      </c>
      <c r="G7" s="85">
        <f>VLOOKUP(TB_Vendas[[#This Row],[Código]],TB_Produtos[#All],6,FALSE)</f>
        <v>32.9</v>
      </c>
      <c r="H7" s="86" cm="1">
        <f t="array" ref="H7">INDEX(Desc_TabelaToda,MATCH(TB_Vendas[[#This Row],[Qtd]],Desc_Quantidades,1),MATCH(_xlfn.XLOOKUP(TB_Vendas[[#This Row],[Código]],TB_Produtos[[#All],[Código]],TB_Produtos[[#All],[Categoria]]),Desc_Categorias,0))</f>
        <v>0.15</v>
      </c>
      <c r="I7" s="86">
        <f>_xlfn.XLOOKUP(TB_Vendas[[#This Row],[Vendedor]],Vendedores!$A$4:$A$9,Vendedores!$D$4:$D$9)</f>
        <v>0.2</v>
      </c>
      <c r="J7" s="86">
        <f>IF(TB_Vendas[[#This Row],[Desc.]]&gt;TB_Vendas[[#This Row],[Desc. Vendedor]],TB_Vendas[[#This Row],[Desc. Vendedor]],TB_Vendas[[#This Row],[Desc.]])</f>
        <v>0.15</v>
      </c>
      <c r="K7" s="87">
        <f>(TB_Vendas[[#This Row],[Preço Unitário]]-(TB_Vendas[[#This Row],[Preço Unitário]]*TB_Vendas[[#This Row],[Desconto]]))*TB_Vendas[[#This Row],[Qtd]]</f>
        <v>55.93</v>
      </c>
      <c r="L7" s="87">
        <f>TB_Vendas[[#This Row],[Total]]-(TB_Vendas[[#This Row],[Total]]*TB_Vendas[[#This Row],[Desconto]])</f>
        <v>47.540500000000002</v>
      </c>
      <c r="M7" s="82" t="s">
        <v>106</v>
      </c>
      <c r="N7" s="94" t="str">
        <f>VLOOKUP(TB_Vendas[[#This Row],[Vendedor]],Vendedores!$A$4:$D$9,2,FALSE)</f>
        <v>João</v>
      </c>
    </row>
    <row r="8" spans="1:14" s="62" customFormat="1" ht="26.25">
      <c r="A8" s="81" t="s">
        <v>131</v>
      </c>
      <c r="B8" s="82" t="s">
        <v>33</v>
      </c>
      <c r="C8" s="83" t="str">
        <f>VLOOKUP(TB_Vendas[[#This Row],[Código]],TB_Produtos[#All],2,FALSE)</f>
        <v>Calça legging</v>
      </c>
      <c r="D8" s="83" t="str">
        <f>VLOOKUP(TB_Vendas[[#This Row],[Código]],TB_Produtos[#All],4,FALSE)</f>
        <v>Vestuário</v>
      </c>
      <c r="E8" s="84">
        <v>44938</v>
      </c>
      <c r="F8" s="82">
        <v>1</v>
      </c>
      <c r="G8" s="85">
        <f>VLOOKUP(TB_Vendas[[#This Row],[Código]],TB_Produtos[#All],6,FALSE)</f>
        <v>46.9</v>
      </c>
      <c r="H8" s="86" cm="1">
        <f t="array" ref="H8">INDEX(Desc_TabelaToda,MATCH(TB_Vendas[[#This Row],[Qtd]],Desc_Quantidades,1),MATCH(_xlfn.XLOOKUP(TB_Vendas[[#This Row],[Código]],TB_Produtos[[#All],[Código]],TB_Produtos[[#All],[Categoria]]),Desc_Categorias,0))</f>
        <v>0.1</v>
      </c>
      <c r="I8" s="86">
        <f>_xlfn.XLOOKUP(TB_Vendas[[#This Row],[Vendedor]],Vendedores!$A$4:$A$9,Vendedores!$D$4:$D$9)</f>
        <v>0.15</v>
      </c>
      <c r="J8" s="86">
        <f>IF(TB_Vendas[[#This Row],[Desc.]]&gt;TB_Vendas[[#This Row],[Desc. Vendedor]],TB_Vendas[[#This Row],[Desc. Vendedor]],TB_Vendas[[#This Row],[Desc.]])</f>
        <v>0.1</v>
      </c>
      <c r="K8" s="87">
        <f>(TB_Vendas[[#This Row],[Preço Unitário]]-(TB_Vendas[[#This Row],[Preço Unitário]]*TB_Vendas[[#This Row],[Desconto]]))*TB_Vendas[[#This Row],[Qtd]]</f>
        <v>42.21</v>
      </c>
      <c r="L8" s="87">
        <f>TB_Vendas[[#This Row],[Total]]-(TB_Vendas[[#This Row],[Total]]*TB_Vendas[[#This Row],[Desconto]])</f>
        <v>37.989000000000004</v>
      </c>
      <c r="M8" s="82" t="s">
        <v>118</v>
      </c>
      <c r="N8" s="94" t="str">
        <f>VLOOKUP(TB_Vendas[[#This Row],[Vendedor]],Vendedores!$A$4:$D$9,2,FALSE)</f>
        <v>Bruno</v>
      </c>
    </row>
    <row r="9" spans="1:14" s="62" customFormat="1" ht="26.25">
      <c r="A9" s="81" t="s">
        <v>131</v>
      </c>
      <c r="B9" s="82" t="s">
        <v>41</v>
      </c>
      <c r="C9" s="83" t="str">
        <f>VLOOKUP(TB_Vendas[[#This Row],[Código]],TB_Produtos[#All],2,FALSE)</f>
        <v xml:space="preserve">Camiseta Lisa </v>
      </c>
      <c r="D9" s="83" t="str">
        <f>VLOOKUP(TB_Vendas[[#This Row],[Código]],TB_Produtos[#All],4,FALSE)</f>
        <v>Vestuário</v>
      </c>
      <c r="E9" s="84">
        <v>44939</v>
      </c>
      <c r="F9" s="82">
        <v>1</v>
      </c>
      <c r="G9" s="85">
        <f>VLOOKUP(TB_Vendas[[#This Row],[Código]],TB_Produtos[#All],6,FALSE)</f>
        <v>29.9</v>
      </c>
      <c r="H9" s="86" cm="1">
        <f t="array" ref="H9">INDEX(Desc_TabelaToda,MATCH(TB_Vendas[[#This Row],[Qtd]],Desc_Quantidades,1),MATCH(_xlfn.XLOOKUP(TB_Vendas[[#This Row],[Código]],TB_Produtos[[#All],[Código]],TB_Produtos[[#All],[Categoria]]),Desc_Categorias,0))</f>
        <v>0.1</v>
      </c>
      <c r="I9" s="86">
        <f>_xlfn.XLOOKUP(TB_Vendas[[#This Row],[Vendedor]],Vendedores!$A$4:$A$9,Vendedores!$D$4:$D$9)</f>
        <v>0.25</v>
      </c>
      <c r="J9" s="86">
        <f>IF(TB_Vendas[[#This Row],[Desc.]]&gt;TB_Vendas[[#This Row],[Desc. Vendedor]],TB_Vendas[[#This Row],[Desc. Vendedor]],TB_Vendas[[#This Row],[Desc.]])</f>
        <v>0.1</v>
      </c>
      <c r="K9" s="87">
        <f>(TB_Vendas[[#This Row],[Preço Unitário]]-(TB_Vendas[[#This Row],[Preço Unitário]]*TB_Vendas[[#This Row],[Desconto]]))*TB_Vendas[[#This Row],[Qtd]]</f>
        <v>26.909999999999997</v>
      </c>
      <c r="L9" s="87">
        <f>TB_Vendas[[#This Row],[Total]]-(TB_Vendas[[#This Row],[Total]]*TB_Vendas[[#This Row],[Desconto]])</f>
        <v>24.218999999999998</v>
      </c>
      <c r="M9" s="82" t="s">
        <v>109</v>
      </c>
      <c r="N9" s="94" t="str">
        <f>VLOOKUP(TB_Vendas[[#This Row],[Vendedor]],Vendedores!$A$4:$D$9,2,FALSE)</f>
        <v>Sarah</v>
      </c>
    </row>
    <row r="10" spans="1:14" s="62" customFormat="1" ht="26.25">
      <c r="A10" s="81" t="s">
        <v>131</v>
      </c>
      <c r="B10" s="82" t="s">
        <v>53</v>
      </c>
      <c r="C10" s="83" t="str">
        <f>VLOOKUP(TB_Vendas[[#This Row],[Código]],TB_Produtos[#All],2,FALSE)</f>
        <v>Jaqueta jeans</v>
      </c>
      <c r="D10" s="83" t="str">
        <f>VLOOKUP(TB_Vendas[[#This Row],[Código]],TB_Produtos[#All],4,FALSE)</f>
        <v>Vestuário</v>
      </c>
      <c r="E10" s="84">
        <v>44943</v>
      </c>
      <c r="F10" s="82">
        <v>1</v>
      </c>
      <c r="G10" s="85">
        <f>VLOOKUP(TB_Vendas[[#This Row],[Código]],TB_Produtos[#All],6,FALSE)</f>
        <v>299.89999999999998</v>
      </c>
      <c r="H10" s="86" cm="1">
        <f t="array" ref="H10">INDEX(Desc_TabelaToda,MATCH(TB_Vendas[[#This Row],[Qtd]],Desc_Quantidades,1),MATCH(_xlfn.XLOOKUP(TB_Vendas[[#This Row],[Código]],TB_Produtos[[#All],[Código]],TB_Produtos[[#All],[Categoria]]),Desc_Categorias,0))</f>
        <v>0.1</v>
      </c>
      <c r="I10" s="86">
        <f>_xlfn.XLOOKUP(TB_Vendas[[#This Row],[Vendedor]],Vendedores!$A$4:$A$9,Vendedores!$D$4:$D$9)</f>
        <v>0.15</v>
      </c>
      <c r="J10" s="86">
        <f>IF(TB_Vendas[[#This Row],[Desc.]]&gt;TB_Vendas[[#This Row],[Desc. Vendedor]],TB_Vendas[[#This Row],[Desc. Vendedor]],TB_Vendas[[#This Row],[Desc.]])</f>
        <v>0.1</v>
      </c>
      <c r="K10" s="87">
        <f>(TB_Vendas[[#This Row],[Preço Unitário]]-(TB_Vendas[[#This Row],[Preço Unitário]]*TB_Vendas[[#This Row],[Desconto]]))*TB_Vendas[[#This Row],[Qtd]]</f>
        <v>269.90999999999997</v>
      </c>
      <c r="L10" s="87">
        <f>TB_Vendas[[#This Row],[Total]]-(TB_Vendas[[#This Row],[Total]]*TB_Vendas[[#This Row],[Desconto]])</f>
        <v>242.91899999999998</v>
      </c>
      <c r="M10" s="82" t="s">
        <v>118</v>
      </c>
      <c r="N10" s="94" t="str">
        <f>VLOOKUP(TB_Vendas[[#This Row],[Vendedor]],Vendedores!$A$4:$D$9,2,FALSE)</f>
        <v>Bruno</v>
      </c>
    </row>
    <row r="11" spans="1:14" s="62" customFormat="1" ht="26.25">
      <c r="A11" s="81" t="s">
        <v>131</v>
      </c>
      <c r="B11" s="82" t="s">
        <v>74</v>
      </c>
      <c r="C11" s="83" t="str">
        <f>VLOOKUP(TB_Vendas[[#This Row],[Código]],TB_Produtos[#All],2,FALSE)</f>
        <v>Vestido longo</v>
      </c>
      <c r="D11" s="83" t="str">
        <f>VLOOKUP(TB_Vendas[[#This Row],[Código]],TB_Produtos[#All],4,FALSE)</f>
        <v>Vestuário</v>
      </c>
      <c r="E11" s="84">
        <v>44949</v>
      </c>
      <c r="F11" s="82">
        <v>1</v>
      </c>
      <c r="G11" s="85">
        <f>VLOOKUP(TB_Vendas[[#This Row],[Código]],TB_Produtos[#All],6,FALSE)</f>
        <v>146</v>
      </c>
      <c r="H11" s="86" cm="1">
        <f t="array" ref="H11">INDEX(Desc_TabelaToda,MATCH(TB_Vendas[[#This Row],[Qtd]],Desc_Quantidades,1),MATCH(_xlfn.XLOOKUP(TB_Vendas[[#This Row],[Código]],TB_Produtos[[#All],[Código]],TB_Produtos[[#All],[Categoria]]),Desc_Categorias,0))</f>
        <v>0.1</v>
      </c>
      <c r="I11" s="86">
        <f>_xlfn.XLOOKUP(TB_Vendas[[#This Row],[Vendedor]],Vendedores!$A$4:$A$9,Vendedores!$D$4:$D$9)</f>
        <v>0.1</v>
      </c>
      <c r="J11" s="86">
        <f>IF(TB_Vendas[[#This Row],[Desc.]]&gt;TB_Vendas[[#This Row],[Desc. Vendedor]],TB_Vendas[[#This Row],[Desc. Vendedor]],TB_Vendas[[#This Row],[Desc.]])</f>
        <v>0.1</v>
      </c>
      <c r="K11" s="87">
        <f>(TB_Vendas[[#This Row],[Preço Unitário]]-(TB_Vendas[[#This Row],[Preço Unitário]]*TB_Vendas[[#This Row],[Desconto]]))*TB_Vendas[[#This Row],[Qtd]]</f>
        <v>131.4</v>
      </c>
      <c r="L11" s="87">
        <f>TB_Vendas[[#This Row],[Total]]-(TB_Vendas[[#This Row],[Total]]*TB_Vendas[[#This Row],[Desconto]])</f>
        <v>118.26</v>
      </c>
      <c r="M11" s="82" t="s">
        <v>112</v>
      </c>
      <c r="N11" s="94" t="str">
        <f>VLOOKUP(TB_Vendas[[#This Row],[Vendedor]],Vendedores!$A$4:$D$9,2,FALSE)</f>
        <v>Clara</v>
      </c>
    </row>
    <row r="12" spans="1:14" s="62" customFormat="1" ht="26.25">
      <c r="A12" s="81" t="s">
        <v>131</v>
      </c>
      <c r="B12" s="82" t="s">
        <v>67</v>
      </c>
      <c r="C12" s="83" t="str">
        <f>VLOOKUP(TB_Vendas[[#This Row],[Código]],TB_Produtos[#All],2,FALSE)</f>
        <v>Vestido curto</v>
      </c>
      <c r="D12" s="83" t="str">
        <f>VLOOKUP(TB_Vendas[[#This Row],[Código]],TB_Produtos[#All],4,FALSE)</f>
        <v>Vestuário</v>
      </c>
      <c r="E12" s="84">
        <v>44952</v>
      </c>
      <c r="F12" s="82">
        <v>2</v>
      </c>
      <c r="G12" s="85">
        <f>VLOOKUP(TB_Vendas[[#This Row],[Código]],TB_Produtos[#All],6,FALSE)</f>
        <v>89.9</v>
      </c>
      <c r="H12" s="86" cm="1">
        <f t="array" ref="H12">INDEX(Desc_TabelaToda,MATCH(TB_Vendas[[#This Row],[Qtd]],Desc_Quantidades,1),MATCH(_xlfn.XLOOKUP(TB_Vendas[[#This Row],[Código]],TB_Produtos[[#All],[Código]],TB_Produtos[[#All],[Categoria]]),Desc_Categorias,0))</f>
        <v>0.15</v>
      </c>
      <c r="I12" s="86">
        <f>_xlfn.XLOOKUP(TB_Vendas[[#This Row],[Vendedor]],Vendedores!$A$4:$A$9,Vendedores!$D$4:$D$9)</f>
        <v>0.1</v>
      </c>
      <c r="J12" s="86">
        <f>IF(TB_Vendas[[#This Row],[Desc.]]&gt;TB_Vendas[[#This Row],[Desc. Vendedor]],TB_Vendas[[#This Row],[Desc. Vendedor]],TB_Vendas[[#This Row],[Desc.]])</f>
        <v>0.1</v>
      </c>
      <c r="K12" s="87">
        <f>(TB_Vendas[[#This Row],[Preço Unitário]]-(TB_Vendas[[#This Row],[Preço Unitário]]*TB_Vendas[[#This Row],[Desconto]]))*TB_Vendas[[#This Row],[Qtd]]</f>
        <v>161.82000000000002</v>
      </c>
      <c r="L12" s="87">
        <f>TB_Vendas[[#This Row],[Total]]-(TB_Vendas[[#This Row],[Total]]*TB_Vendas[[#This Row],[Desconto]])</f>
        <v>145.63800000000003</v>
      </c>
      <c r="M12" s="82" t="s">
        <v>112</v>
      </c>
      <c r="N12" s="94" t="str">
        <f>VLOOKUP(TB_Vendas[[#This Row],[Vendedor]],Vendedores!$A$4:$D$9,2,FALSE)</f>
        <v>Clara</v>
      </c>
    </row>
    <row r="13" spans="1:14" s="62" customFormat="1" ht="26.25">
      <c r="A13" s="81" t="s">
        <v>131</v>
      </c>
      <c r="B13" s="82" t="s">
        <v>65</v>
      </c>
      <c r="C13" s="83" t="str">
        <f>VLOOKUP(TB_Vendas[[#This Row],[Código]],TB_Produtos[#All],2,FALSE)</f>
        <v>Tênis Chunky</v>
      </c>
      <c r="D13" s="83" t="str">
        <f>VLOOKUP(TB_Vendas[[#This Row],[Código]],TB_Produtos[#All],4,FALSE)</f>
        <v>Calçado</v>
      </c>
      <c r="E13" s="84">
        <v>44954</v>
      </c>
      <c r="F13" s="82">
        <v>2</v>
      </c>
      <c r="G13" s="85">
        <f>VLOOKUP(TB_Vendas[[#This Row],[Código]],TB_Produtos[#All],6,FALSE)</f>
        <v>250</v>
      </c>
      <c r="H13" s="86" cm="1">
        <f t="array" ref="H13">INDEX(Desc_TabelaToda,MATCH(TB_Vendas[[#This Row],[Qtd]],Desc_Quantidades,1),MATCH(_xlfn.XLOOKUP(TB_Vendas[[#This Row],[Código]],TB_Produtos[[#All],[Código]],TB_Produtos[[#All],[Categoria]]),Desc_Categorias,0))</f>
        <v>0.1</v>
      </c>
      <c r="I13" s="86">
        <f>_xlfn.XLOOKUP(TB_Vendas[[#This Row],[Vendedor]],Vendedores!$A$4:$A$9,Vendedores!$D$4:$D$9)</f>
        <v>0.25</v>
      </c>
      <c r="J13" s="86">
        <f>IF(TB_Vendas[[#This Row],[Desc.]]&gt;TB_Vendas[[#This Row],[Desc. Vendedor]],TB_Vendas[[#This Row],[Desc. Vendedor]],TB_Vendas[[#This Row],[Desc.]])</f>
        <v>0.1</v>
      </c>
      <c r="K13" s="87">
        <f>(TB_Vendas[[#This Row],[Preço Unitário]]-(TB_Vendas[[#This Row],[Preço Unitário]]*TB_Vendas[[#This Row],[Desconto]]))*TB_Vendas[[#This Row],[Qtd]]</f>
        <v>450</v>
      </c>
      <c r="L13" s="87">
        <f>TB_Vendas[[#This Row],[Total]]-(TB_Vendas[[#This Row],[Total]]*TB_Vendas[[#This Row],[Desconto]])</f>
        <v>405</v>
      </c>
      <c r="M13" s="82" t="s">
        <v>109</v>
      </c>
      <c r="N13" s="94" t="str">
        <f>VLOOKUP(TB_Vendas[[#This Row],[Vendedor]],Vendedores!$A$4:$D$9,2,FALSE)</f>
        <v>Sarah</v>
      </c>
    </row>
    <row r="14" spans="1:14" s="62" customFormat="1" ht="26.25">
      <c r="A14" s="81" t="s">
        <v>131</v>
      </c>
      <c r="B14" s="82" t="s">
        <v>35</v>
      </c>
      <c r="C14" s="83" t="str">
        <f>VLOOKUP(TB_Vendas[[#This Row],[Código]],TB_Produtos[#All],2,FALSE)</f>
        <v>Camiseta Estampada</v>
      </c>
      <c r="D14" s="83" t="str">
        <f>VLOOKUP(TB_Vendas[[#This Row],[Código]],TB_Produtos[#All],4,FALSE)</f>
        <v>Vestuário</v>
      </c>
      <c r="E14" s="84">
        <v>44955</v>
      </c>
      <c r="F14" s="82">
        <v>1</v>
      </c>
      <c r="G14" s="85">
        <f>VLOOKUP(TB_Vendas[[#This Row],[Código]],TB_Produtos[#All],6,FALSE)</f>
        <v>39.9</v>
      </c>
      <c r="H14" s="86" cm="1">
        <f t="array" ref="H14">INDEX(Desc_TabelaToda,MATCH(TB_Vendas[[#This Row],[Qtd]],Desc_Quantidades,1),MATCH(_xlfn.XLOOKUP(TB_Vendas[[#This Row],[Código]],TB_Produtos[[#All],[Código]],TB_Produtos[[#All],[Categoria]]),Desc_Categorias,0))</f>
        <v>0.1</v>
      </c>
      <c r="I14" s="86">
        <f>_xlfn.XLOOKUP(TB_Vendas[[#This Row],[Vendedor]],Vendedores!$A$4:$A$9,Vendedores!$D$4:$D$9)</f>
        <v>0.25</v>
      </c>
      <c r="J14" s="86">
        <f>IF(TB_Vendas[[#This Row],[Desc.]]&gt;TB_Vendas[[#This Row],[Desc. Vendedor]],TB_Vendas[[#This Row],[Desc. Vendedor]],TB_Vendas[[#This Row],[Desc.]])</f>
        <v>0.1</v>
      </c>
      <c r="K14" s="87">
        <f>(TB_Vendas[[#This Row],[Preço Unitário]]-(TB_Vendas[[#This Row],[Preço Unitário]]*TB_Vendas[[#This Row],[Desconto]]))*TB_Vendas[[#This Row],[Qtd]]</f>
        <v>35.909999999999997</v>
      </c>
      <c r="L14" s="87">
        <f>TB_Vendas[[#This Row],[Total]]-(TB_Vendas[[#This Row],[Total]]*TB_Vendas[[#This Row],[Desconto]])</f>
        <v>32.318999999999996</v>
      </c>
      <c r="M14" s="82" t="s">
        <v>109</v>
      </c>
      <c r="N14" s="94" t="str">
        <f>VLOOKUP(TB_Vendas[[#This Row],[Vendedor]],Vendedores!$A$4:$D$9,2,FALSE)</f>
        <v>Sarah</v>
      </c>
    </row>
    <row r="15" spans="1:14" s="62" customFormat="1" ht="26.25">
      <c r="A15" s="81" t="s">
        <v>131</v>
      </c>
      <c r="B15" s="82" t="s">
        <v>73</v>
      </c>
      <c r="C15" s="83" t="str">
        <f>VLOOKUP(TB_Vendas[[#This Row],[Código]],TB_Produtos[#All],2,FALSE)</f>
        <v>Vestido longo</v>
      </c>
      <c r="D15" s="83" t="str">
        <f>VLOOKUP(TB_Vendas[[#This Row],[Código]],TB_Produtos[#All],4,FALSE)</f>
        <v>Vestuário</v>
      </c>
      <c r="E15" s="84">
        <v>44956</v>
      </c>
      <c r="F15" s="82">
        <v>1</v>
      </c>
      <c r="G15" s="85">
        <f>VLOOKUP(TB_Vendas[[#This Row],[Código]],TB_Produtos[#All],6,FALSE)</f>
        <v>142.9</v>
      </c>
      <c r="H15" s="86" cm="1">
        <f t="array" ref="H15">INDEX(Desc_TabelaToda,MATCH(TB_Vendas[[#This Row],[Qtd]],Desc_Quantidades,1),MATCH(_xlfn.XLOOKUP(TB_Vendas[[#This Row],[Código]],TB_Produtos[[#All],[Código]],TB_Produtos[[#All],[Categoria]]),Desc_Categorias,0))</f>
        <v>0.1</v>
      </c>
      <c r="I15" s="86">
        <f>_xlfn.XLOOKUP(TB_Vendas[[#This Row],[Vendedor]],Vendedores!$A$4:$A$9,Vendedores!$D$4:$D$9)</f>
        <v>0.2</v>
      </c>
      <c r="J15" s="86">
        <f>IF(TB_Vendas[[#This Row],[Desc.]]&gt;TB_Vendas[[#This Row],[Desc. Vendedor]],TB_Vendas[[#This Row],[Desc. Vendedor]],TB_Vendas[[#This Row],[Desc.]])</f>
        <v>0.1</v>
      </c>
      <c r="K15" s="87">
        <f>(TB_Vendas[[#This Row],[Preço Unitário]]-(TB_Vendas[[#This Row],[Preço Unitário]]*TB_Vendas[[#This Row],[Desconto]]))*TB_Vendas[[#This Row],[Qtd]]</f>
        <v>128.61000000000001</v>
      </c>
      <c r="L15" s="87">
        <f>TB_Vendas[[#This Row],[Total]]-(TB_Vendas[[#This Row],[Total]]*TB_Vendas[[#This Row],[Desconto]])</f>
        <v>115.74900000000001</v>
      </c>
      <c r="M15" s="82" t="s">
        <v>115</v>
      </c>
      <c r="N15" s="94" t="str">
        <f>VLOOKUP(TB_Vendas[[#This Row],[Vendedor]],Vendedores!$A$4:$D$9,2,FALSE)</f>
        <v>Amanda</v>
      </c>
    </row>
    <row r="16" spans="1:14" s="62" customFormat="1" ht="26.25">
      <c r="A16" s="81" t="s">
        <v>132</v>
      </c>
      <c r="B16" s="82" t="s">
        <v>49</v>
      </c>
      <c r="C16" s="83" t="str">
        <f>VLOOKUP(TB_Vendas[[#This Row],[Código]],TB_Produtos[#All],2,FALSE)</f>
        <v>Jaqueta couro</v>
      </c>
      <c r="D16" s="83" t="str">
        <f>VLOOKUP(TB_Vendas[[#This Row],[Código]],TB_Produtos[#All],4,FALSE)</f>
        <v>Vestuário</v>
      </c>
      <c r="E16" s="84">
        <v>44960</v>
      </c>
      <c r="F16" s="82">
        <v>1</v>
      </c>
      <c r="G16" s="85">
        <f>VLOOKUP(TB_Vendas[[#This Row],[Código]],TB_Produtos[#All],6,FALSE)</f>
        <v>300</v>
      </c>
      <c r="H16" s="86" cm="1">
        <f t="array" ref="H16">INDEX(Desc_TabelaToda,MATCH(TB_Vendas[[#This Row],[Qtd]],Desc_Quantidades,1),MATCH(_xlfn.XLOOKUP(TB_Vendas[[#This Row],[Código]],TB_Produtos[[#All],[Código]],TB_Produtos[[#All],[Categoria]]),Desc_Categorias,0))</f>
        <v>0.1</v>
      </c>
      <c r="I16" s="86">
        <f>_xlfn.XLOOKUP(TB_Vendas[[#This Row],[Vendedor]],Vendedores!$A$4:$A$9,Vendedores!$D$4:$D$9)</f>
        <v>0.1</v>
      </c>
      <c r="J16" s="86">
        <f>IF(TB_Vendas[[#This Row],[Desc.]]&gt;TB_Vendas[[#This Row],[Desc. Vendedor]],TB_Vendas[[#This Row],[Desc. Vendedor]],TB_Vendas[[#This Row],[Desc.]])</f>
        <v>0.1</v>
      </c>
      <c r="K16" s="87">
        <f>(TB_Vendas[[#This Row],[Preço Unitário]]-(TB_Vendas[[#This Row],[Preço Unitário]]*TB_Vendas[[#This Row],[Desconto]]))*TB_Vendas[[#This Row],[Qtd]]</f>
        <v>270</v>
      </c>
      <c r="L16" s="87">
        <f>TB_Vendas[[#This Row],[Total]]-(TB_Vendas[[#This Row],[Total]]*TB_Vendas[[#This Row],[Desconto]])</f>
        <v>243</v>
      </c>
      <c r="M16" s="82" t="s">
        <v>112</v>
      </c>
      <c r="N16" s="94" t="str">
        <f>VLOOKUP(TB_Vendas[[#This Row],[Vendedor]],Vendedores!$A$4:$D$9,2,FALSE)</f>
        <v>Clara</v>
      </c>
    </row>
    <row r="17" spans="1:14" s="62" customFormat="1" ht="26.25">
      <c r="A17" s="81" t="s">
        <v>132</v>
      </c>
      <c r="B17" s="82" t="s">
        <v>86</v>
      </c>
      <c r="C17" s="83" t="str">
        <f>VLOOKUP(TB_Vendas[[#This Row],[Código]],TB_Produtos[#All],2,FALSE)</f>
        <v>Jaqueta de Couro</v>
      </c>
      <c r="D17" s="83" t="str">
        <f>VLOOKUP(TB_Vendas[[#This Row],[Código]],TB_Produtos[#All],4,FALSE)</f>
        <v>Vestuário</v>
      </c>
      <c r="E17" s="84">
        <v>44962</v>
      </c>
      <c r="F17" s="82">
        <v>2</v>
      </c>
      <c r="G17" s="85">
        <f>VLOOKUP(TB_Vendas[[#This Row],[Código]],TB_Produtos[#All],6,FALSE)</f>
        <v>289.89999999999998</v>
      </c>
      <c r="H17" s="86" cm="1">
        <f t="array" ref="H17">INDEX(Desc_TabelaToda,MATCH(TB_Vendas[[#This Row],[Qtd]],Desc_Quantidades,1),MATCH(_xlfn.XLOOKUP(TB_Vendas[[#This Row],[Código]],TB_Produtos[[#All],[Código]],TB_Produtos[[#All],[Categoria]]),Desc_Categorias,0))</f>
        <v>0.15</v>
      </c>
      <c r="I17" s="86">
        <f>_xlfn.XLOOKUP(TB_Vendas[[#This Row],[Vendedor]],Vendedores!$A$4:$A$9,Vendedores!$D$4:$D$9)</f>
        <v>0.2</v>
      </c>
      <c r="J17" s="86">
        <f>IF(TB_Vendas[[#This Row],[Desc.]]&gt;TB_Vendas[[#This Row],[Desc. Vendedor]],TB_Vendas[[#This Row],[Desc. Vendedor]],TB_Vendas[[#This Row],[Desc.]])</f>
        <v>0.15</v>
      </c>
      <c r="K17" s="87">
        <f>(TB_Vendas[[#This Row],[Preço Unitário]]-(TB_Vendas[[#This Row],[Preço Unitário]]*TB_Vendas[[#This Row],[Desconto]]))*TB_Vendas[[#This Row],[Qtd]]</f>
        <v>492.83</v>
      </c>
      <c r="L17" s="87">
        <f>TB_Vendas[[#This Row],[Total]]-(TB_Vendas[[#This Row],[Total]]*TB_Vendas[[#This Row],[Desconto]])</f>
        <v>418.90549999999996</v>
      </c>
      <c r="M17" s="82" t="s">
        <v>115</v>
      </c>
      <c r="N17" s="94" t="str">
        <f>VLOOKUP(TB_Vendas[[#This Row],[Vendedor]],Vendedores!$A$4:$D$9,2,FALSE)</f>
        <v>Amanda</v>
      </c>
    </row>
    <row r="18" spans="1:14" s="62" customFormat="1" ht="26.25">
      <c r="A18" s="81" t="s">
        <v>132</v>
      </c>
      <c r="B18" s="82" t="s">
        <v>58</v>
      </c>
      <c r="C18" s="83" t="str">
        <f>VLOOKUP(TB_Vendas[[#This Row],[Código]],TB_Produtos[#All],2,FALSE)</f>
        <v>Tênis Atitas</v>
      </c>
      <c r="D18" s="83" t="str">
        <f>VLOOKUP(TB_Vendas[[#This Row],[Código]],TB_Produtos[#All],4,FALSE)</f>
        <v>Calçado</v>
      </c>
      <c r="E18" s="84">
        <v>44975</v>
      </c>
      <c r="F18" s="82">
        <v>1</v>
      </c>
      <c r="G18" s="85">
        <f>VLOOKUP(TB_Vendas[[#This Row],[Código]],TB_Produtos[#All],6,FALSE)</f>
        <v>249.9</v>
      </c>
      <c r="H18" s="86" cm="1">
        <f t="array" ref="H18">INDEX(Desc_TabelaToda,MATCH(TB_Vendas[[#This Row],[Qtd]],Desc_Quantidades,1),MATCH(_xlfn.XLOOKUP(TB_Vendas[[#This Row],[Código]],TB_Produtos[[#All],[Código]],TB_Produtos[[#All],[Categoria]]),Desc_Categorias,0))</f>
        <v>0</v>
      </c>
      <c r="I18" s="86">
        <f>_xlfn.XLOOKUP(TB_Vendas[[#This Row],[Vendedor]],Vendedores!$A$4:$A$9,Vendedores!$D$4:$D$9)</f>
        <v>0.2</v>
      </c>
      <c r="J18" s="86">
        <f>IF(TB_Vendas[[#This Row],[Desc.]]&gt;TB_Vendas[[#This Row],[Desc. Vendedor]],TB_Vendas[[#This Row],[Desc. Vendedor]],TB_Vendas[[#This Row],[Desc.]])</f>
        <v>0</v>
      </c>
      <c r="K18" s="87">
        <f>(TB_Vendas[[#This Row],[Preço Unitário]]-(TB_Vendas[[#This Row],[Preço Unitário]]*TB_Vendas[[#This Row],[Desconto]]))*TB_Vendas[[#This Row],[Qtd]]</f>
        <v>249.9</v>
      </c>
      <c r="L18" s="87">
        <f>TB_Vendas[[#This Row],[Total]]-(TB_Vendas[[#This Row],[Total]]*TB_Vendas[[#This Row],[Desconto]])</f>
        <v>249.9</v>
      </c>
      <c r="M18" s="82" t="s">
        <v>115</v>
      </c>
      <c r="N18" s="94" t="str">
        <f>VLOOKUP(TB_Vendas[[#This Row],[Vendedor]],Vendedores!$A$4:$D$9,2,FALSE)</f>
        <v>Amanda</v>
      </c>
    </row>
    <row r="19" spans="1:14" s="62" customFormat="1" ht="26.25">
      <c r="A19" s="81" t="s">
        <v>132</v>
      </c>
      <c r="B19" s="82" t="s">
        <v>35</v>
      </c>
      <c r="C19" s="83" t="str">
        <f>VLOOKUP(TB_Vendas[[#This Row],[Código]],TB_Produtos[#All],2,FALSE)</f>
        <v>Camiseta Estampada</v>
      </c>
      <c r="D19" s="83" t="str">
        <f>VLOOKUP(TB_Vendas[[#This Row],[Código]],TB_Produtos[#All],4,FALSE)</f>
        <v>Vestuário</v>
      </c>
      <c r="E19" s="84">
        <v>44978</v>
      </c>
      <c r="F19" s="82">
        <v>2</v>
      </c>
      <c r="G19" s="85">
        <f>VLOOKUP(TB_Vendas[[#This Row],[Código]],TB_Produtos[#All],6,FALSE)</f>
        <v>39.9</v>
      </c>
      <c r="H19" s="86" cm="1">
        <f t="array" ref="H19">INDEX(Desc_TabelaToda,MATCH(TB_Vendas[[#This Row],[Qtd]],Desc_Quantidades,1),MATCH(_xlfn.XLOOKUP(TB_Vendas[[#This Row],[Código]],TB_Produtos[[#All],[Código]],TB_Produtos[[#All],[Categoria]]),Desc_Categorias,0))</f>
        <v>0.15</v>
      </c>
      <c r="I19" s="86">
        <f>_xlfn.XLOOKUP(TB_Vendas[[#This Row],[Vendedor]],Vendedores!$A$4:$A$9,Vendedores!$D$4:$D$9)</f>
        <v>0.2</v>
      </c>
      <c r="J19" s="86">
        <f>IF(TB_Vendas[[#This Row],[Desc.]]&gt;TB_Vendas[[#This Row],[Desc. Vendedor]],TB_Vendas[[#This Row],[Desc. Vendedor]],TB_Vendas[[#This Row],[Desc.]])</f>
        <v>0.15</v>
      </c>
      <c r="K19" s="87">
        <f>(TB_Vendas[[#This Row],[Preço Unitário]]-(TB_Vendas[[#This Row],[Preço Unitário]]*TB_Vendas[[#This Row],[Desconto]]))*TB_Vendas[[#This Row],[Qtd]]</f>
        <v>67.83</v>
      </c>
      <c r="L19" s="87">
        <f>TB_Vendas[[#This Row],[Total]]-(TB_Vendas[[#This Row],[Total]]*TB_Vendas[[#This Row],[Desconto]])</f>
        <v>57.655499999999996</v>
      </c>
      <c r="M19" s="82" t="s">
        <v>115</v>
      </c>
      <c r="N19" s="94" t="str">
        <f>VLOOKUP(TB_Vendas[[#This Row],[Vendedor]],Vendedores!$A$4:$D$9,2,FALSE)</f>
        <v>Amanda</v>
      </c>
    </row>
    <row r="20" spans="1:14" s="62" customFormat="1" ht="26.25">
      <c r="A20" s="81" t="s">
        <v>132</v>
      </c>
      <c r="B20" s="82" t="s">
        <v>83</v>
      </c>
      <c r="C20" s="83" t="str">
        <f>VLOOKUP(TB_Vendas[[#This Row],[Código]],TB_Produtos[#All],2,FALSE)</f>
        <v>Jaqueta de Couro</v>
      </c>
      <c r="D20" s="83" t="str">
        <f>VLOOKUP(TB_Vendas[[#This Row],[Código]],TB_Produtos[#All],4,FALSE)</f>
        <v>Vestuário</v>
      </c>
      <c r="E20" s="84">
        <v>44981</v>
      </c>
      <c r="F20" s="82">
        <v>4</v>
      </c>
      <c r="G20" s="85">
        <f>VLOOKUP(TB_Vendas[[#This Row],[Código]],TB_Produtos[#All],6,FALSE)</f>
        <v>289.89999999999998</v>
      </c>
      <c r="H20" s="86" cm="1">
        <f t="array" ref="H20">INDEX(Desc_TabelaToda,MATCH(TB_Vendas[[#This Row],[Qtd]],Desc_Quantidades,1),MATCH(_xlfn.XLOOKUP(TB_Vendas[[#This Row],[Código]],TB_Produtos[[#All],[Código]],TB_Produtos[[#All],[Categoria]]),Desc_Categorias,0))</f>
        <v>0.2</v>
      </c>
      <c r="I20" s="86">
        <f>_xlfn.XLOOKUP(TB_Vendas[[#This Row],[Vendedor]],Vendedores!$A$4:$A$9,Vendedores!$D$4:$D$9)</f>
        <v>0.2</v>
      </c>
      <c r="J20" s="86">
        <f>IF(TB_Vendas[[#This Row],[Desc.]]&gt;TB_Vendas[[#This Row],[Desc. Vendedor]],TB_Vendas[[#This Row],[Desc. Vendedor]],TB_Vendas[[#This Row],[Desc.]])</f>
        <v>0.2</v>
      </c>
      <c r="K20" s="87">
        <f>(TB_Vendas[[#This Row],[Preço Unitário]]-(TB_Vendas[[#This Row],[Preço Unitário]]*TB_Vendas[[#This Row],[Desconto]]))*TB_Vendas[[#This Row],[Qtd]]</f>
        <v>927.68</v>
      </c>
      <c r="L20" s="87">
        <f>TB_Vendas[[#This Row],[Total]]-(TB_Vendas[[#This Row],[Total]]*TB_Vendas[[#This Row],[Desconto]])</f>
        <v>742.14400000000001</v>
      </c>
      <c r="M20" s="82" t="s">
        <v>115</v>
      </c>
      <c r="N20" s="94" t="str">
        <f>VLOOKUP(TB_Vendas[[#This Row],[Vendedor]],Vendedores!$A$4:$D$9,2,FALSE)</f>
        <v>Amanda</v>
      </c>
    </row>
    <row r="21" spans="1:14" s="62" customFormat="1" ht="26.25">
      <c r="A21" s="81" t="s">
        <v>132</v>
      </c>
      <c r="B21" s="82" t="s">
        <v>102</v>
      </c>
      <c r="C21" s="83" t="str">
        <f>VLOOKUP(TB_Vendas[[#This Row],[Código]],TB_Produtos[#All],2,FALSE)</f>
        <v>Calça Alfaiataria</v>
      </c>
      <c r="D21" s="83" t="str">
        <f>VLOOKUP(TB_Vendas[[#This Row],[Código]],TB_Produtos[#All],4,FALSE)</f>
        <v>Vestuário</v>
      </c>
      <c r="E21" s="84">
        <v>44982</v>
      </c>
      <c r="F21" s="82">
        <v>3</v>
      </c>
      <c r="G21" s="85">
        <f>VLOOKUP(TB_Vendas[[#This Row],[Código]],TB_Produtos[#All],6,FALSE)</f>
        <v>180</v>
      </c>
      <c r="H21" s="86" cm="1">
        <f t="array" ref="H21">INDEX(Desc_TabelaToda,MATCH(TB_Vendas[[#This Row],[Qtd]],Desc_Quantidades,1),MATCH(_xlfn.XLOOKUP(TB_Vendas[[#This Row],[Código]],TB_Produtos[[#All],[Código]],TB_Produtos[[#All],[Categoria]]),Desc_Categorias,0))</f>
        <v>0.2</v>
      </c>
      <c r="I21" s="86">
        <f>_xlfn.XLOOKUP(TB_Vendas[[#This Row],[Vendedor]],Vendedores!$A$4:$A$9,Vendedores!$D$4:$D$9)</f>
        <v>0.25</v>
      </c>
      <c r="J21" s="86">
        <f>IF(TB_Vendas[[#This Row],[Desc.]]&gt;TB_Vendas[[#This Row],[Desc. Vendedor]],TB_Vendas[[#This Row],[Desc. Vendedor]],TB_Vendas[[#This Row],[Desc.]])</f>
        <v>0.2</v>
      </c>
      <c r="K21" s="87">
        <f>(TB_Vendas[[#This Row],[Preço Unitário]]-(TB_Vendas[[#This Row],[Preço Unitário]]*TB_Vendas[[#This Row],[Desconto]]))*TB_Vendas[[#This Row],[Qtd]]</f>
        <v>432</v>
      </c>
      <c r="L21" s="87">
        <f>TB_Vendas[[#This Row],[Total]]-(TB_Vendas[[#This Row],[Total]]*TB_Vendas[[#This Row],[Desconto]])</f>
        <v>345.6</v>
      </c>
      <c r="M21" s="82" t="s">
        <v>109</v>
      </c>
      <c r="N21" s="94" t="str">
        <f>VLOOKUP(TB_Vendas[[#This Row],[Vendedor]],Vendedores!$A$4:$D$9,2,FALSE)</f>
        <v>Sarah</v>
      </c>
    </row>
    <row r="22" spans="1:14" s="62" customFormat="1" ht="26.25">
      <c r="A22" s="81" t="s">
        <v>132</v>
      </c>
      <c r="B22" s="82" t="s">
        <v>89</v>
      </c>
      <c r="C22" s="83" t="str">
        <f>VLOOKUP(TB_Vendas[[#This Row],[Código]],TB_Produtos[#All],2,FALSE)</f>
        <v>Camiseta Listrada</v>
      </c>
      <c r="D22" s="83" t="str">
        <f>VLOOKUP(TB_Vendas[[#This Row],[Código]],TB_Produtos[#All],4,FALSE)</f>
        <v>Vestuário</v>
      </c>
      <c r="E22" s="84">
        <v>44983</v>
      </c>
      <c r="F22" s="82">
        <v>2</v>
      </c>
      <c r="G22" s="85">
        <f>VLOOKUP(TB_Vendas[[#This Row],[Código]],TB_Produtos[#All],6,FALSE)</f>
        <v>32.9</v>
      </c>
      <c r="H22" s="86" cm="1">
        <f t="array" ref="H22">INDEX(Desc_TabelaToda,MATCH(TB_Vendas[[#This Row],[Qtd]],Desc_Quantidades,1),MATCH(_xlfn.XLOOKUP(TB_Vendas[[#This Row],[Código]],TB_Produtos[[#All],[Código]],TB_Produtos[[#All],[Categoria]]),Desc_Categorias,0))</f>
        <v>0.15</v>
      </c>
      <c r="I22" s="86">
        <f>_xlfn.XLOOKUP(TB_Vendas[[#This Row],[Vendedor]],Vendedores!$A$4:$A$9,Vendedores!$D$4:$D$9)</f>
        <v>0.2</v>
      </c>
      <c r="J22" s="86">
        <f>IF(TB_Vendas[[#This Row],[Desc.]]&gt;TB_Vendas[[#This Row],[Desc. Vendedor]],TB_Vendas[[#This Row],[Desc. Vendedor]],TB_Vendas[[#This Row],[Desc.]])</f>
        <v>0.15</v>
      </c>
      <c r="K22" s="87">
        <f>(TB_Vendas[[#This Row],[Preço Unitário]]-(TB_Vendas[[#This Row],[Preço Unitário]]*TB_Vendas[[#This Row],[Desconto]]))*TB_Vendas[[#This Row],[Qtd]]</f>
        <v>55.93</v>
      </c>
      <c r="L22" s="87">
        <f>TB_Vendas[[#This Row],[Total]]-(TB_Vendas[[#This Row],[Total]]*TB_Vendas[[#This Row],[Desconto]])</f>
        <v>47.540500000000002</v>
      </c>
      <c r="M22" s="82" t="s">
        <v>106</v>
      </c>
      <c r="N22" s="94" t="str">
        <f>VLOOKUP(TB_Vendas[[#This Row],[Vendedor]],Vendedores!$A$4:$D$9,2,FALSE)</f>
        <v>João</v>
      </c>
    </row>
    <row r="23" spans="1:14" s="62" customFormat="1" ht="26.25">
      <c r="A23" s="81" t="s">
        <v>133</v>
      </c>
      <c r="B23" s="82" t="s">
        <v>61</v>
      </c>
      <c r="C23" s="83" t="str">
        <f>VLOOKUP(TB_Vendas[[#This Row],[Código]],TB_Produtos[#All],2,FALSE)</f>
        <v>Tênis Atitas</v>
      </c>
      <c r="D23" s="83" t="str">
        <f>VLOOKUP(TB_Vendas[[#This Row],[Código]],TB_Produtos[#All],4,FALSE)</f>
        <v>Calçado</v>
      </c>
      <c r="E23" s="84">
        <v>44986</v>
      </c>
      <c r="F23" s="82">
        <v>3</v>
      </c>
      <c r="G23" s="85">
        <f>VLOOKUP(TB_Vendas[[#This Row],[Código]],TB_Produtos[#All],6,FALSE)</f>
        <v>255</v>
      </c>
      <c r="H23" s="86" cm="1">
        <f t="array" ref="H23">INDEX(Desc_TabelaToda,MATCH(TB_Vendas[[#This Row],[Qtd]],Desc_Quantidades,1),MATCH(_xlfn.XLOOKUP(TB_Vendas[[#This Row],[Código]],TB_Produtos[[#All],[Código]],TB_Produtos[[#All],[Categoria]]),Desc_Categorias,0))</f>
        <v>0.15</v>
      </c>
      <c r="I23" s="86">
        <f>_xlfn.XLOOKUP(TB_Vendas[[#This Row],[Vendedor]],Vendedores!$A$4:$A$9,Vendedores!$D$4:$D$9)</f>
        <v>0.2</v>
      </c>
      <c r="J23" s="86">
        <f>IF(TB_Vendas[[#This Row],[Desc.]]&gt;TB_Vendas[[#This Row],[Desc. Vendedor]],TB_Vendas[[#This Row],[Desc. Vendedor]],TB_Vendas[[#This Row],[Desc.]])</f>
        <v>0.15</v>
      </c>
      <c r="K23" s="87">
        <f>(TB_Vendas[[#This Row],[Preço Unitário]]-(TB_Vendas[[#This Row],[Preço Unitário]]*TB_Vendas[[#This Row],[Desconto]]))*TB_Vendas[[#This Row],[Qtd]]</f>
        <v>650.25</v>
      </c>
      <c r="L23" s="87">
        <f>TB_Vendas[[#This Row],[Total]]-(TB_Vendas[[#This Row],[Total]]*TB_Vendas[[#This Row],[Desconto]])</f>
        <v>552.71249999999998</v>
      </c>
      <c r="M23" s="82" t="s">
        <v>115</v>
      </c>
      <c r="N23" s="94" t="str">
        <f>VLOOKUP(TB_Vendas[[#This Row],[Vendedor]],Vendedores!$A$4:$D$9,2,FALSE)</f>
        <v>Amanda</v>
      </c>
    </row>
    <row r="24" spans="1:14" s="62" customFormat="1" ht="26.25">
      <c r="A24" s="81" t="s">
        <v>133</v>
      </c>
      <c r="B24" s="82" t="s">
        <v>73</v>
      </c>
      <c r="C24" s="83" t="str">
        <f>VLOOKUP(TB_Vendas[[#This Row],[Código]],TB_Produtos[#All],2,FALSE)</f>
        <v>Vestido longo</v>
      </c>
      <c r="D24" s="83" t="str">
        <f>VLOOKUP(TB_Vendas[[#This Row],[Código]],TB_Produtos[#All],4,FALSE)</f>
        <v>Vestuário</v>
      </c>
      <c r="E24" s="84">
        <v>44986</v>
      </c>
      <c r="F24" s="82">
        <v>1</v>
      </c>
      <c r="G24" s="85">
        <f>VLOOKUP(TB_Vendas[[#This Row],[Código]],TB_Produtos[#All],6,FALSE)</f>
        <v>142.9</v>
      </c>
      <c r="H24" s="86" cm="1">
        <f t="array" ref="H24">INDEX(Desc_TabelaToda,MATCH(TB_Vendas[[#This Row],[Qtd]],Desc_Quantidades,1),MATCH(_xlfn.XLOOKUP(TB_Vendas[[#This Row],[Código]],TB_Produtos[[#All],[Código]],TB_Produtos[[#All],[Categoria]]),Desc_Categorias,0))</f>
        <v>0.1</v>
      </c>
      <c r="I24" s="86">
        <f>_xlfn.XLOOKUP(TB_Vendas[[#This Row],[Vendedor]],Vendedores!$A$4:$A$9,Vendedores!$D$4:$D$9)</f>
        <v>0.2</v>
      </c>
      <c r="J24" s="86">
        <f>IF(TB_Vendas[[#This Row],[Desc.]]&gt;TB_Vendas[[#This Row],[Desc. Vendedor]],TB_Vendas[[#This Row],[Desc. Vendedor]],TB_Vendas[[#This Row],[Desc.]])</f>
        <v>0.1</v>
      </c>
      <c r="K24" s="87">
        <f>(TB_Vendas[[#This Row],[Preço Unitário]]-(TB_Vendas[[#This Row],[Preço Unitário]]*TB_Vendas[[#This Row],[Desconto]]))*TB_Vendas[[#This Row],[Qtd]]</f>
        <v>128.61000000000001</v>
      </c>
      <c r="L24" s="87">
        <f>TB_Vendas[[#This Row],[Total]]-(TB_Vendas[[#This Row],[Total]]*TB_Vendas[[#This Row],[Desconto]])</f>
        <v>115.74900000000001</v>
      </c>
      <c r="M24" s="82" t="s">
        <v>106</v>
      </c>
      <c r="N24" s="94" t="str">
        <f>VLOOKUP(TB_Vendas[[#This Row],[Vendedor]],Vendedores!$A$4:$D$9,2,FALSE)</f>
        <v>João</v>
      </c>
    </row>
    <row r="25" spans="1:14" s="62" customFormat="1" ht="26.25">
      <c r="A25" s="81" t="s">
        <v>133</v>
      </c>
      <c r="B25" s="82" t="s">
        <v>30</v>
      </c>
      <c r="C25" s="83" t="str">
        <f>VLOOKUP(TB_Vendas[[#This Row],[Código]],TB_Produtos[#All],2,FALSE)</f>
        <v>Calça jeans</v>
      </c>
      <c r="D25" s="83" t="str">
        <f>VLOOKUP(TB_Vendas[[#This Row],[Código]],TB_Produtos[#All],4,FALSE)</f>
        <v>Vestuário</v>
      </c>
      <c r="E25" s="84">
        <v>44987</v>
      </c>
      <c r="F25" s="82">
        <v>4</v>
      </c>
      <c r="G25" s="85">
        <f>VLOOKUP(TB_Vendas[[#This Row],[Código]],TB_Produtos[#All],6,FALSE)</f>
        <v>92.9</v>
      </c>
      <c r="H25" s="86" cm="1">
        <f t="array" ref="H25">INDEX(Desc_TabelaToda,MATCH(TB_Vendas[[#This Row],[Qtd]],Desc_Quantidades,1),MATCH(_xlfn.XLOOKUP(TB_Vendas[[#This Row],[Código]],TB_Produtos[[#All],[Código]],TB_Produtos[[#All],[Categoria]]),Desc_Categorias,0))</f>
        <v>0.2</v>
      </c>
      <c r="I25" s="86">
        <f>_xlfn.XLOOKUP(TB_Vendas[[#This Row],[Vendedor]],Vendedores!$A$4:$A$9,Vendedores!$D$4:$D$9)</f>
        <v>0.1</v>
      </c>
      <c r="J25" s="86">
        <f>IF(TB_Vendas[[#This Row],[Desc.]]&gt;TB_Vendas[[#This Row],[Desc. Vendedor]],TB_Vendas[[#This Row],[Desc. Vendedor]],TB_Vendas[[#This Row],[Desc.]])</f>
        <v>0.1</v>
      </c>
      <c r="K25" s="87">
        <f>(TB_Vendas[[#This Row],[Preço Unitário]]-(TB_Vendas[[#This Row],[Preço Unitário]]*TB_Vendas[[#This Row],[Desconto]]))*TB_Vendas[[#This Row],[Qtd]]</f>
        <v>334.44</v>
      </c>
      <c r="L25" s="87">
        <f>TB_Vendas[[#This Row],[Total]]-(TB_Vendas[[#This Row],[Total]]*TB_Vendas[[#This Row],[Desconto]])</f>
        <v>300.99599999999998</v>
      </c>
      <c r="M25" s="82" t="s">
        <v>112</v>
      </c>
      <c r="N25" s="94" t="str">
        <f>VLOOKUP(TB_Vendas[[#This Row],[Vendedor]],Vendedores!$A$4:$D$9,2,FALSE)</f>
        <v>Clara</v>
      </c>
    </row>
    <row r="26" spans="1:14" s="62" customFormat="1" ht="26.25">
      <c r="A26" s="81" t="s">
        <v>133</v>
      </c>
      <c r="B26" s="82" t="s">
        <v>78</v>
      </c>
      <c r="C26" s="83" t="str">
        <f>VLOOKUP(TB_Vendas[[#This Row],[Código]],TB_Produtos[#All],2,FALSE)</f>
        <v>Camiseta Conforto</v>
      </c>
      <c r="D26" s="83" t="str">
        <f>VLOOKUP(TB_Vendas[[#This Row],[Código]],TB_Produtos[#All],4,FALSE)</f>
        <v>Vestuário</v>
      </c>
      <c r="E26" s="84">
        <v>44988</v>
      </c>
      <c r="F26" s="82">
        <v>2</v>
      </c>
      <c r="G26" s="85">
        <f>VLOOKUP(TB_Vendas[[#This Row],[Código]],TB_Produtos[#All],6,FALSE)</f>
        <v>54.9</v>
      </c>
      <c r="H26" s="86" cm="1">
        <f t="array" ref="H26">INDEX(Desc_TabelaToda,MATCH(TB_Vendas[[#This Row],[Qtd]],Desc_Quantidades,1),MATCH(_xlfn.XLOOKUP(TB_Vendas[[#This Row],[Código]],TB_Produtos[[#All],[Código]],TB_Produtos[[#All],[Categoria]]),Desc_Categorias,0))</f>
        <v>0.15</v>
      </c>
      <c r="I26" s="86">
        <f>_xlfn.XLOOKUP(TB_Vendas[[#This Row],[Vendedor]],Vendedores!$A$4:$A$9,Vendedores!$D$4:$D$9)</f>
        <v>0.2</v>
      </c>
      <c r="J26" s="86">
        <f>IF(TB_Vendas[[#This Row],[Desc.]]&gt;TB_Vendas[[#This Row],[Desc. Vendedor]],TB_Vendas[[#This Row],[Desc. Vendedor]],TB_Vendas[[#This Row],[Desc.]])</f>
        <v>0.15</v>
      </c>
      <c r="K26" s="87">
        <f>(TB_Vendas[[#This Row],[Preço Unitário]]-(TB_Vendas[[#This Row],[Preço Unitário]]*TB_Vendas[[#This Row],[Desconto]]))*TB_Vendas[[#This Row],[Qtd]]</f>
        <v>93.33</v>
      </c>
      <c r="L26" s="87">
        <f>TB_Vendas[[#This Row],[Total]]-(TB_Vendas[[#This Row],[Total]]*TB_Vendas[[#This Row],[Desconto]])</f>
        <v>79.330500000000001</v>
      </c>
      <c r="M26" s="82" t="s">
        <v>106</v>
      </c>
      <c r="N26" s="94" t="str">
        <f>VLOOKUP(TB_Vendas[[#This Row],[Vendedor]],Vendedores!$A$4:$D$9,2,FALSE)</f>
        <v>João</v>
      </c>
    </row>
    <row r="27" spans="1:14" s="62" customFormat="1" ht="26.25">
      <c r="A27" s="81" t="s">
        <v>133</v>
      </c>
      <c r="B27" s="82" t="s">
        <v>73</v>
      </c>
      <c r="C27" s="83" t="str">
        <f>VLOOKUP(TB_Vendas[[#This Row],[Código]],TB_Produtos[#All],2,FALSE)</f>
        <v>Vestido longo</v>
      </c>
      <c r="D27" s="83" t="str">
        <f>VLOOKUP(TB_Vendas[[#This Row],[Código]],TB_Produtos[#All],4,FALSE)</f>
        <v>Vestuário</v>
      </c>
      <c r="E27" s="84">
        <v>44989</v>
      </c>
      <c r="F27" s="82">
        <v>3</v>
      </c>
      <c r="G27" s="85">
        <f>VLOOKUP(TB_Vendas[[#This Row],[Código]],TB_Produtos[#All],6,FALSE)</f>
        <v>142.9</v>
      </c>
      <c r="H27" s="86" cm="1">
        <f t="array" ref="H27">INDEX(Desc_TabelaToda,MATCH(TB_Vendas[[#This Row],[Qtd]],Desc_Quantidades,1),MATCH(_xlfn.XLOOKUP(TB_Vendas[[#This Row],[Código]],TB_Produtos[[#All],[Código]],TB_Produtos[[#All],[Categoria]]),Desc_Categorias,0))</f>
        <v>0.2</v>
      </c>
      <c r="I27" s="86">
        <f>_xlfn.XLOOKUP(TB_Vendas[[#This Row],[Vendedor]],Vendedores!$A$4:$A$9,Vendedores!$D$4:$D$9)</f>
        <v>0.25</v>
      </c>
      <c r="J27" s="86">
        <f>IF(TB_Vendas[[#This Row],[Desc.]]&gt;TB_Vendas[[#This Row],[Desc. Vendedor]],TB_Vendas[[#This Row],[Desc. Vendedor]],TB_Vendas[[#This Row],[Desc.]])</f>
        <v>0.2</v>
      </c>
      <c r="K27" s="87">
        <f>(TB_Vendas[[#This Row],[Preço Unitário]]-(TB_Vendas[[#This Row],[Preço Unitário]]*TB_Vendas[[#This Row],[Desconto]]))*TB_Vendas[[#This Row],[Qtd]]</f>
        <v>342.96000000000004</v>
      </c>
      <c r="L27" s="87">
        <f>TB_Vendas[[#This Row],[Total]]-(TB_Vendas[[#This Row],[Total]]*TB_Vendas[[#This Row],[Desconto]])</f>
        <v>274.36800000000005</v>
      </c>
      <c r="M27" s="82" t="s">
        <v>109</v>
      </c>
      <c r="N27" s="94" t="str">
        <f>VLOOKUP(TB_Vendas[[#This Row],[Vendedor]],Vendedores!$A$4:$D$9,2,FALSE)</f>
        <v>Sarah</v>
      </c>
    </row>
    <row r="28" spans="1:14" s="62" customFormat="1" ht="26.25">
      <c r="A28" s="81" t="s">
        <v>133</v>
      </c>
      <c r="B28" s="82" t="s">
        <v>56</v>
      </c>
      <c r="C28" s="83" t="str">
        <f>VLOOKUP(TB_Vendas[[#This Row],[Código]],TB_Produtos[#All],2,FALSE)</f>
        <v>Óculos redondo</v>
      </c>
      <c r="D28" s="83" t="str">
        <f>VLOOKUP(TB_Vendas[[#This Row],[Código]],TB_Produtos[#All],4,FALSE)</f>
        <v>Acessórios</v>
      </c>
      <c r="E28" s="84">
        <v>44994</v>
      </c>
      <c r="F28" s="82">
        <v>2</v>
      </c>
      <c r="G28" s="85">
        <f>VLOOKUP(TB_Vendas[[#This Row],[Código]],TB_Produtos[#All],6,FALSE)</f>
        <v>120</v>
      </c>
      <c r="H28" s="86" cm="1">
        <f t="array" ref="H28">INDEX(Desc_TabelaToda,MATCH(TB_Vendas[[#This Row],[Qtd]],Desc_Quantidades,1),MATCH(_xlfn.XLOOKUP(TB_Vendas[[#This Row],[Código]],TB_Produtos[[#All],[Código]],TB_Produtos[[#All],[Categoria]]),Desc_Categorias,0))</f>
        <v>0.05</v>
      </c>
      <c r="I28" s="86">
        <f>_xlfn.XLOOKUP(TB_Vendas[[#This Row],[Vendedor]],Vendedores!$A$4:$A$9,Vendedores!$D$4:$D$9)</f>
        <v>0.25</v>
      </c>
      <c r="J28" s="86">
        <f>IF(TB_Vendas[[#This Row],[Desc.]]&gt;TB_Vendas[[#This Row],[Desc. Vendedor]],TB_Vendas[[#This Row],[Desc. Vendedor]],TB_Vendas[[#This Row],[Desc.]])</f>
        <v>0.05</v>
      </c>
      <c r="K28" s="87">
        <f>(TB_Vendas[[#This Row],[Preço Unitário]]-(TB_Vendas[[#This Row],[Preço Unitário]]*TB_Vendas[[#This Row],[Desconto]]))*TB_Vendas[[#This Row],[Qtd]]</f>
        <v>228</v>
      </c>
      <c r="L28" s="87">
        <f>TB_Vendas[[#This Row],[Total]]-(TB_Vendas[[#This Row],[Total]]*TB_Vendas[[#This Row],[Desconto]])</f>
        <v>216.6</v>
      </c>
      <c r="M28" s="82" t="s">
        <v>109</v>
      </c>
      <c r="N28" s="94" t="str">
        <f>VLOOKUP(TB_Vendas[[#This Row],[Vendedor]],Vendedores!$A$4:$D$9,2,FALSE)</f>
        <v>Sarah</v>
      </c>
    </row>
    <row r="29" spans="1:14" s="62" customFormat="1" ht="26.25">
      <c r="A29" s="81" t="s">
        <v>133</v>
      </c>
      <c r="B29" s="82" t="s">
        <v>11</v>
      </c>
      <c r="C29" s="83" t="str">
        <f>VLOOKUP(TB_Vendas[[#This Row],[Código]],TB_Produtos[#All],2,FALSE)</f>
        <v>Bermuda</v>
      </c>
      <c r="D29" s="83" t="str">
        <f>VLOOKUP(TB_Vendas[[#This Row],[Código]],TB_Produtos[#All],4,FALSE)</f>
        <v>Vestuário</v>
      </c>
      <c r="E29" s="84">
        <v>44999</v>
      </c>
      <c r="F29" s="82">
        <v>1</v>
      </c>
      <c r="G29" s="85">
        <f>VLOOKUP(TB_Vendas[[#This Row],[Código]],TB_Produtos[#All],6,FALSE)</f>
        <v>65.900000000000006</v>
      </c>
      <c r="H29" s="86" cm="1">
        <f t="array" ref="H29">INDEX(Desc_TabelaToda,MATCH(TB_Vendas[[#This Row],[Qtd]],Desc_Quantidades,1),MATCH(_xlfn.XLOOKUP(TB_Vendas[[#This Row],[Código]],TB_Produtos[[#All],[Código]],TB_Produtos[[#All],[Categoria]]),Desc_Categorias,0))</f>
        <v>0.1</v>
      </c>
      <c r="I29" s="86">
        <f>_xlfn.XLOOKUP(TB_Vendas[[#This Row],[Vendedor]],Vendedores!$A$4:$A$9,Vendedores!$D$4:$D$9)</f>
        <v>0.2</v>
      </c>
      <c r="J29" s="86">
        <f>IF(TB_Vendas[[#This Row],[Desc.]]&gt;TB_Vendas[[#This Row],[Desc. Vendedor]],TB_Vendas[[#This Row],[Desc. Vendedor]],TB_Vendas[[#This Row],[Desc.]])</f>
        <v>0.1</v>
      </c>
      <c r="K29" s="87">
        <f>(TB_Vendas[[#This Row],[Preço Unitário]]-(TB_Vendas[[#This Row],[Preço Unitário]]*TB_Vendas[[#This Row],[Desconto]]))*TB_Vendas[[#This Row],[Qtd]]</f>
        <v>59.31</v>
      </c>
      <c r="L29" s="87">
        <f>TB_Vendas[[#This Row],[Total]]-(TB_Vendas[[#This Row],[Total]]*TB_Vendas[[#This Row],[Desconto]])</f>
        <v>53.379000000000005</v>
      </c>
      <c r="M29" s="82" t="s">
        <v>115</v>
      </c>
      <c r="N29" s="94" t="str">
        <f>VLOOKUP(TB_Vendas[[#This Row],[Vendedor]],Vendedores!$A$4:$D$9,2,FALSE)</f>
        <v>Amanda</v>
      </c>
    </row>
    <row r="30" spans="1:14" s="62" customFormat="1" ht="26.25">
      <c r="A30" s="81" t="s">
        <v>133</v>
      </c>
      <c r="B30" s="82" t="s">
        <v>87</v>
      </c>
      <c r="C30" s="83" t="str">
        <f>VLOOKUP(TB_Vendas[[#This Row],[Código]],TB_Produtos[#All],2,FALSE)</f>
        <v>Camiseta Listrada</v>
      </c>
      <c r="D30" s="83" t="str">
        <f>VLOOKUP(TB_Vendas[[#This Row],[Código]],TB_Produtos[#All],4,FALSE)</f>
        <v>Vestuário</v>
      </c>
      <c r="E30" s="84">
        <v>45004</v>
      </c>
      <c r="F30" s="82">
        <v>5</v>
      </c>
      <c r="G30" s="85">
        <f>VLOOKUP(TB_Vendas[[#This Row],[Código]],TB_Produtos[#All],6,FALSE)</f>
        <v>32.9</v>
      </c>
      <c r="H30" s="86" cm="1">
        <f t="array" ref="H30">INDEX(Desc_TabelaToda,MATCH(TB_Vendas[[#This Row],[Qtd]],Desc_Quantidades,1),MATCH(_xlfn.XLOOKUP(TB_Vendas[[#This Row],[Código]],TB_Produtos[[#All],[Código]],TB_Produtos[[#All],[Categoria]]),Desc_Categorias,0))</f>
        <v>0.25</v>
      </c>
      <c r="I30" s="86">
        <f>_xlfn.XLOOKUP(TB_Vendas[[#This Row],[Vendedor]],Vendedores!$A$4:$A$9,Vendedores!$D$4:$D$9)</f>
        <v>0.15</v>
      </c>
      <c r="J30" s="86">
        <f>IF(TB_Vendas[[#This Row],[Desc.]]&gt;TB_Vendas[[#This Row],[Desc. Vendedor]],TB_Vendas[[#This Row],[Desc. Vendedor]],TB_Vendas[[#This Row],[Desc.]])</f>
        <v>0.15</v>
      </c>
      <c r="K30" s="87">
        <f>(TB_Vendas[[#This Row],[Preço Unitário]]-(TB_Vendas[[#This Row],[Preço Unitário]]*TB_Vendas[[#This Row],[Desconto]]))*TB_Vendas[[#This Row],[Qtd]]</f>
        <v>139.82499999999999</v>
      </c>
      <c r="L30" s="87">
        <f>TB_Vendas[[#This Row],[Total]]-(TB_Vendas[[#This Row],[Total]]*TB_Vendas[[#This Row],[Desconto]])</f>
        <v>118.85124999999999</v>
      </c>
      <c r="M30" s="82" t="s">
        <v>118</v>
      </c>
      <c r="N30" s="94" t="str">
        <f>VLOOKUP(TB_Vendas[[#This Row],[Vendedor]],Vendedores!$A$4:$D$9,2,FALSE)</f>
        <v>Bruno</v>
      </c>
    </row>
    <row r="31" spans="1:14" s="62" customFormat="1" ht="26.25">
      <c r="A31" s="81" t="s">
        <v>133</v>
      </c>
      <c r="B31" s="82" t="s">
        <v>101</v>
      </c>
      <c r="C31" s="83" t="str">
        <f>VLOOKUP(TB_Vendas[[#This Row],[Código]],TB_Produtos[#All],2,FALSE)</f>
        <v>Calça Alfaiataria</v>
      </c>
      <c r="D31" s="83" t="str">
        <f>VLOOKUP(TB_Vendas[[#This Row],[Código]],TB_Produtos[#All],4,FALSE)</f>
        <v>Vestuário</v>
      </c>
      <c r="E31" s="84">
        <v>45006</v>
      </c>
      <c r="F31" s="82">
        <v>2</v>
      </c>
      <c r="G31" s="85">
        <f>VLOOKUP(TB_Vendas[[#This Row],[Código]],TB_Produtos[#All],6,FALSE)</f>
        <v>180</v>
      </c>
      <c r="H31" s="86" cm="1">
        <f t="array" ref="H31">INDEX(Desc_TabelaToda,MATCH(TB_Vendas[[#This Row],[Qtd]],Desc_Quantidades,1),MATCH(_xlfn.XLOOKUP(TB_Vendas[[#This Row],[Código]],TB_Produtos[[#All],[Código]],TB_Produtos[[#All],[Categoria]]),Desc_Categorias,0))</f>
        <v>0.15</v>
      </c>
      <c r="I31" s="86">
        <f>_xlfn.XLOOKUP(TB_Vendas[[#This Row],[Vendedor]],Vendedores!$A$4:$A$9,Vendedores!$D$4:$D$9)</f>
        <v>0.25</v>
      </c>
      <c r="J31" s="86">
        <f>IF(TB_Vendas[[#This Row],[Desc.]]&gt;TB_Vendas[[#This Row],[Desc. Vendedor]],TB_Vendas[[#This Row],[Desc. Vendedor]],TB_Vendas[[#This Row],[Desc.]])</f>
        <v>0.15</v>
      </c>
      <c r="K31" s="87">
        <f>(TB_Vendas[[#This Row],[Preço Unitário]]-(TB_Vendas[[#This Row],[Preço Unitário]]*TB_Vendas[[#This Row],[Desconto]]))*TB_Vendas[[#This Row],[Qtd]]</f>
        <v>306</v>
      </c>
      <c r="L31" s="87">
        <f>TB_Vendas[[#This Row],[Total]]-(TB_Vendas[[#This Row],[Total]]*TB_Vendas[[#This Row],[Desconto]])</f>
        <v>260.10000000000002</v>
      </c>
      <c r="M31" s="82" t="s">
        <v>109</v>
      </c>
      <c r="N31" s="94" t="str">
        <f>VLOOKUP(TB_Vendas[[#This Row],[Vendedor]],Vendedores!$A$4:$D$9,2,FALSE)</f>
        <v>Sarah</v>
      </c>
    </row>
    <row r="32" spans="1:14" s="62" customFormat="1" ht="26.25">
      <c r="A32" s="81" t="s">
        <v>133</v>
      </c>
      <c r="B32" s="82" t="s">
        <v>54</v>
      </c>
      <c r="C32" s="83" t="str">
        <f>VLOOKUP(TB_Vendas[[#This Row],[Código]],TB_Produtos[#All],2,FALSE)</f>
        <v>Óculos quadrado</v>
      </c>
      <c r="D32" s="83" t="str">
        <f>VLOOKUP(TB_Vendas[[#This Row],[Código]],TB_Produtos[#All],4,FALSE)</f>
        <v>Acessórios</v>
      </c>
      <c r="E32" s="84">
        <v>45010</v>
      </c>
      <c r="F32" s="82">
        <v>3</v>
      </c>
      <c r="G32" s="85">
        <f>VLOOKUP(TB_Vendas[[#This Row],[Código]],TB_Produtos[#All],6,FALSE)</f>
        <v>349.9</v>
      </c>
      <c r="H32" s="86" cm="1">
        <f t="array" ref="H32">INDEX(Desc_TabelaToda,MATCH(TB_Vendas[[#This Row],[Qtd]],Desc_Quantidades,1),MATCH(_xlfn.XLOOKUP(TB_Vendas[[#This Row],[Código]],TB_Produtos[[#All],[Código]],TB_Produtos[[#All],[Categoria]]),Desc_Categorias,0))</f>
        <v>0.15</v>
      </c>
      <c r="I32" s="86">
        <f>_xlfn.XLOOKUP(TB_Vendas[[#This Row],[Vendedor]],Vendedores!$A$4:$A$9,Vendedores!$D$4:$D$9)</f>
        <v>0.2</v>
      </c>
      <c r="J32" s="86">
        <f>IF(TB_Vendas[[#This Row],[Desc.]]&gt;TB_Vendas[[#This Row],[Desc. Vendedor]],TB_Vendas[[#This Row],[Desc. Vendedor]],TB_Vendas[[#This Row],[Desc.]])</f>
        <v>0.15</v>
      </c>
      <c r="K32" s="87">
        <f>(TB_Vendas[[#This Row],[Preço Unitário]]-(TB_Vendas[[#This Row],[Preço Unitário]]*TB_Vendas[[#This Row],[Desconto]]))*TB_Vendas[[#This Row],[Qtd]]</f>
        <v>892.24499999999989</v>
      </c>
      <c r="L32" s="87">
        <f>TB_Vendas[[#This Row],[Total]]-(TB_Vendas[[#This Row],[Total]]*TB_Vendas[[#This Row],[Desconto]])</f>
        <v>758.40824999999995</v>
      </c>
      <c r="M32" s="82" t="s">
        <v>106</v>
      </c>
      <c r="N32" s="94" t="str">
        <f>VLOOKUP(TB_Vendas[[#This Row],[Vendedor]],Vendedores!$A$4:$D$9,2,FALSE)</f>
        <v>João</v>
      </c>
    </row>
    <row r="33" spans="1:14" s="62" customFormat="1" ht="26.25">
      <c r="A33" s="81" t="s">
        <v>134</v>
      </c>
      <c r="B33" s="82" t="s">
        <v>81</v>
      </c>
      <c r="C33" s="83" t="str">
        <f>VLOOKUP(TB_Vendas[[#This Row],[Código]],TB_Produtos[#All],2,FALSE)</f>
        <v>Vestido Floral</v>
      </c>
      <c r="D33" s="83" t="str">
        <f>VLOOKUP(TB_Vendas[[#This Row],[Código]],TB_Produtos[#All],4,FALSE)</f>
        <v>Vestuário</v>
      </c>
      <c r="E33" s="84">
        <v>45018</v>
      </c>
      <c r="F33" s="82">
        <v>1</v>
      </c>
      <c r="G33" s="85">
        <f>VLOOKUP(TB_Vendas[[#This Row],[Código]],TB_Produtos[#All],6,FALSE)</f>
        <v>72.5</v>
      </c>
      <c r="H33" s="86" cm="1">
        <f t="array" ref="H33">INDEX(Desc_TabelaToda,MATCH(TB_Vendas[[#This Row],[Qtd]],Desc_Quantidades,1),MATCH(_xlfn.XLOOKUP(TB_Vendas[[#This Row],[Código]],TB_Produtos[[#All],[Código]],TB_Produtos[[#All],[Categoria]]),Desc_Categorias,0))</f>
        <v>0.1</v>
      </c>
      <c r="I33" s="86">
        <f>_xlfn.XLOOKUP(TB_Vendas[[#This Row],[Vendedor]],Vendedores!$A$4:$A$9,Vendedores!$D$4:$D$9)</f>
        <v>0.1</v>
      </c>
      <c r="J33" s="86">
        <f>IF(TB_Vendas[[#This Row],[Desc.]]&gt;TB_Vendas[[#This Row],[Desc. Vendedor]],TB_Vendas[[#This Row],[Desc. Vendedor]],TB_Vendas[[#This Row],[Desc.]])</f>
        <v>0.1</v>
      </c>
      <c r="K33" s="87">
        <f>(TB_Vendas[[#This Row],[Preço Unitário]]-(TB_Vendas[[#This Row],[Preço Unitário]]*TB_Vendas[[#This Row],[Desconto]]))*TB_Vendas[[#This Row],[Qtd]]</f>
        <v>65.25</v>
      </c>
      <c r="L33" s="87">
        <f>TB_Vendas[[#This Row],[Total]]-(TB_Vendas[[#This Row],[Total]]*TB_Vendas[[#This Row],[Desconto]])</f>
        <v>58.725000000000001</v>
      </c>
      <c r="M33" s="82" t="s">
        <v>112</v>
      </c>
      <c r="N33" s="94" t="str">
        <f>VLOOKUP(TB_Vendas[[#This Row],[Vendedor]],Vendedores!$A$4:$D$9,2,FALSE)</f>
        <v>Clara</v>
      </c>
    </row>
    <row r="34" spans="1:14" s="62" customFormat="1" ht="26.25">
      <c r="A34" s="81" t="s">
        <v>134</v>
      </c>
      <c r="B34" s="82" t="s">
        <v>52</v>
      </c>
      <c r="C34" s="83" t="str">
        <f>VLOOKUP(TB_Vendas[[#This Row],[Código]],TB_Produtos[#All],2,FALSE)</f>
        <v>Jaqueta jeans</v>
      </c>
      <c r="D34" s="83" t="str">
        <f>VLOOKUP(TB_Vendas[[#This Row],[Código]],TB_Produtos[#All],4,FALSE)</f>
        <v>Vestuário</v>
      </c>
      <c r="E34" s="84">
        <v>45020</v>
      </c>
      <c r="F34" s="82">
        <v>4</v>
      </c>
      <c r="G34" s="85">
        <f>VLOOKUP(TB_Vendas[[#This Row],[Código]],TB_Produtos[#All],6,FALSE)</f>
        <v>259.89999999999998</v>
      </c>
      <c r="H34" s="86" cm="1">
        <f t="array" ref="H34">INDEX(Desc_TabelaToda,MATCH(TB_Vendas[[#This Row],[Qtd]],Desc_Quantidades,1),MATCH(_xlfn.XLOOKUP(TB_Vendas[[#This Row],[Código]],TB_Produtos[[#All],[Código]],TB_Produtos[[#All],[Categoria]]),Desc_Categorias,0))</f>
        <v>0.2</v>
      </c>
      <c r="I34" s="86">
        <f>_xlfn.XLOOKUP(TB_Vendas[[#This Row],[Vendedor]],Vendedores!$A$4:$A$9,Vendedores!$D$4:$D$9)</f>
        <v>0.2</v>
      </c>
      <c r="J34" s="86">
        <f>IF(TB_Vendas[[#This Row],[Desc.]]&gt;TB_Vendas[[#This Row],[Desc. Vendedor]],TB_Vendas[[#This Row],[Desc. Vendedor]],TB_Vendas[[#This Row],[Desc.]])</f>
        <v>0.2</v>
      </c>
      <c r="K34" s="87">
        <f>(TB_Vendas[[#This Row],[Preço Unitário]]-(TB_Vendas[[#This Row],[Preço Unitário]]*TB_Vendas[[#This Row],[Desconto]]))*TB_Vendas[[#This Row],[Qtd]]</f>
        <v>831.68</v>
      </c>
      <c r="L34" s="87">
        <f>TB_Vendas[[#This Row],[Total]]-(TB_Vendas[[#This Row],[Total]]*TB_Vendas[[#This Row],[Desconto]])</f>
        <v>665.34399999999994</v>
      </c>
      <c r="M34" s="82" t="s">
        <v>106</v>
      </c>
      <c r="N34" s="94" t="str">
        <f>VLOOKUP(TB_Vendas[[#This Row],[Vendedor]],Vendedores!$A$4:$D$9,2,FALSE)</f>
        <v>João</v>
      </c>
    </row>
    <row r="35" spans="1:14" s="62" customFormat="1" ht="26.25">
      <c r="A35" s="81" t="s">
        <v>134</v>
      </c>
      <c r="B35" s="82" t="s">
        <v>39</v>
      </c>
      <c r="C35" s="83" t="str">
        <f>VLOOKUP(TB_Vendas[[#This Row],[Código]],TB_Produtos[#All],2,FALSE)</f>
        <v>Camiseta Lisa</v>
      </c>
      <c r="D35" s="83" t="str">
        <f>VLOOKUP(TB_Vendas[[#This Row],[Código]],TB_Produtos[#All],4,FALSE)</f>
        <v>Vestuário</v>
      </c>
      <c r="E35" s="84">
        <v>45024</v>
      </c>
      <c r="F35" s="82">
        <v>3</v>
      </c>
      <c r="G35" s="85">
        <f>VLOOKUP(TB_Vendas[[#This Row],[Código]],TB_Produtos[#All],6,FALSE)</f>
        <v>25.9</v>
      </c>
      <c r="H35" s="86" cm="1">
        <f t="array" ref="H35">INDEX(Desc_TabelaToda,MATCH(TB_Vendas[[#This Row],[Qtd]],Desc_Quantidades,1),MATCH(_xlfn.XLOOKUP(TB_Vendas[[#This Row],[Código]],TB_Produtos[[#All],[Código]],TB_Produtos[[#All],[Categoria]]),Desc_Categorias,0))</f>
        <v>0.2</v>
      </c>
      <c r="I35" s="86">
        <f>_xlfn.XLOOKUP(TB_Vendas[[#This Row],[Vendedor]],Vendedores!$A$4:$A$9,Vendedores!$D$4:$D$9)</f>
        <v>0.25</v>
      </c>
      <c r="J35" s="86">
        <f>IF(TB_Vendas[[#This Row],[Desc.]]&gt;TB_Vendas[[#This Row],[Desc. Vendedor]],TB_Vendas[[#This Row],[Desc. Vendedor]],TB_Vendas[[#This Row],[Desc.]])</f>
        <v>0.2</v>
      </c>
      <c r="K35" s="87">
        <f>(TB_Vendas[[#This Row],[Preço Unitário]]-(TB_Vendas[[#This Row],[Preço Unitário]]*TB_Vendas[[#This Row],[Desconto]]))*TB_Vendas[[#This Row],[Qtd]]</f>
        <v>62.16</v>
      </c>
      <c r="L35" s="87">
        <f>TB_Vendas[[#This Row],[Total]]-(TB_Vendas[[#This Row],[Total]]*TB_Vendas[[#This Row],[Desconto]])</f>
        <v>49.727999999999994</v>
      </c>
      <c r="M35" s="82" t="s">
        <v>109</v>
      </c>
      <c r="N35" s="94" t="str">
        <f>VLOOKUP(TB_Vendas[[#This Row],[Vendedor]],Vendedores!$A$4:$D$9,2,FALSE)</f>
        <v>Sarah</v>
      </c>
    </row>
    <row r="36" spans="1:14" s="62" customFormat="1" ht="26.25">
      <c r="A36" s="81" t="s">
        <v>134</v>
      </c>
      <c r="B36" s="82" t="s">
        <v>19</v>
      </c>
      <c r="C36" s="83" t="str">
        <f>VLOOKUP(TB_Vendas[[#This Row],[Código]],TB_Produtos[#All],2,FALSE)</f>
        <v>Bolsa coringa</v>
      </c>
      <c r="D36" s="83" t="str">
        <f>VLOOKUP(TB_Vendas[[#This Row],[Código]],TB_Produtos[#All],4,FALSE)</f>
        <v>Acessórios</v>
      </c>
      <c r="E36" s="84">
        <v>45027</v>
      </c>
      <c r="F36" s="82">
        <v>2</v>
      </c>
      <c r="G36" s="85">
        <f>VLOOKUP(TB_Vendas[[#This Row],[Código]],TB_Produtos[#All],6,FALSE)</f>
        <v>145</v>
      </c>
      <c r="H36" s="86" cm="1">
        <f t="array" ref="H36">INDEX(Desc_TabelaToda,MATCH(TB_Vendas[[#This Row],[Qtd]],Desc_Quantidades,1),MATCH(_xlfn.XLOOKUP(TB_Vendas[[#This Row],[Código]],TB_Produtos[[#All],[Código]],TB_Produtos[[#All],[Categoria]]),Desc_Categorias,0))</f>
        <v>0.05</v>
      </c>
      <c r="I36" s="86">
        <f>_xlfn.XLOOKUP(TB_Vendas[[#This Row],[Vendedor]],Vendedores!$A$4:$A$9,Vendedores!$D$4:$D$9)</f>
        <v>0.2</v>
      </c>
      <c r="J36" s="86">
        <f>IF(TB_Vendas[[#This Row],[Desc.]]&gt;TB_Vendas[[#This Row],[Desc. Vendedor]],TB_Vendas[[#This Row],[Desc. Vendedor]],TB_Vendas[[#This Row],[Desc.]])</f>
        <v>0.05</v>
      </c>
      <c r="K36" s="87">
        <f>(TB_Vendas[[#This Row],[Preço Unitário]]-(TB_Vendas[[#This Row],[Preço Unitário]]*TB_Vendas[[#This Row],[Desconto]]))*TB_Vendas[[#This Row],[Qtd]]</f>
        <v>275.5</v>
      </c>
      <c r="L36" s="87">
        <f>TB_Vendas[[#This Row],[Total]]-(TB_Vendas[[#This Row],[Total]]*TB_Vendas[[#This Row],[Desconto]])</f>
        <v>261.72500000000002</v>
      </c>
      <c r="M36" s="82" t="s">
        <v>106</v>
      </c>
      <c r="N36" s="94" t="str">
        <f>VLOOKUP(TB_Vendas[[#This Row],[Vendedor]],Vendedores!$A$4:$D$9,2,FALSE)</f>
        <v>João</v>
      </c>
    </row>
    <row r="37" spans="1:14" s="62" customFormat="1" ht="26.25">
      <c r="A37" s="81" t="s">
        <v>134</v>
      </c>
      <c r="B37" s="82" t="s">
        <v>25</v>
      </c>
      <c r="C37" s="83" t="str">
        <f>VLOOKUP(TB_Vendas[[#This Row],[Código]],TB_Produtos[#All],2,FALSE)</f>
        <v>Boné</v>
      </c>
      <c r="D37" s="83" t="str">
        <f>VLOOKUP(TB_Vendas[[#This Row],[Código]],TB_Produtos[#All],4,FALSE)</f>
        <v>Acessórios</v>
      </c>
      <c r="E37" s="84">
        <v>45028</v>
      </c>
      <c r="F37" s="82">
        <v>1</v>
      </c>
      <c r="G37" s="85">
        <f>VLOOKUP(TB_Vendas[[#This Row],[Código]],TB_Produtos[#All],6,FALSE)</f>
        <v>39.9</v>
      </c>
      <c r="H37" s="86" cm="1">
        <f t="array" ref="H37">INDEX(Desc_TabelaToda,MATCH(TB_Vendas[[#This Row],[Qtd]],Desc_Quantidades,1),MATCH(_xlfn.XLOOKUP(TB_Vendas[[#This Row],[Código]],TB_Produtos[[#All],[Código]],TB_Produtos[[#All],[Categoria]]),Desc_Categorias,0))</f>
        <v>0</v>
      </c>
      <c r="I37" s="86">
        <f>_xlfn.XLOOKUP(TB_Vendas[[#This Row],[Vendedor]],Vendedores!$A$4:$A$9,Vendedores!$D$4:$D$9)</f>
        <v>0.25</v>
      </c>
      <c r="J37" s="86">
        <f>IF(TB_Vendas[[#This Row],[Desc.]]&gt;TB_Vendas[[#This Row],[Desc. Vendedor]],TB_Vendas[[#This Row],[Desc. Vendedor]],TB_Vendas[[#This Row],[Desc.]])</f>
        <v>0</v>
      </c>
      <c r="K37" s="87">
        <f>(TB_Vendas[[#This Row],[Preço Unitário]]-(TB_Vendas[[#This Row],[Preço Unitário]]*TB_Vendas[[#This Row],[Desconto]]))*TB_Vendas[[#This Row],[Qtd]]</f>
        <v>39.9</v>
      </c>
      <c r="L37" s="87">
        <f>TB_Vendas[[#This Row],[Total]]-(TB_Vendas[[#This Row],[Total]]*TB_Vendas[[#This Row],[Desconto]])</f>
        <v>39.9</v>
      </c>
      <c r="M37" s="82" t="s">
        <v>109</v>
      </c>
      <c r="N37" s="94" t="str">
        <f>VLOOKUP(TB_Vendas[[#This Row],[Vendedor]],Vendedores!$A$4:$D$9,2,FALSE)</f>
        <v>Sarah</v>
      </c>
    </row>
    <row r="38" spans="1:14" s="62" customFormat="1" ht="26.25">
      <c r="A38" s="81" t="s">
        <v>134</v>
      </c>
      <c r="B38" s="82" t="s">
        <v>54</v>
      </c>
      <c r="C38" s="83" t="str">
        <f>VLOOKUP(TB_Vendas[[#This Row],[Código]],TB_Produtos[#All],2,FALSE)</f>
        <v>Óculos quadrado</v>
      </c>
      <c r="D38" s="83" t="str">
        <f>VLOOKUP(TB_Vendas[[#This Row],[Código]],TB_Produtos[#All],4,FALSE)</f>
        <v>Acessórios</v>
      </c>
      <c r="E38" s="84">
        <v>45029</v>
      </c>
      <c r="F38" s="82">
        <v>3</v>
      </c>
      <c r="G38" s="85">
        <f>VLOOKUP(TB_Vendas[[#This Row],[Código]],TB_Produtos[#All],6,FALSE)</f>
        <v>349.9</v>
      </c>
      <c r="H38" s="86" cm="1">
        <f t="array" ref="H38">INDEX(Desc_TabelaToda,MATCH(TB_Vendas[[#This Row],[Qtd]],Desc_Quantidades,1),MATCH(_xlfn.XLOOKUP(TB_Vendas[[#This Row],[Código]],TB_Produtos[[#All],[Código]],TB_Produtos[[#All],[Categoria]]),Desc_Categorias,0))</f>
        <v>0.15</v>
      </c>
      <c r="I38" s="86">
        <f>_xlfn.XLOOKUP(TB_Vendas[[#This Row],[Vendedor]],Vendedores!$A$4:$A$9,Vendedores!$D$4:$D$9)</f>
        <v>0.2</v>
      </c>
      <c r="J38" s="86">
        <f>IF(TB_Vendas[[#This Row],[Desc.]]&gt;TB_Vendas[[#This Row],[Desc. Vendedor]],TB_Vendas[[#This Row],[Desc. Vendedor]],TB_Vendas[[#This Row],[Desc.]])</f>
        <v>0.15</v>
      </c>
      <c r="K38" s="87">
        <f>(TB_Vendas[[#This Row],[Preço Unitário]]-(TB_Vendas[[#This Row],[Preço Unitário]]*TB_Vendas[[#This Row],[Desconto]]))*TB_Vendas[[#This Row],[Qtd]]</f>
        <v>892.24499999999989</v>
      </c>
      <c r="L38" s="87">
        <f>TB_Vendas[[#This Row],[Total]]-(TB_Vendas[[#This Row],[Total]]*TB_Vendas[[#This Row],[Desconto]])</f>
        <v>758.40824999999995</v>
      </c>
      <c r="M38" s="82" t="s">
        <v>115</v>
      </c>
      <c r="N38" s="94" t="str">
        <f>VLOOKUP(TB_Vendas[[#This Row],[Vendedor]],Vendedores!$A$4:$D$9,2,FALSE)</f>
        <v>Amanda</v>
      </c>
    </row>
    <row r="39" spans="1:14" s="62" customFormat="1" ht="26.25">
      <c r="A39" s="81" t="s">
        <v>134</v>
      </c>
      <c r="B39" s="82" t="s">
        <v>98</v>
      </c>
      <c r="C39" s="83" t="str">
        <f>VLOOKUP(TB_Vendas[[#This Row],[Código]],TB_Produtos[#All],2,FALSE)</f>
        <v>Sandália Rasteira</v>
      </c>
      <c r="D39" s="83" t="str">
        <f>VLOOKUP(TB_Vendas[[#This Row],[Código]],TB_Produtos[#All],4,FALSE)</f>
        <v>Calçado</v>
      </c>
      <c r="E39" s="84">
        <v>45031</v>
      </c>
      <c r="F39" s="82">
        <v>4</v>
      </c>
      <c r="G39" s="85">
        <f>VLOOKUP(TB_Vendas[[#This Row],[Código]],TB_Produtos[#All],6,FALSE)</f>
        <v>89.9</v>
      </c>
      <c r="H39" s="86" cm="1">
        <f t="array" ref="H39">INDEX(Desc_TabelaToda,MATCH(TB_Vendas[[#This Row],[Qtd]],Desc_Quantidades,1),MATCH(_xlfn.XLOOKUP(TB_Vendas[[#This Row],[Código]],TB_Produtos[[#All],[Código]],TB_Produtos[[#All],[Categoria]]),Desc_Categorias,0))</f>
        <v>0.15</v>
      </c>
      <c r="I39" s="86">
        <f>_xlfn.XLOOKUP(TB_Vendas[[#This Row],[Vendedor]],Vendedores!$A$4:$A$9,Vendedores!$D$4:$D$9)</f>
        <v>0.2</v>
      </c>
      <c r="J39" s="86">
        <f>IF(TB_Vendas[[#This Row],[Desc.]]&gt;TB_Vendas[[#This Row],[Desc. Vendedor]],TB_Vendas[[#This Row],[Desc. Vendedor]],TB_Vendas[[#This Row],[Desc.]])</f>
        <v>0.15</v>
      </c>
      <c r="K39" s="87">
        <f>(TB_Vendas[[#This Row],[Preço Unitário]]-(TB_Vendas[[#This Row],[Preço Unitário]]*TB_Vendas[[#This Row],[Desconto]]))*TB_Vendas[[#This Row],[Qtd]]</f>
        <v>305.66000000000003</v>
      </c>
      <c r="L39" s="87">
        <f>TB_Vendas[[#This Row],[Total]]-(TB_Vendas[[#This Row],[Total]]*TB_Vendas[[#This Row],[Desconto]])</f>
        <v>259.81100000000004</v>
      </c>
      <c r="M39" s="82" t="s">
        <v>106</v>
      </c>
      <c r="N39" s="94" t="str">
        <f>VLOOKUP(TB_Vendas[[#This Row],[Vendedor]],Vendedores!$A$4:$D$9,2,FALSE)</f>
        <v>João</v>
      </c>
    </row>
    <row r="40" spans="1:14" s="62" customFormat="1" ht="26.25">
      <c r="A40" s="81" t="s">
        <v>134</v>
      </c>
      <c r="B40" s="82" t="s">
        <v>95</v>
      </c>
      <c r="C40" s="83" t="str">
        <f>VLOOKUP(TB_Vendas[[#This Row],[Código]],TB_Produtos[#All],2,FALSE)</f>
        <v>Sandália Rasteira</v>
      </c>
      <c r="D40" s="83" t="str">
        <f>VLOOKUP(TB_Vendas[[#This Row],[Código]],TB_Produtos[#All],4,FALSE)</f>
        <v>Calçado</v>
      </c>
      <c r="E40" s="84">
        <v>45038</v>
      </c>
      <c r="F40" s="82">
        <v>2</v>
      </c>
      <c r="G40" s="85">
        <f>VLOOKUP(TB_Vendas[[#This Row],[Código]],TB_Produtos[#All],6,FALSE)</f>
        <v>89.9</v>
      </c>
      <c r="H40" s="86" cm="1">
        <f t="array" ref="H40">INDEX(Desc_TabelaToda,MATCH(TB_Vendas[[#This Row],[Qtd]],Desc_Quantidades,1),MATCH(_xlfn.XLOOKUP(TB_Vendas[[#This Row],[Código]],TB_Produtos[[#All],[Código]],TB_Produtos[[#All],[Categoria]]),Desc_Categorias,0))</f>
        <v>0.1</v>
      </c>
      <c r="I40" s="86">
        <f>_xlfn.XLOOKUP(TB_Vendas[[#This Row],[Vendedor]],Vendedores!$A$4:$A$9,Vendedores!$D$4:$D$9)</f>
        <v>0.2</v>
      </c>
      <c r="J40" s="86">
        <f>IF(TB_Vendas[[#This Row],[Desc.]]&gt;TB_Vendas[[#This Row],[Desc. Vendedor]],TB_Vendas[[#This Row],[Desc. Vendedor]],TB_Vendas[[#This Row],[Desc.]])</f>
        <v>0.1</v>
      </c>
      <c r="K40" s="87">
        <f>(TB_Vendas[[#This Row],[Preço Unitário]]-(TB_Vendas[[#This Row],[Preço Unitário]]*TB_Vendas[[#This Row],[Desconto]]))*TB_Vendas[[#This Row],[Qtd]]</f>
        <v>161.82000000000002</v>
      </c>
      <c r="L40" s="87">
        <f>TB_Vendas[[#This Row],[Total]]-(TB_Vendas[[#This Row],[Total]]*TB_Vendas[[#This Row],[Desconto]])</f>
        <v>145.63800000000003</v>
      </c>
      <c r="M40" s="82" t="s">
        <v>115</v>
      </c>
      <c r="N40" s="94" t="str">
        <f>VLOOKUP(TB_Vendas[[#This Row],[Vendedor]],Vendedores!$A$4:$D$9,2,FALSE)</f>
        <v>Amanda</v>
      </c>
    </row>
    <row r="41" spans="1:14" s="62" customFormat="1" ht="26.25">
      <c r="A41" s="81" t="s">
        <v>134</v>
      </c>
      <c r="B41" s="82" t="s">
        <v>15</v>
      </c>
      <c r="C41" s="83" t="str">
        <f>VLOOKUP(TB_Vendas[[#This Row],[Código]],TB_Produtos[#All],2,FALSE)</f>
        <v>Bermuda</v>
      </c>
      <c r="D41" s="83" t="str">
        <f>VLOOKUP(TB_Vendas[[#This Row],[Código]],TB_Produtos[#All],4,FALSE)</f>
        <v>Vestuário</v>
      </c>
      <c r="E41" s="84">
        <v>45039</v>
      </c>
      <c r="F41" s="82">
        <v>3</v>
      </c>
      <c r="G41" s="85">
        <f>VLOOKUP(TB_Vendas[[#This Row],[Código]],TB_Produtos[#All],6,FALSE)</f>
        <v>69.900000000000006</v>
      </c>
      <c r="H41" s="86" cm="1">
        <f t="array" ref="H41">INDEX(Desc_TabelaToda,MATCH(TB_Vendas[[#This Row],[Qtd]],Desc_Quantidades,1),MATCH(_xlfn.XLOOKUP(TB_Vendas[[#This Row],[Código]],TB_Produtos[[#All],[Código]],TB_Produtos[[#All],[Categoria]]),Desc_Categorias,0))</f>
        <v>0.2</v>
      </c>
      <c r="I41" s="86">
        <f>_xlfn.XLOOKUP(TB_Vendas[[#This Row],[Vendedor]],Vendedores!$A$4:$A$9,Vendedores!$D$4:$D$9)</f>
        <v>0.2</v>
      </c>
      <c r="J41" s="86">
        <f>IF(TB_Vendas[[#This Row],[Desc.]]&gt;TB_Vendas[[#This Row],[Desc. Vendedor]],TB_Vendas[[#This Row],[Desc. Vendedor]],TB_Vendas[[#This Row],[Desc.]])</f>
        <v>0.2</v>
      </c>
      <c r="K41" s="87">
        <f>(TB_Vendas[[#This Row],[Preço Unitário]]-(TB_Vendas[[#This Row],[Preço Unitário]]*TB_Vendas[[#This Row],[Desconto]]))*TB_Vendas[[#This Row],[Qtd]]</f>
        <v>167.76</v>
      </c>
      <c r="L41" s="87">
        <f>TB_Vendas[[#This Row],[Total]]-(TB_Vendas[[#This Row],[Total]]*TB_Vendas[[#This Row],[Desconto]])</f>
        <v>134.208</v>
      </c>
      <c r="M41" s="82" t="s">
        <v>106</v>
      </c>
      <c r="N41" s="94" t="str">
        <f>VLOOKUP(TB_Vendas[[#This Row],[Vendedor]],Vendedores!$A$4:$D$9,2,FALSE)</f>
        <v>João</v>
      </c>
    </row>
    <row r="42" spans="1:14" s="62" customFormat="1" ht="26.25">
      <c r="A42" s="81" t="s">
        <v>134</v>
      </c>
      <c r="B42" s="82" t="s">
        <v>19</v>
      </c>
      <c r="C42" s="83" t="str">
        <f>VLOOKUP(TB_Vendas[[#This Row],[Código]],TB_Produtos[#All],2,FALSE)</f>
        <v>Bolsa coringa</v>
      </c>
      <c r="D42" s="83" t="str">
        <f>VLOOKUP(TB_Vendas[[#This Row],[Código]],TB_Produtos[#All],4,FALSE)</f>
        <v>Acessórios</v>
      </c>
      <c r="E42" s="84">
        <v>45042</v>
      </c>
      <c r="F42" s="82">
        <v>1</v>
      </c>
      <c r="G42" s="85">
        <f>VLOOKUP(TB_Vendas[[#This Row],[Código]],TB_Produtos[#All],6,FALSE)</f>
        <v>145</v>
      </c>
      <c r="H42" s="86" cm="1">
        <f t="array" ref="H42">INDEX(Desc_TabelaToda,MATCH(TB_Vendas[[#This Row],[Qtd]],Desc_Quantidades,1),MATCH(_xlfn.XLOOKUP(TB_Vendas[[#This Row],[Código]],TB_Produtos[[#All],[Código]],TB_Produtos[[#All],[Categoria]]),Desc_Categorias,0))</f>
        <v>0</v>
      </c>
      <c r="I42" s="86">
        <f>_xlfn.XLOOKUP(TB_Vendas[[#This Row],[Vendedor]],Vendedores!$A$4:$A$9,Vendedores!$D$4:$D$9)</f>
        <v>0.15</v>
      </c>
      <c r="J42" s="86">
        <f>IF(TB_Vendas[[#This Row],[Desc.]]&gt;TB_Vendas[[#This Row],[Desc. Vendedor]],TB_Vendas[[#This Row],[Desc. Vendedor]],TB_Vendas[[#This Row],[Desc.]])</f>
        <v>0</v>
      </c>
      <c r="K42" s="87">
        <f>(TB_Vendas[[#This Row],[Preço Unitário]]-(TB_Vendas[[#This Row],[Preço Unitário]]*TB_Vendas[[#This Row],[Desconto]]))*TB_Vendas[[#This Row],[Qtd]]</f>
        <v>145</v>
      </c>
      <c r="L42" s="87">
        <f>TB_Vendas[[#This Row],[Total]]-(TB_Vendas[[#This Row],[Total]]*TB_Vendas[[#This Row],[Desconto]])</f>
        <v>145</v>
      </c>
      <c r="M42" s="82" t="s">
        <v>118</v>
      </c>
      <c r="N42" s="94" t="str">
        <f>VLOOKUP(TB_Vendas[[#This Row],[Vendedor]],Vendedores!$A$4:$D$9,2,FALSE)</f>
        <v>Bruno</v>
      </c>
    </row>
    <row r="43" spans="1:14" s="62" customFormat="1" ht="26.25">
      <c r="A43" s="81" t="s">
        <v>134</v>
      </c>
      <c r="B43" s="82" t="s">
        <v>33</v>
      </c>
      <c r="C43" s="83" t="str">
        <f>VLOOKUP(TB_Vendas[[#This Row],[Código]],TB_Produtos[#All],2,FALSE)</f>
        <v>Calça legging</v>
      </c>
      <c r="D43" s="83" t="str">
        <f>VLOOKUP(TB_Vendas[[#This Row],[Código]],TB_Produtos[#All],4,FALSE)</f>
        <v>Vestuário</v>
      </c>
      <c r="E43" s="84">
        <v>45043</v>
      </c>
      <c r="F43" s="82">
        <v>4</v>
      </c>
      <c r="G43" s="85">
        <f>VLOOKUP(TB_Vendas[[#This Row],[Código]],TB_Produtos[#All],6,FALSE)</f>
        <v>46.9</v>
      </c>
      <c r="H43" s="86" cm="1">
        <f t="array" ref="H43">INDEX(Desc_TabelaToda,MATCH(TB_Vendas[[#This Row],[Qtd]],Desc_Quantidades,1),MATCH(_xlfn.XLOOKUP(TB_Vendas[[#This Row],[Código]],TB_Produtos[[#All],[Código]],TB_Produtos[[#All],[Categoria]]),Desc_Categorias,0))</f>
        <v>0.2</v>
      </c>
      <c r="I43" s="86">
        <f>_xlfn.XLOOKUP(TB_Vendas[[#This Row],[Vendedor]],Vendedores!$A$4:$A$9,Vendedores!$D$4:$D$9)</f>
        <v>0.2</v>
      </c>
      <c r="J43" s="86">
        <f>IF(TB_Vendas[[#This Row],[Desc.]]&gt;TB_Vendas[[#This Row],[Desc. Vendedor]],TB_Vendas[[#This Row],[Desc. Vendedor]],TB_Vendas[[#This Row],[Desc.]])</f>
        <v>0.2</v>
      </c>
      <c r="K43" s="87">
        <f>(TB_Vendas[[#This Row],[Preço Unitário]]-(TB_Vendas[[#This Row],[Preço Unitário]]*TB_Vendas[[#This Row],[Desconto]]))*TB_Vendas[[#This Row],[Qtd]]</f>
        <v>150.07999999999998</v>
      </c>
      <c r="L43" s="87">
        <f>TB_Vendas[[#This Row],[Total]]-(TB_Vendas[[#This Row],[Total]]*TB_Vendas[[#This Row],[Desconto]])</f>
        <v>120.06399999999999</v>
      </c>
      <c r="M43" s="82" t="s">
        <v>106</v>
      </c>
      <c r="N43" s="94" t="str">
        <f>VLOOKUP(TB_Vendas[[#This Row],[Vendedor]],Vendedores!$A$4:$D$9,2,FALSE)</f>
        <v>João</v>
      </c>
    </row>
    <row r="44" spans="1:14" s="62" customFormat="1" ht="26.25">
      <c r="A44" s="81" t="s">
        <v>135</v>
      </c>
      <c r="B44" s="82" t="s">
        <v>79</v>
      </c>
      <c r="C44" s="83" t="str">
        <f>VLOOKUP(TB_Vendas[[#This Row],[Código]],TB_Produtos[#All],2,FALSE)</f>
        <v>Vestido Floral</v>
      </c>
      <c r="D44" s="83" t="str">
        <f>VLOOKUP(TB_Vendas[[#This Row],[Código]],TB_Produtos[#All],4,FALSE)</f>
        <v>Vestuário</v>
      </c>
      <c r="E44" s="84">
        <v>45054</v>
      </c>
      <c r="F44" s="82">
        <v>2</v>
      </c>
      <c r="G44" s="85">
        <f>VLOOKUP(TB_Vendas[[#This Row],[Código]],TB_Produtos[#All],6,FALSE)</f>
        <v>72.5</v>
      </c>
      <c r="H44" s="86" cm="1">
        <f t="array" ref="H44">INDEX(Desc_TabelaToda,MATCH(TB_Vendas[[#This Row],[Qtd]],Desc_Quantidades,1),MATCH(_xlfn.XLOOKUP(TB_Vendas[[#This Row],[Código]],TB_Produtos[[#All],[Código]],TB_Produtos[[#All],[Categoria]]),Desc_Categorias,0))</f>
        <v>0.15</v>
      </c>
      <c r="I44" s="86">
        <f>_xlfn.XLOOKUP(TB_Vendas[[#This Row],[Vendedor]],Vendedores!$A$4:$A$9,Vendedores!$D$4:$D$9)</f>
        <v>0.15</v>
      </c>
      <c r="J44" s="86">
        <f>IF(TB_Vendas[[#This Row],[Desc.]]&gt;TB_Vendas[[#This Row],[Desc. Vendedor]],TB_Vendas[[#This Row],[Desc. Vendedor]],TB_Vendas[[#This Row],[Desc.]])</f>
        <v>0.15</v>
      </c>
      <c r="K44" s="87">
        <f>(TB_Vendas[[#This Row],[Preço Unitário]]-(TB_Vendas[[#This Row],[Preço Unitário]]*TB_Vendas[[#This Row],[Desconto]]))*TB_Vendas[[#This Row],[Qtd]]</f>
        <v>123.25</v>
      </c>
      <c r="L44" s="87">
        <f>TB_Vendas[[#This Row],[Total]]-(TB_Vendas[[#This Row],[Total]]*TB_Vendas[[#This Row],[Desconto]])</f>
        <v>104.7625</v>
      </c>
      <c r="M44" s="82" t="s">
        <v>118</v>
      </c>
      <c r="N44" s="94" t="str">
        <f>VLOOKUP(TB_Vendas[[#This Row],[Vendedor]],Vendedores!$A$4:$D$9,2,FALSE)</f>
        <v>Bruno</v>
      </c>
    </row>
    <row r="45" spans="1:14" s="62" customFormat="1" ht="26.25">
      <c r="A45" s="81" t="s">
        <v>135</v>
      </c>
      <c r="B45" s="82" t="s">
        <v>71</v>
      </c>
      <c r="C45" s="83" t="str">
        <f>VLOOKUP(TB_Vendas[[#This Row],[Código]],TB_Produtos[#All],2,FALSE)</f>
        <v>Vestido longo</v>
      </c>
      <c r="D45" s="83" t="str">
        <f>VLOOKUP(TB_Vendas[[#This Row],[Código]],TB_Produtos[#All],4,FALSE)</f>
        <v>Vestuário</v>
      </c>
      <c r="E45" s="84">
        <v>45055</v>
      </c>
      <c r="F45" s="82">
        <v>3</v>
      </c>
      <c r="G45" s="85">
        <f>VLOOKUP(TB_Vendas[[#This Row],[Código]],TB_Produtos[#All],6,FALSE)</f>
        <v>140</v>
      </c>
      <c r="H45" s="86" cm="1">
        <f t="array" ref="H45">INDEX(Desc_TabelaToda,MATCH(TB_Vendas[[#This Row],[Qtd]],Desc_Quantidades,1),MATCH(_xlfn.XLOOKUP(TB_Vendas[[#This Row],[Código]],TB_Produtos[[#All],[Código]],TB_Produtos[[#All],[Categoria]]),Desc_Categorias,0))</f>
        <v>0.2</v>
      </c>
      <c r="I45" s="86">
        <f>_xlfn.XLOOKUP(TB_Vendas[[#This Row],[Vendedor]],Vendedores!$A$4:$A$9,Vendedores!$D$4:$D$9)</f>
        <v>0.2</v>
      </c>
      <c r="J45" s="86">
        <f>IF(TB_Vendas[[#This Row],[Desc.]]&gt;TB_Vendas[[#This Row],[Desc. Vendedor]],TB_Vendas[[#This Row],[Desc. Vendedor]],TB_Vendas[[#This Row],[Desc.]])</f>
        <v>0.2</v>
      </c>
      <c r="K45" s="87">
        <f>(TB_Vendas[[#This Row],[Preço Unitário]]-(TB_Vendas[[#This Row],[Preço Unitário]]*TB_Vendas[[#This Row],[Desconto]]))*TB_Vendas[[#This Row],[Qtd]]</f>
        <v>336</v>
      </c>
      <c r="L45" s="87">
        <f>TB_Vendas[[#This Row],[Total]]-(TB_Vendas[[#This Row],[Total]]*TB_Vendas[[#This Row],[Desconto]])</f>
        <v>268.8</v>
      </c>
      <c r="M45" s="82" t="s">
        <v>115</v>
      </c>
      <c r="N45" s="94" t="str">
        <f>VLOOKUP(TB_Vendas[[#This Row],[Vendedor]],Vendedores!$A$4:$D$9,2,FALSE)</f>
        <v>Amanda</v>
      </c>
    </row>
    <row r="46" spans="1:14" s="62" customFormat="1" ht="26.25">
      <c r="A46" s="81" t="s">
        <v>135</v>
      </c>
      <c r="B46" s="82" t="s">
        <v>69</v>
      </c>
      <c r="C46" s="83" t="str">
        <f>VLOOKUP(TB_Vendas[[#This Row],[Código]],TB_Produtos[#All],2,FALSE)</f>
        <v>Vestido curto</v>
      </c>
      <c r="D46" s="83" t="str">
        <f>VLOOKUP(TB_Vendas[[#This Row],[Código]],TB_Produtos[#All],4,FALSE)</f>
        <v>Vestuário</v>
      </c>
      <c r="E46" s="84">
        <v>45056</v>
      </c>
      <c r="F46" s="82">
        <v>1</v>
      </c>
      <c r="G46" s="85">
        <f>VLOOKUP(TB_Vendas[[#This Row],[Código]],TB_Produtos[#All],6,FALSE)</f>
        <v>91.4</v>
      </c>
      <c r="H46" s="86" cm="1">
        <f t="array" ref="H46">INDEX(Desc_TabelaToda,MATCH(TB_Vendas[[#This Row],[Qtd]],Desc_Quantidades,1),MATCH(_xlfn.XLOOKUP(TB_Vendas[[#This Row],[Código]],TB_Produtos[[#All],[Código]],TB_Produtos[[#All],[Categoria]]),Desc_Categorias,0))</f>
        <v>0.1</v>
      </c>
      <c r="I46" s="86">
        <f>_xlfn.XLOOKUP(TB_Vendas[[#This Row],[Vendedor]],Vendedores!$A$4:$A$9,Vendedores!$D$4:$D$9)</f>
        <v>0.25</v>
      </c>
      <c r="J46" s="86">
        <f>IF(TB_Vendas[[#This Row],[Desc.]]&gt;TB_Vendas[[#This Row],[Desc. Vendedor]],TB_Vendas[[#This Row],[Desc. Vendedor]],TB_Vendas[[#This Row],[Desc.]])</f>
        <v>0.1</v>
      </c>
      <c r="K46" s="87">
        <f>(TB_Vendas[[#This Row],[Preço Unitário]]-(TB_Vendas[[#This Row],[Preço Unitário]]*TB_Vendas[[#This Row],[Desconto]]))*TB_Vendas[[#This Row],[Qtd]]</f>
        <v>82.26</v>
      </c>
      <c r="L46" s="87">
        <f>TB_Vendas[[#This Row],[Total]]-(TB_Vendas[[#This Row],[Total]]*TB_Vendas[[#This Row],[Desconto]])</f>
        <v>74.034000000000006</v>
      </c>
      <c r="M46" s="82" t="s">
        <v>109</v>
      </c>
      <c r="N46" s="94" t="str">
        <f>VLOOKUP(TB_Vendas[[#This Row],[Vendedor]],Vendedores!$A$4:$D$9,2,FALSE)</f>
        <v>Sarah</v>
      </c>
    </row>
    <row r="47" spans="1:14" s="62" customFormat="1" ht="26.25">
      <c r="A47" s="81" t="s">
        <v>135</v>
      </c>
      <c r="B47" s="82" t="s">
        <v>54</v>
      </c>
      <c r="C47" s="83" t="str">
        <f>VLOOKUP(TB_Vendas[[#This Row],[Código]],TB_Produtos[#All],2,FALSE)</f>
        <v>Óculos quadrado</v>
      </c>
      <c r="D47" s="83" t="str">
        <f>VLOOKUP(TB_Vendas[[#This Row],[Código]],TB_Produtos[#All],4,FALSE)</f>
        <v>Acessórios</v>
      </c>
      <c r="E47" s="84">
        <v>45057</v>
      </c>
      <c r="F47" s="82">
        <v>2</v>
      </c>
      <c r="G47" s="85">
        <f>VLOOKUP(TB_Vendas[[#This Row],[Código]],TB_Produtos[#All],6,FALSE)</f>
        <v>349.9</v>
      </c>
      <c r="H47" s="86" cm="1">
        <f t="array" ref="H47">INDEX(Desc_TabelaToda,MATCH(TB_Vendas[[#This Row],[Qtd]],Desc_Quantidades,1),MATCH(_xlfn.XLOOKUP(TB_Vendas[[#This Row],[Código]],TB_Produtos[[#All],[Código]],TB_Produtos[[#All],[Categoria]]),Desc_Categorias,0))</f>
        <v>0.05</v>
      </c>
      <c r="I47" s="86">
        <f>_xlfn.XLOOKUP(TB_Vendas[[#This Row],[Vendedor]],Vendedores!$A$4:$A$9,Vendedores!$D$4:$D$9)</f>
        <v>0.2</v>
      </c>
      <c r="J47" s="86">
        <f>IF(TB_Vendas[[#This Row],[Desc.]]&gt;TB_Vendas[[#This Row],[Desc. Vendedor]],TB_Vendas[[#This Row],[Desc. Vendedor]],TB_Vendas[[#This Row],[Desc.]])</f>
        <v>0.05</v>
      </c>
      <c r="K47" s="87">
        <f>(TB_Vendas[[#This Row],[Preço Unitário]]-(TB_Vendas[[#This Row],[Preço Unitário]]*TB_Vendas[[#This Row],[Desconto]]))*TB_Vendas[[#This Row],[Qtd]]</f>
        <v>664.81</v>
      </c>
      <c r="L47" s="87">
        <f>TB_Vendas[[#This Row],[Total]]-(TB_Vendas[[#This Row],[Total]]*TB_Vendas[[#This Row],[Desconto]])</f>
        <v>631.56949999999995</v>
      </c>
      <c r="M47" s="82" t="s">
        <v>115</v>
      </c>
      <c r="N47" s="94" t="str">
        <f>VLOOKUP(TB_Vendas[[#This Row],[Vendedor]],Vendedores!$A$4:$D$9,2,FALSE)</f>
        <v>Amanda</v>
      </c>
    </row>
    <row r="48" spans="1:14" s="62" customFormat="1" ht="26.25">
      <c r="A48" s="81" t="s">
        <v>135</v>
      </c>
      <c r="B48" s="82" t="s">
        <v>11</v>
      </c>
      <c r="C48" s="83" t="str">
        <f>VLOOKUP(TB_Vendas[[#This Row],[Código]],TB_Produtos[#All],2,FALSE)</f>
        <v>Bermuda</v>
      </c>
      <c r="D48" s="83" t="str">
        <f>VLOOKUP(TB_Vendas[[#This Row],[Código]],TB_Produtos[#All],4,FALSE)</f>
        <v>Vestuário</v>
      </c>
      <c r="E48" s="84">
        <v>45058</v>
      </c>
      <c r="F48" s="82">
        <v>3</v>
      </c>
      <c r="G48" s="85">
        <f>VLOOKUP(TB_Vendas[[#This Row],[Código]],TB_Produtos[#All],6,FALSE)</f>
        <v>65.900000000000006</v>
      </c>
      <c r="H48" s="86" cm="1">
        <f t="array" ref="H48">INDEX(Desc_TabelaToda,MATCH(TB_Vendas[[#This Row],[Qtd]],Desc_Quantidades,1),MATCH(_xlfn.XLOOKUP(TB_Vendas[[#This Row],[Código]],TB_Produtos[[#All],[Código]],TB_Produtos[[#All],[Categoria]]),Desc_Categorias,0))</f>
        <v>0.2</v>
      </c>
      <c r="I48" s="86">
        <f>_xlfn.XLOOKUP(TB_Vendas[[#This Row],[Vendedor]],Vendedores!$A$4:$A$9,Vendedores!$D$4:$D$9)</f>
        <v>0.25</v>
      </c>
      <c r="J48" s="86">
        <f>IF(TB_Vendas[[#This Row],[Desc.]]&gt;TB_Vendas[[#This Row],[Desc. Vendedor]],TB_Vendas[[#This Row],[Desc. Vendedor]],TB_Vendas[[#This Row],[Desc.]])</f>
        <v>0.2</v>
      </c>
      <c r="K48" s="87">
        <f>(TB_Vendas[[#This Row],[Preço Unitário]]-(TB_Vendas[[#This Row],[Preço Unitário]]*TB_Vendas[[#This Row],[Desconto]]))*TB_Vendas[[#This Row],[Qtd]]</f>
        <v>158.16000000000003</v>
      </c>
      <c r="L48" s="87">
        <f>TB_Vendas[[#This Row],[Total]]-(TB_Vendas[[#This Row],[Total]]*TB_Vendas[[#This Row],[Desconto]])</f>
        <v>126.52800000000002</v>
      </c>
      <c r="M48" s="82" t="s">
        <v>109</v>
      </c>
      <c r="N48" s="94" t="str">
        <f>VLOOKUP(TB_Vendas[[#This Row],[Vendedor]],Vendedores!$A$4:$D$9,2,FALSE)</f>
        <v>Sarah</v>
      </c>
    </row>
    <row r="49" spans="1:14" s="62" customFormat="1" ht="26.25">
      <c r="A49" s="81" t="s">
        <v>135</v>
      </c>
      <c r="B49" s="82" t="s">
        <v>69</v>
      </c>
      <c r="C49" s="83" t="str">
        <f>VLOOKUP(TB_Vendas[[#This Row],[Código]],TB_Produtos[#All],2,FALSE)</f>
        <v>Vestido curto</v>
      </c>
      <c r="D49" s="83" t="str">
        <f>VLOOKUP(TB_Vendas[[#This Row],[Código]],TB_Produtos[#All],4,FALSE)</f>
        <v>Vestuário</v>
      </c>
      <c r="E49" s="84">
        <v>45061</v>
      </c>
      <c r="F49" s="82">
        <v>2</v>
      </c>
      <c r="G49" s="85">
        <f>VLOOKUP(TB_Vendas[[#This Row],[Código]],TB_Produtos[#All],6,FALSE)</f>
        <v>91.4</v>
      </c>
      <c r="H49" s="86" cm="1">
        <f t="array" ref="H49">INDEX(Desc_TabelaToda,MATCH(TB_Vendas[[#This Row],[Qtd]],Desc_Quantidades,1),MATCH(_xlfn.XLOOKUP(TB_Vendas[[#This Row],[Código]],TB_Produtos[[#All],[Código]],TB_Produtos[[#All],[Categoria]]),Desc_Categorias,0))</f>
        <v>0.15</v>
      </c>
      <c r="I49" s="86">
        <f>_xlfn.XLOOKUP(TB_Vendas[[#This Row],[Vendedor]],Vendedores!$A$4:$A$9,Vendedores!$D$4:$D$9)</f>
        <v>0.2</v>
      </c>
      <c r="J49" s="86">
        <f>IF(TB_Vendas[[#This Row],[Desc.]]&gt;TB_Vendas[[#This Row],[Desc. Vendedor]],TB_Vendas[[#This Row],[Desc. Vendedor]],TB_Vendas[[#This Row],[Desc.]])</f>
        <v>0.15</v>
      </c>
      <c r="K49" s="87">
        <f>(TB_Vendas[[#This Row],[Preço Unitário]]-(TB_Vendas[[#This Row],[Preço Unitário]]*TB_Vendas[[#This Row],[Desconto]]))*TB_Vendas[[#This Row],[Qtd]]</f>
        <v>155.38</v>
      </c>
      <c r="L49" s="87">
        <f>TB_Vendas[[#This Row],[Total]]-(TB_Vendas[[#This Row],[Total]]*TB_Vendas[[#This Row],[Desconto]])</f>
        <v>132.07300000000001</v>
      </c>
      <c r="M49" s="82" t="s">
        <v>106</v>
      </c>
      <c r="N49" s="94" t="str">
        <f>VLOOKUP(TB_Vendas[[#This Row],[Vendedor]],Vendedores!$A$4:$D$9,2,FALSE)</f>
        <v>João</v>
      </c>
    </row>
    <row r="50" spans="1:14" s="62" customFormat="1" ht="26.25">
      <c r="A50" s="81" t="s">
        <v>135</v>
      </c>
      <c r="B50" s="82" t="s">
        <v>23</v>
      </c>
      <c r="C50" s="83" t="str">
        <f>VLOOKUP(TB_Vendas[[#This Row],[Código]],TB_Produtos[#All],2,FALSE)</f>
        <v>Bolsa de couro</v>
      </c>
      <c r="D50" s="83" t="str">
        <f>VLOOKUP(TB_Vendas[[#This Row],[Código]],TB_Produtos[#All],4,FALSE)</f>
        <v>Acessórios</v>
      </c>
      <c r="E50" s="84">
        <v>45064</v>
      </c>
      <c r="F50" s="82">
        <v>4</v>
      </c>
      <c r="G50" s="85">
        <f>VLOOKUP(TB_Vendas[[#This Row],[Código]],TB_Produtos[#All],6,FALSE)</f>
        <v>259.89999999999998</v>
      </c>
      <c r="H50" s="86" cm="1">
        <f t="array" ref="H50">INDEX(Desc_TabelaToda,MATCH(TB_Vendas[[#This Row],[Qtd]],Desc_Quantidades,1),MATCH(_xlfn.XLOOKUP(TB_Vendas[[#This Row],[Código]],TB_Produtos[[#All],[Código]],TB_Produtos[[#All],[Categoria]]),Desc_Categorias,0))</f>
        <v>0.15</v>
      </c>
      <c r="I50" s="86">
        <f>_xlfn.XLOOKUP(TB_Vendas[[#This Row],[Vendedor]],Vendedores!$A$4:$A$9,Vendedores!$D$4:$D$9)</f>
        <v>0.25</v>
      </c>
      <c r="J50" s="86">
        <f>IF(TB_Vendas[[#This Row],[Desc.]]&gt;TB_Vendas[[#This Row],[Desc. Vendedor]],TB_Vendas[[#This Row],[Desc. Vendedor]],TB_Vendas[[#This Row],[Desc.]])</f>
        <v>0.15</v>
      </c>
      <c r="K50" s="87">
        <f>(TB_Vendas[[#This Row],[Preço Unitário]]-(TB_Vendas[[#This Row],[Preço Unitário]]*TB_Vendas[[#This Row],[Desconto]]))*TB_Vendas[[#This Row],[Qtd]]</f>
        <v>883.66</v>
      </c>
      <c r="L50" s="87">
        <f>TB_Vendas[[#This Row],[Total]]-(TB_Vendas[[#This Row],[Total]]*TB_Vendas[[#This Row],[Desconto]])</f>
        <v>751.11099999999999</v>
      </c>
      <c r="M50" s="82" t="s">
        <v>109</v>
      </c>
      <c r="N50" s="94" t="str">
        <f>VLOOKUP(TB_Vendas[[#This Row],[Vendedor]],Vendedores!$A$4:$D$9,2,FALSE)</f>
        <v>Sarah</v>
      </c>
    </row>
    <row r="51" spans="1:14" s="62" customFormat="1" ht="26.25">
      <c r="A51" s="81" t="s">
        <v>136</v>
      </c>
      <c r="B51" s="82" t="s">
        <v>19</v>
      </c>
      <c r="C51" s="83" t="str">
        <f>VLOOKUP(TB_Vendas[[#This Row],[Código]],TB_Produtos[#All],2,FALSE)</f>
        <v>Bolsa coringa</v>
      </c>
      <c r="D51" s="83" t="str">
        <f>VLOOKUP(TB_Vendas[[#This Row],[Código]],TB_Produtos[#All],4,FALSE)</f>
        <v>Acessórios</v>
      </c>
      <c r="E51" s="84">
        <v>45084</v>
      </c>
      <c r="F51" s="82">
        <v>3</v>
      </c>
      <c r="G51" s="85">
        <f>VLOOKUP(TB_Vendas[[#This Row],[Código]],TB_Produtos[#All],6,FALSE)</f>
        <v>145</v>
      </c>
      <c r="H51" s="86" cm="1">
        <f t="array" ref="H51">INDEX(Desc_TabelaToda,MATCH(TB_Vendas[[#This Row],[Qtd]],Desc_Quantidades,1),MATCH(_xlfn.XLOOKUP(TB_Vendas[[#This Row],[Código]],TB_Produtos[[#All],[Código]],TB_Produtos[[#All],[Categoria]]),Desc_Categorias,0))</f>
        <v>0.15</v>
      </c>
      <c r="I51" s="86">
        <f>_xlfn.XLOOKUP(TB_Vendas[[#This Row],[Vendedor]],Vendedores!$A$4:$A$9,Vendedores!$D$4:$D$9)</f>
        <v>0.2</v>
      </c>
      <c r="J51" s="86">
        <f>IF(TB_Vendas[[#This Row],[Desc.]]&gt;TB_Vendas[[#This Row],[Desc. Vendedor]],TB_Vendas[[#This Row],[Desc. Vendedor]],TB_Vendas[[#This Row],[Desc.]])</f>
        <v>0.15</v>
      </c>
      <c r="K51" s="87">
        <f>(TB_Vendas[[#This Row],[Preço Unitário]]-(TB_Vendas[[#This Row],[Preço Unitário]]*TB_Vendas[[#This Row],[Desconto]]))*TB_Vendas[[#This Row],[Qtd]]</f>
        <v>369.75</v>
      </c>
      <c r="L51" s="87">
        <f>TB_Vendas[[#This Row],[Total]]-(TB_Vendas[[#This Row],[Total]]*TB_Vendas[[#This Row],[Desconto]])</f>
        <v>314.28750000000002</v>
      </c>
      <c r="M51" s="82" t="s">
        <v>106</v>
      </c>
      <c r="N51" s="94" t="str">
        <f>VLOOKUP(TB_Vendas[[#This Row],[Vendedor]],Vendedores!$A$4:$D$9,2,FALSE)</f>
        <v>João</v>
      </c>
    </row>
    <row r="52" spans="1:14" s="62" customFormat="1" ht="26.25">
      <c r="A52" s="81" t="s">
        <v>136</v>
      </c>
      <c r="B52" s="82" t="s">
        <v>73</v>
      </c>
      <c r="C52" s="83" t="str">
        <f>VLOOKUP(TB_Vendas[[#This Row],[Código]],TB_Produtos[#All],2,FALSE)</f>
        <v>Vestido longo</v>
      </c>
      <c r="D52" s="83" t="str">
        <f>VLOOKUP(TB_Vendas[[#This Row],[Código]],TB_Produtos[#All],4,FALSE)</f>
        <v>Vestuário</v>
      </c>
      <c r="E52" s="84">
        <v>45084</v>
      </c>
      <c r="F52" s="82">
        <v>2</v>
      </c>
      <c r="G52" s="85">
        <f>VLOOKUP(TB_Vendas[[#This Row],[Código]],TB_Produtos[#All],6,FALSE)</f>
        <v>142.9</v>
      </c>
      <c r="H52" s="86" cm="1">
        <f t="array" ref="H52">INDEX(Desc_TabelaToda,MATCH(TB_Vendas[[#This Row],[Qtd]],Desc_Quantidades,1),MATCH(_xlfn.XLOOKUP(TB_Vendas[[#This Row],[Código]],TB_Produtos[[#All],[Código]],TB_Produtos[[#All],[Categoria]]),Desc_Categorias,0))</f>
        <v>0.15</v>
      </c>
      <c r="I52" s="86">
        <f>_xlfn.XLOOKUP(TB_Vendas[[#This Row],[Vendedor]],Vendedores!$A$4:$A$9,Vendedores!$D$4:$D$9)</f>
        <v>0.1</v>
      </c>
      <c r="J52" s="86">
        <f>IF(TB_Vendas[[#This Row],[Desc.]]&gt;TB_Vendas[[#This Row],[Desc. Vendedor]],TB_Vendas[[#This Row],[Desc. Vendedor]],TB_Vendas[[#This Row],[Desc.]])</f>
        <v>0.1</v>
      </c>
      <c r="K52" s="87">
        <f>(TB_Vendas[[#This Row],[Preço Unitário]]-(TB_Vendas[[#This Row],[Preço Unitário]]*TB_Vendas[[#This Row],[Desconto]]))*TB_Vendas[[#This Row],[Qtd]]</f>
        <v>257.22000000000003</v>
      </c>
      <c r="L52" s="87">
        <f>TB_Vendas[[#This Row],[Total]]-(TB_Vendas[[#This Row],[Total]]*TB_Vendas[[#This Row],[Desconto]])</f>
        <v>231.49800000000002</v>
      </c>
      <c r="M52" s="82" t="s">
        <v>112</v>
      </c>
      <c r="N52" s="94" t="str">
        <f>VLOOKUP(TB_Vendas[[#This Row],[Vendedor]],Vendedores!$A$4:$D$9,2,FALSE)</f>
        <v>Clara</v>
      </c>
    </row>
    <row r="53" spans="1:14" s="62" customFormat="1" ht="26.25">
      <c r="A53" s="81" t="s">
        <v>136</v>
      </c>
      <c r="B53" s="82" t="s">
        <v>101</v>
      </c>
      <c r="C53" s="83" t="str">
        <f>VLOOKUP(TB_Vendas[[#This Row],[Código]],TB_Produtos[#All],2,FALSE)</f>
        <v>Calça Alfaiataria</v>
      </c>
      <c r="D53" s="83" t="str">
        <f>VLOOKUP(TB_Vendas[[#This Row],[Código]],TB_Produtos[#All],4,FALSE)</f>
        <v>Vestuário</v>
      </c>
      <c r="E53" s="84">
        <v>45086</v>
      </c>
      <c r="F53" s="82">
        <v>2</v>
      </c>
      <c r="G53" s="85">
        <f>VLOOKUP(TB_Vendas[[#This Row],[Código]],TB_Produtos[#All],6,FALSE)</f>
        <v>180</v>
      </c>
      <c r="H53" s="86" cm="1">
        <f t="array" ref="H53">INDEX(Desc_TabelaToda,MATCH(TB_Vendas[[#This Row],[Qtd]],Desc_Quantidades,1),MATCH(_xlfn.XLOOKUP(TB_Vendas[[#This Row],[Código]],TB_Produtos[[#All],[Código]],TB_Produtos[[#All],[Categoria]]),Desc_Categorias,0))</f>
        <v>0.15</v>
      </c>
      <c r="I53" s="86">
        <f>_xlfn.XLOOKUP(TB_Vendas[[#This Row],[Vendedor]],Vendedores!$A$4:$A$9,Vendedores!$D$4:$D$9)</f>
        <v>0.2</v>
      </c>
      <c r="J53" s="86">
        <f>IF(TB_Vendas[[#This Row],[Desc.]]&gt;TB_Vendas[[#This Row],[Desc. Vendedor]],TB_Vendas[[#This Row],[Desc. Vendedor]],TB_Vendas[[#This Row],[Desc.]])</f>
        <v>0.15</v>
      </c>
      <c r="K53" s="87">
        <f>(TB_Vendas[[#This Row],[Preço Unitário]]-(TB_Vendas[[#This Row],[Preço Unitário]]*TB_Vendas[[#This Row],[Desconto]]))*TB_Vendas[[#This Row],[Qtd]]</f>
        <v>306</v>
      </c>
      <c r="L53" s="87">
        <f>TB_Vendas[[#This Row],[Total]]-(TB_Vendas[[#This Row],[Total]]*TB_Vendas[[#This Row],[Desconto]])</f>
        <v>260.10000000000002</v>
      </c>
      <c r="M53" s="82" t="s">
        <v>106</v>
      </c>
      <c r="N53" s="94" t="str">
        <f>VLOOKUP(TB_Vendas[[#This Row],[Vendedor]],Vendedores!$A$4:$D$9,2,FALSE)</f>
        <v>João</v>
      </c>
    </row>
    <row r="54" spans="1:14" s="62" customFormat="1" ht="26.25">
      <c r="A54" s="81" t="s">
        <v>136</v>
      </c>
      <c r="B54" s="82" t="s">
        <v>38</v>
      </c>
      <c r="C54" s="83" t="str">
        <f>VLOOKUP(TB_Vendas[[#This Row],[Código]],TB_Produtos[#All],2,FALSE)</f>
        <v>Camiseta Estampada</v>
      </c>
      <c r="D54" s="83" t="str">
        <f>VLOOKUP(TB_Vendas[[#This Row],[Código]],TB_Produtos[#All],4,FALSE)</f>
        <v>Vestuário</v>
      </c>
      <c r="E54" s="84">
        <v>45086</v>
      </c>
      <c r="F54" s="82">
        <v>2</v>
      </c>
      <c r="G54" s="85">
        <f>VLOOKUP(TB_Vendas[[#This Row],[Código]],TB_Produtos[#All],6,FALSE)</f>
        <v>42.5</v>
      </c>
      <c r="H54" s="86" cm="1">
        <f t="array" ref="H54">INDEX(Desc_TabelaToda,MATCH(TB_Vendas[[#This Row],[Qtd]],Desc_Quantidades,1),MATCH(_xlfn.XLOOKUP(TB_Vendas[[#This Row],[Código]],TB_Produtos[[#All],[Código]],TB_Produtos[[#All],[Categoria]]),Desc_Categorias,0))</f>
        <v>0.15</v>
      </c>
      <c r="I54" s="86">
        <f>_xlfn.XLOOKUP(TB_Vendas[[#This Row],[Vendedor]],Vendedores!$A$4:$A$9,Vendedores!$D$4:$D$9)</f>
        <v>0.1</v>
      </c>
      <c r="J54" s="86">
        <f>IF(TB_Vendas[[#This Row],[Desc.]]&gt;TB_Vendas[[#This Row],[Desc. Vendedor]],TB_Vendas[[#This Row],[Desc. Vendedor]],TB_Vendas[[#This Row],[Desc.]])</f>
        <v>0.1</v>
      </c>
      <c r="K54" s="87">
        <f>(TB_Vendas[[#This Row],[Preço Unitário]]-(TB_Vendas[[#This Row],[Preço Unitário]]*TB_Vendas[[#This Row],[Desconto]]))*TB_Vendas[[#This Row],[Qtd]]</f>
        <v>76.5</v>
      </c>
      <c r="L54" s="87">
        <f>TB_Vendas[[#This Row],[Total]]-(TB_Vendas[[#This Row],[Total]]*TB_Vendas[[#This Row],[Desconto]])</f>
        <v>68.849999999999994</v>
      </c>
      <c r="M54" s="82" t="s">
        <v>112</v>
      </c>
      <c r="N54" s="94" t="str">
        <f>VLOOKUP(TB_Vendas[[#This Row],[Vendedor]],Vendedores!$A$4:$D$9,2,FALSE)</f>
        <v>Clara</v>
      </c>
    </row>
    <row r="55" spans="1:14" s="62" customFormat="1" ht="26.25">
      <c r="A55" s="81" t="s">
        <v>136</v>
      </c>
      <c r="B55" s="82" t="s">
        <v>11</v>
      </c>
      <c r="C55" s="83" t="str">
        <f>VLOOKUP(TB_Vendas[[#This Row],[Código]],TB_Produtos[#All],2,FALSE)</f>
        <v>Bermuda</v>
      </c>
      <c r="D55" s="83" t="str">
        <f>VLOOKUP(TB_Vendas[[#This Row],[Código]],TB_Produtos[#All],4,FALSE)</f>
        <v>Vestuário</v>
      </c>
      <c r="E55" s="84">
        <v>45088</v>
      </c>
      <c r="F55" s="82">
        <v>1</v>
      </c>
      <c r="G55" s="85">
        <f>VLOOKUP(TB_Vendas[[#This Row],[Código]],TB_Produtos[#All],6,FALSE)</f>
        <v>65.900000000000006</v>
      </c>
      <c r="H55" s="86" cm="1">
        <f t="array" ref="H55">INDEX(Desc_TabelaToda,MATCH(TB_Vendas[[#This Row],[Qtd]],Desc_Quantidades,1),MATCH(_xlfn.XLOOKUP(TB_Vendas[[#This Row],[Código]],TB_Produtos[[#All],[Código]],TB_Produtos[[#All],[Categoria]]),Desc_Categorias,0))</f>
        <v>0.1</v>
      </c>
      <c r="I55" s="86">
        <f>_xlfn.XLOOKUP(TB_Vendas[[#This Row],[Vendedor]],Vendedores!$A$4:$A$9,Vendedores!$D$4:$D$9)</f>
        <v>0.25</v>
      </c>
      <c r="J55" s="86">
        <f>IF(TB_Vendas[[#This Row],[Desc.]]&gt;TB_Vendas[[#This Row],[Desc. Vendedor]],TB_Vendas[[#This Row],[Desc. Vendedor]],TB_Vendas[[#This Row],[Desc.]])</f>
        <v>0.1</v>
      </c>
      <c r="K55" s="87">
        <f>(TB_Vendas[[#This Row],[Preço Unitário]]-(TB_Vendas[[#This Row],[Preço Unitário]]*TB_Vendas[[#This Row],[Desconto]]))*TB_Vendas[[#This Row],[Qtd]]</f>
        <v>59.31</v>
      </c>
      <c r="L55" s="87">
        <f>TB_Vendas[[#This Row],[Total]]-(TB_Vendas[[#This Row],[Total]]*TB_Vendas[[#This Row],[Desconto]])</f>
        <v>53.379000000000005</v>
      </c>
      <c r="M55" s="82" t="s">
        <v>109</v>
      </c>
      <c r="N55" s="94" t="str">
        <f>VLOOKUP(TB_Vendas[[#This Row],[Vendedor]],Vendedores!$A$4:$D$9,2,FALSE)</f>
        <v>Sarah</v>
      </c>
    </row>
    <row r="56" spans="1:14" s="62" customFormat="1" ht="26.25">
      <c r="A56" s="81" t="s">
        <v>136</v>
      </c>
      <c r="B56" s="82" t="s">
        <v>99</v>
      </c>
      <c r="C56" s="83" t="str">
        <f>VLOOKUP(TB_Vendas[[#This Row],[Código]],TB_Produtos[#All],2,FALSE)</f>
        <v>Calça Alfaiataria</v>
      </c>
      <c r="D56" s="83" t="str">
        <f>VLOOKUP(TB_Vendas[[#This Row],[Código]],TB_Produtos[#All],4,FALSE)</f>
        <v>Vestuário</v>
      </c>
      <c r="E56" s="84">
        <v>45090</v>
      </c>
      <c r="F56" s="82">
        <v>1</v>
      </c>
      <c r="G56" s="85">
        <f>VLOOKUP(TB_Vendas[[#This Row],[Código]],TB_Produtos[#All],6,FALSE)</f>
        <v>180</v>
      </c>
      <c r="H56" s="86" cm="1">
        <f t="array" ref="H56">INDEX(Desc_TabelaToda,MATCH(TB_Vendas[[#This Row],[Qtd]],Desc_Quantidades,1),MATCH(_xlfn.XLOOKUP(TB_Vendas[[#This Row],[Código]],TB_Produtos[[#All],[Código]],TB_Produtos[[#All],[Categoria]]),Desc_Categorias,0))</f>
        <v>0.1</v>
      </c>
      <c r="I56" s="86">
        <f>_xlfn.XLOOKUP(TB_Vendas[[#This Row],[Vendedor]],Vendedores!$A$4:$A$9,Vendedores!$D$4:$D$9)</f>
        <v>0.1</v>
      </c>
      <c r="J56" s="86">
        <f>IF(TB_Vendas[[#This Row],[Desc.]]&gt;TB_Vendas[[#This Row],[Desc. Vendedor]],TB_Vendas[[#This Row],[Desc. Vendedor]],TB_Vendas[[#This Row],[Desc.]])</f>
        <v>0.1</v>
      </c>
      <c r="K56" s="87">
        <f>(TB_Vendas[[#This Row],[Preço Unitário]]-(TB_Vendas[[#This Row],[Preço Unitário]]*TB_Vendas[[#This Row],[Desconto]]))*TB_Vendas[[#This Row],[Qtd]]</f>
        <v>162</v>
      </c>
      <c r="L56" s="87">
        <f>TB_Vendas[[#This Row],[Total]]-(TB_Vendas[[#This Row],[Total]]*TB_Vendas[[#This Row],[Desconto]])</f>
        <v>145.80000000000001</v>
      </c>
      <c r="M56" s="82" t="s">
        <v>112</v>
      </c>
      <c r="N56" s="94" t="str">
        <f>VLOOKUP(TB_Vendas[[#This Row],[Vendedor]],Vendedores!$A$4:$D$9,2,FALSE)</f>
        <v>Clara</v>
      </c>
    </row>
    <row r="57" spans="1:14" s="62" customFormat="1" ht="26.25">
      <c r="A57" s="81" t="s">
        <v>136</v>
      </c>
      <c r="B57" s="82" t="s">
        <v>89</v>
      </c>
      <c r="C57" s="83" t="str">
        <f>VLOOKUP(TB_Vendas[[#This Row],[Código]],TB_Produtos[#All],2,FALSE)</f>
        <v>Camiseta Listrada</v>
      </c>
      <c r="D57" s="83" t="str">
        <f>VLOOKUP(TB_Vendas[[#This Row],[Código]],TB_Produtos[#All],4,FALSE)</f>
        <v>Vestuário</v>
      </c>
      <c r="E57" s="84">
        <v>45093</v>
      </c>
      <c r="F57" s="82">
        <v>3</v>
      </c>
      <c r="G57" s="85">
        <f>VLOOKUP(TB_Vendas[[#This Row],[Código]],TB_Produtos[#All],6,FALSE)</f>
        <v>32.9</v>
      </c>
      <c r="H57" s="86" cm="1">
        <f t="array" ref="H57">INDEX(Desc_TabelaToda,MATCH(TB_Vendas[[#This Row],[Qtd]],Desc_Quantidades,1),MATCH(_xlfn.XLOOKUP(TB_Vendas[[#This Row],[Código]],TB_Produtos[[#All],[Código]],TB_Produtos[[#All],[Categoria]]),Desc_Categorias,0))</f>
        <v>0.2</v>
      </c>
      <c r="I57" s="86">
        <f>_xlfn.XLOOKUP(TB_Vendas[[#This Row],[Vendedor]],Vendedores!$A$4:$A$9,Vendedores!$D$4:$D$9)</f>
        <v>0.25</v>
      </c>
      <c r="J57" s="86">
        <f>IF(TB_Vendas[[#This Row],[Desc.]]&gt;TB_Vendas[[#This Row],[Desc. Vendedor]],TB_Vendas[[#This Row],[Desc. Vendedor]],TB_Vendas[[#This Row],[Desc.]])</f>
        <v>0.2</v>
      </c>
      <c r="K57" s="87">
        <f>(TB_Vendas[[#This Row],[Preço Unitário]]-(TB_Vendas[[#This Row],[Preço Unitário]]*TB_Vendas[[#This Row],[Desconto]]))*TB_Vendas[[#This Row],[Qtd]]</f>
        <v>78.960000000000008</v>
      </c>
      <c r="L57" s="87">
        <f>TB_Vendas[[#This Row],[Total]]-(TB_Vendas[[#This Row],[Total]]*TB_Vendas[[#This Row],[Desconto]])</f>
        <v>63.168000000000006</v>
      </c>
      <c r="M57" s="82" t="s">
        <v>109</v>
      </c>
      <c r="N57" s="94" t="str">
        <f>VLOOKUP(TB_Vendas[[#This Row],[Vendedor]],Vendedores!$A$4:$D$9,2,FALSE)</f>
        <v>Sarah</v>
      </c>
    </row>
    <row r="58" spans="1:14" s="62" customFormat="1" ht="26.25">
      <c r="A58" s="81" t="s">
        <v>136</v>
      </c>
      <c r="B58" s="82" t="s">
        <v>30</v>
      </c>
      <c r="C58" s="83" t="str">
        <f>VLOOKUP(TB_Vendas[[#This Row],[Código]],TB_Produtos[#All],2,FALSE)</f>
        <v>Calça jeans</v>
      </c>
      <c r="D58" s="83" t="str">
        <f>VLOOKUP(TB_Vendas[[#This Row],[Código]],TB_Produtos[#All],4,FALSE)</f>
        <v>Vestuário</v>
      </c>
      <c r="E58" s="84">
        <v>45093</v>
      </c>
      <c r="F58" s="82">
        <v>4</v>
      </c>
      <c r="G58" s="85">
        <f>VLOOKUP(TB_Vendas[[#This Row],[Código]],TB_Produtos[#All],6,FALSE)</f>
        <v>92.9</v>
      </c>
      <c r="H58" s="86" cm="1">
        <f t="array" ref="H58">INDEX(Desc_TabelaToda,MATCH(TB_Vendas[[#This Row],[Qtd]],Desc_Quantidades,1),MATCH(_xlfn.XLOOKUP(TB_Vendas[[#This Row],[Código]],TB_Produtos[[#All],[Código]],TB_Produtos[[#All],[Categoria]]),Desc_Categorias,0))</f>
        <v>0.2</v>
      </c>
      <c r="I58" s="86">
        <f>_xlfn.XLOOKUP(TB_Vendas[[#This Row],[Vendedor]],Vendedores!$A$4:$A$9,Vendedores!$D$4:$D$9)</f>
        <v>0.2</v>
      </c>
      <c r="J58" s="86">
        <f>IF(TB_Vendas[[#This Row],[Desc.]]&gt;TB_Vendas[[#This Row],[Desc. Vendedor]],TB_Vendas[[#This Row],[Desc. Vendedor]],TB_Vendas[[#This Row],[Desc.]])</f>
        <v>0.2</v>
      </c>
      <c r="K58" s="87">
        <f>(TB_Vendas[[#This Row],[Preço Unitário]]-(TB_Vendas[[#This Row],[Preço Unitário]]*TB_Vendas[[#This Row],[Desconto]]))*TB_Vendas[[#This Row],[Qtd]]</f>
        <v>297.28000000000003</v>
      </c>
      <c r="L58" s="87">
        <f>TB_Vendas[[#This Row],[Total]]-(TB_Vendas[[#This Row],[Total]]*TB_Vendas[[#This Row],[Desconto]])</f>
        <v>237.82400000000001</v>
      </c>
      <c r="M58" s="82" t="s">
        <v>106</v>
      </c>
      <c r="N58" s="94" t="str">
        <f>VLOOKUP(TB_Vendas[[#This Row],[Vendedor]],Vendedores!$A$4:$D$9,2,FALSE)</f>
        <v>João</v>
      </c>
    </row>
    <row r="59" spans="1:14" s="62" customFormat="1" ht="26.25">
      <c r="A59" s="81" t="s">
        <v>136</v>
      </c>
      <c r="B59" s="82" t="s">
        <v>66</v>
      </c>
      <c r="C59" s="83" t="str">
        <f>VLOOKUP(TB_Vendas[[#This Row],[Código]],TB_Produtos[#All],2,FALSE)</f>
        <v>Tênis Chunky</v>
      </c>
      <c r="D59" s="83" t="str">
        <f>VLOOKUP(TB_Vendas[[#This Row],[Código]],TB_Produtos[#All],4,FALSE)</f>
        <v>Calçado</v>
      </c>
      <c r="E59" s="84">
        <v>45094</v>
      </c>
      <c r="F59" s="82">
        <v>2</v>
      </c>
      <c r="G59" s="85">
        <f>VLOOKUP(TB_Vendas[[#This Row],[Código]],TB_Produtos[#All],6,FALSE)</f>
        <v>259.89999999999998</v>
      </c>
      <c r="H59" s="86" cm="1">
        <f t="array" ref="H59">INDEX(Desc_TabelaToda,MATCH(TB_Vendas[[#This Row],[Qtd]],Desc_Quantidades,1),MATCH(_xlfn.XLOOKUP(TB_Vendas[[#This Row],[Código]],TB_Produtos[[#All],[Código]],TB_Produtos[[#All],[Categoria]]),Desc_Categorias,0))</f>
        <v>0.1</v>
      </c>
      <c r="I59" s="86">
        <f>_xlfn.XLOOKUP(TB_Vendas[[#This Row],[Vendedor]],Vendedores!$A$4:$A$9,Vendedores!$D$4:$D$9)</f>
        <v>0.1</v>
      </c>
      <c r="J59" s="86">
        <f>IF(TB_Vendas[[#This Row],[Desc.]]&gt;TB_Vendas[[#This Row],[Desc. Vendedor]],TB_Vendas[[#This Row],[Desc. Vendedor]],TB_Vendas[[#This Row],[Desc.]])</f>
        <v>0.1</v>
      </c>
      <c r="K59" s="87">
        <f>(TB_Vendas[[#This Row],[Preço Unitário]]-(TB_Vendas[[#This Row],[Preço Unitário]]*TB_Vendas[[#This Row],[Desconto]]))*TB_Vendas[[#This Row],[Qtd]]</f>
        <v>467.81999999999994</v>
      </c>
      <c r="L59" s="87">
        <f>TB_Vendas[[#This Row],[Total]]-(TB_Vendas[[#This Row],[Total]]*TB_Vendas[[#This Row],[Desconto]])</f>
        <v>421.03799999999995</v>
      </c>
      <c r="M59" s="82" t="s">
        <v>112</v>
      </c>
      <c r="N59" s="94" t="str">
        <f>VLOOKUP(TB_Vendas[[#This Row],[Vendedor]],Vendedores!$A$4:$D$9,2,FALSE)</f>
        <v>Clara</v>
      </c>
    </row>
    <row r="60" spans="1:14" s="62" customFormat="1" ht="26.25">
      <c r="A60" s="81" t="s">
        <v>136</v>
      </c>
      <c r="B60" s="82" t="s">
        <v>52</v>
      </c>
      <c r="C60" s="83" t="str">
        <f>VLOOKUP(TB_Vendas[[#This Row],[Código]],TB_Produtos[#All],2,FALSE)</f>
        <v>Jaqueta jeans</v>
      </c>
      <c r="D60" s="83" t="str">
        <f>VLOOKUP(TB_Vendas[[#This Row],[Código]],TB_Produtos[#All],4,FALSE)</f>
        <v>Vestuário</v>
      </c>
      <c r="E60" s="84">
        <v>45097</v>
      </c>
      <c r="F60" s="82">
        <v>1</v>
      </c>
      <c r="G60" s="85">
        <f>VLOOKUP(TB_Vendas[[#This Row],[Código]],TB_Produtos[#All],6,FALSE)</f>
        <v>259.89999999999998</v>
      </c>
      <c r="H60" s="86" cm="1">
        <f t="array" ref="H60">INDEX(Desc_TabelaToda,MATCH(TB_Vendas[[#This Row],[Qtd]],Desc_Quantidades,1),MATCH(_xlfn.XLOOKUP(TB_Vendas[[#This Row],[Código]],TB_Produtos[[#All],[Código]],TB_Produtos[[#All],[Categoria]]),Desc_Categorias,0))</f>
        <v>0.1</v>
      </c>
      <c r="I60" s="86">
        <f>_xlfn.XLOOKUP(TB_Vendas[[#This Row],[Vendedor]],Vendedores!$A$4:$A$9,Vendedores!$D$4:$D$9)</f>
        <v>0.15</v>
      </c>
      <c r="J60" s="86">
        <f>IF(TB_Vendas[[#This Row],[Desc.]]&gt;TB_Vendas[[#This Row],[Desc. Vendedor]],TB_Vendas[[#This Row],[Desc. Vendedor]],TB_Vendas[[#This Row],[Desc.]])</f>
        <v>0.1</v>
      </c>
      <c r="K60" s="87">
        <f>(TB_Vendas[[#This Row],[Preço Unitário]]-(TB_Vendas[[#This Row],[Preço Unitário]]*TB_Vendas[[#This Row],[Desconto]]))*TB_Vendas[[#This Row],[Qtd]]</f>
        <v>233.90999999999997</v>
      </c>
      <c r="L60" s="87">
        <f>TB_Vendas[[#This Row],[Total]]-(TB_Vendas[[#This Row],[Total]]*TB_Vendas[[#This Row],[Desconto]])</f>
        <v>210.51899999999998</v>
      </c>
      <c r="M60" s="82" t="s">
        <v>118</v>
      </c>
      <c r="N60" s="94" t="str">
        <f>VLOOKUP(TB_Vendas[[#This Row],[Vendedor]],Vendedores!$A$4:$D$9,2,FALSE)</f>
        <v>Bruno</v>
      </c>
    </row>
    <row r="61" spans="1:14" s="62" customFormat="1" ht="26.25">
      <c r="A61" s="81" t="s">
        <v>136</v>
      </c>
      <c r="B61" s="82" t="s">
        <v>38</v>
      </c>
      <c r="C61" s="83" t="str">
        <f>VLOOKUP(TB_Vendas[[#This Row],[Código]],TB_Produtos[#All],2,FALSE)</f>
        <v>Camiseta Estampada</v>
      </c>
      <c r="D61" s="83" t="str">
        <f>VLOOKUP(TB_Vendas[[#This Row],[Código]],TB_Produtos[#All],4,FALSE)</f>
        <v>Vestuário</v>
      </c>
      <c r="E61" s="84">
        <v>45105</v>
      </c>
      <c r="F61" s="82">
        <v>5</v>
      </c>
      <c r="G61" s="85">
        <f>VLOOKUP(TB_Vendas[[#This Row],[Código]],TB_Produtos[#All],6,FALSE)</f>
        <v>42.5</v>
      </c>
      <c r="H61" s="86" cm="1">
        <f t="array" ref="H61">INDEX(Desc_TabelaToda,MATCH(TB_Vendas[[#This Row],[Qtd]],Desc_Quantidades,1),MATCH(_xlfn.XLOOKUP(TB_Vendas[[#This Row],[Código]],TB_Produtos[[#All],[Código]],TB_Produtos[[#All],[Categoria]]),Desc_Categorias,0))</f>
        <v>0.25</v>
      </c>
      <c r="I61" s="86">
        <f>_xlfn.XLOOKUP(TB_Vendas[[#This Row],[Vendedor]],Vendedores!$A$4:$A$9,Vendedores!$D$4:$D$9)</f>
        <v>0.15</v>
      </c>
      <c r="J61" s="86">
        <f>IF(TB_Vendas[[#This Row],[Desc.]]&gt;TB_Vendas[[#This Row],[Desc. Vendedor]],TB_Vendas[[#This Row],[Desc. Vendedor]],TB_Vendas[[#This Row],[Desc.]])</f>
        <v>0.15</v>
      </c>
      <c r="K61" s="87">
        <f>(TB_Vendas[[#This Row],[Preço Unitário]]-(TB_Vendas[[#This Row],[Preço Unitário]]*TB_Vendas[[#This Row],[Desconto]]))*TB_Vendas[[#This Row],[Qtd]]</f>
        <v>180.625</v>
      </c>
      <c r="L61" s="87">
        <f>TB_Vendas[[#This Row],[Total]]-(TB_Vendas[[#This Row],[Total]]*TB_Vendas[[#This Row],[Desconto]])</f>
        <v>153.53125</v>
      </c>
      <c r="M61" s="82" t="s">
        <v>118</v>
      </c>
      <c r="N61" s="94" t="str">
        <f>VLOOKUP(TB_Vendas[[#This Row],[Vendedor]],Vendedores!$A$4:$D$9,2,FALSE)</f>
        <v>Bruno</v>
      </c>
    </row>
    <row r="62" spans="1:14" s="62" customFormat="1" ht="26.25">
      <c r="A62" s="81" t="s">
        <v>136</v>
      </c>
      <c r="B62" s="82" t="s">
        <v>89</v>
      </c>
      <c r="C62" s="83" t="str">
        <f>VLOOKUP(TB_Vendas[[#This Row],[Código]],TB_Produtos[#All],2,FALSE)</f>
        <v>Camiseta Listrada</v>
      </c>
      <c r="D62" s="83" t="str">
        <f>VLOOKUP(TB_Vendas[[#This Row],[Código]],TB_Produtos[#All],4,FALSE)</f>
        <v>Vestuário</v>
      </c>
      <c r="E62" s="84">
        <v>45105</v>
      </c>
      <c r="F62" s="82">
        <v>2</v>
      </c>
      <c r="G62" s="85">
        <f>VLOOKUP(TB_Vendas[[#This Row],[Código]],TB_Produtos[#All],6,FALSE)</f>
        <v>32.9</v>
      </c>
      <c r="H62" s="86" cm="1">
        <f t="array" ref="H62">INDEX(Desc_TabelaToda,MATCH(TB_Vendas[[#This Row],[Qtd]],Desc_Quantidades,1),MATCH(_xlfn.XLOOKUP(TB_Vendas[[#This Row],[Código]],TB_Produtos[[#All],[Código]],TB_Produtos[[#All],[Categoria]]),Desc_Categorias,0))</f>
        <v>0.15</v>
      </c>
      <c r="I62" s="86">
        <f>_xlfn.XLOOKUP(TB_Vendas[[#This Row],[Vendedor]],Vendedores!$A$4:$A$9,Vendedores!$D$4:$D$9)</f>
        <v>0.15</v>
      </c>
      <c r="J62" s="86">
        <f>IF(TB_Vendas[[#This Row],[Desc.]]&gt;TB_Vendas[[#This Row],[Desc. Vendedor]],TB_Vendas[[#This Row],[Desc. Vendedor]],TB_Vendas[[#This Row],[Desc.]])</f>
        <v>0.15</v>
      </c>
      <c r="K62" s="87">
        <f>(TB_Vendas[[#This Row],[Preço Unitário]]-(TB_Vendas[[#This Row],[Preço Unitário]]*TB_Vendas[[#This Row],[Desconto]]))*TB_Vendas[[#This Row],[Qtd]]</f>
        <v>55.93</v>
      </c>
      <c r="L62" s="87">
        <f>TB_Vendas[[#This Row],[Total]]-(TB_Vendas[[#This Row],[Total]]*TB_Vendas[[#This Row],[Desconto]])</f>
        <v>47.540500000000002</v>
      </c>
      <c r="M62" s="82" t="s">
        <v>118</v>
      </c>
      <c r="N62" s="94" t="str">
        <f>VLOOKUP(TB_Vendas[[#This Row],[Vendedor]],Vendedores!$A$4:$D$9,2,FALSE)</f>
        <v>Bruno</v>
      </c>
    </row>
    <row r="63" spans="1:14" s="62" customFormat="1" ht="26.25">
      <c r="A63" s="81" t="s">
        <v>136</v>
      </c>
      <c r="B63" s="82" t="s">
        <v>30</v>
      </c>
      <c r="C63" s="83" t="str">
        <f>VLOOKUP(TB_Vendas[[#This Row],[Código]],TB_Produtos[#All],2,FALSE)</f>
        <v>Calça jeans</v>
      </c>
      <c r="D63" s="83" t="str">
        <f>VLOOKUP(TB_Vendas[[#This Row],[Código]],TB_Produtos[#All],4,FALSE)</f>
        <v>Vestuário</v>
      </c>
      <c r="E63" s="84">
        <v>45106</v>
      </c>
      <c r="F63" s="82">
        <v>3</v>
      </c>
      <c r="G63" s="85">
        <f>VLOOKUP(TB_Vendas[[#This Row],[Código]],TB_Produtos[#All],6,FALSE)</f>
        <v>92.9</v>
      </c>
      <c r="H63" s="86" cm="1">
        <f t="array" ref="H63">INDEX(Desc_TabelaToda,MATCH(TB_Vendas[[#This Row],[Qtd]],Desc_Quantidades,1),MATCH(_xlfn.XLOOKUP(TB_Vendas[[#This Row],[Código]],TB_Produtos[[#All],[Código]],TB_Produtos[[#All],[Categoria]]),Desc_Categorias,0))</f>
        <v>0.2</v>
      </c>
      <c r="I63" s="86">
        <f>_xlfn.XLOOKUP(TB_Vendas[[#This Row],[Vendedor]],Vendedores!$A$4:$A$9,Vendedores!$D$4:$D$9)</f>
        <v>0.2</v>
      </c>
      <c r="J63" s="86">
        <f>IF(TB_Vendas[[#This Row],[Desc.]]&gt;TB_Vendas[[#This Row],[Desc. Vendedor]],TB_Vendas[[#This Row],[Desc. Vendedor]],TB_Vendas[[#This Row],[Desc.]])</f>
        <v>0.2</v>
      </c>
      <c r="K63" s="87">
        <f>(TB_Vendas[[#This Row],[Preço Unitário]]-(TB_Vendas[[#This Row],[Preço Unitário]]*TB_Vendas[[#This Row],[Desconto]]))*TB_Vendas[[#This Row],[Qtd]]</f>
        <v>222.96000000000004</v>
      </c>
      <c r="L63" s="87">
        <f>TB_Vendas[[#This Row],[Total]]-(TB_Vendas[[#This Row],[Total]]*TB_Vendas[[#This Row],[Desconto]])</f>
        <v>178.36800000000002</v>
      </c>
      <c r="M63" s="82" t="s">
        <v>106</v>
      </c>
      <c r="N63" s="94" t="str">
        <f>VLOOKUP(TB_Vendas[[#This Row],[Vendedor]],Vendedores!$A$4:$D$9,2,FALSE)</f>
        <v>João</v>
      </c>
    </row>
    <row r="64" spans="1:14" s="62" customFormat="1" ht="26.25">
      <c r="A64" s="81" t="s">
        <v>136</v>
      </c>
      <c r="B64" s="82" t="s">
        <v>39</v>
      </c>
      <c r="C64" s="83" t="str">
        <f>VLOOKUP(TB_Vendas[[#This Row],[Código]],TB_Produtos[#All],2,FALSE)</f>
        <v>Camiseta Lisa</v>
      </c>
      <c r="D64" s="83" t="str">
        <f>VLOOKUP(TB_Vendas[[#This Row],[Código]],TB_Produtos[#All],4,FALSE)</f>
        <v>Vestuário</v>
      </c>
      <c r="E64" s="84">
        <v>45107</v>
      </c>
      <c r="F64" s="82">
        <v>10</v>
      </c>
      <c r="G64" s="85">
        <f>VLOOKUP(TB_Vendas[[#This Row],[Código]],TB_Produtos[#All],6,FALSE)</f>
        <v>25.9</v>
      </c>
      <c r="H64" s="86" cm="1">
        <f t="array" ref="H64">INDEX(Desc_TabelaToda,MATCH(TB_Vendas[[#This Row],[Qtd]],Desc_Quantidades,1),MATCH(_xlfn.XLOOKUP(TB_Vendas[[#This Row],[Código]],TB_Produtos[[#All],[Código]],TB_Produtos[[#All],[Categoria]]),Desc_Categorias,0))</f>
        <v>0.3</v>
      </c>
      <c r="I64" s="86">
        <f>_xlfn.XLOOKUP(TB_Vendas[[#This Row],[Vendedor]],Vendedores!$A$4:$A$9,Vendedores!$D$4:$D$9)</f>
        <v>0.2</v>
      </c>
      <c r="J64" s="86">
        <f>IF(TB_Vendas[[#This Row],[Desc.]]&gt;TB_Vendas[[#This Row],[Desc. Vendedor]],TB_Vendas[[#This Row],[Desc. Vendedor]],TB_Vendas[[#This Row],[Desc.]])</f>
        <v>0.2</v>
      </c>
      <c r="K64" s="87">
        <f>(TB_Vendas[[#This Row],[Preço Unitário]]-(TB_Vendas[[#This Row],[Preço Unitário]]*TB_Vendas[[#This Row],[Desconto]]))*TB_Vendas[[#This Row],[Qtd]]</f>
        <v>207.2</v>
      </c>
      <c r="L64" s="87">
        <f>TB_Vendas[[#This Row],[Total]]-(TB_Vendas[[#This Row],[Total]]*TB_Vendas[[#This Row],[Desconto]])</f>
        <v>165.76</v>
      </c>
      <c r="M64" s="82" t="s">
        <v>106</v>
      </c>
      <c r="N64" s="94" t="str">
        <f>VLOOKUP(TB_Vendas[[#This Row],[Vendedor]],Vendedores!$A$4:$D$9,2,FALSE)</f>
        <v>João</v>
      </c>
    </row>
    <row r="65" spans="1:14" s="62" customFormat="1" ht="26.25">
      <c r="A65" s="81" t="s">
        <v>137</v>
      </c>
      <c r="B65" s="82" t="s">
        <v>81</v>
      </c>
      <c r="C65" s="83" t="str">
        <f>VLOOKUP(TB_Vendas[[#This Row],[Código]],TB_Produtos[#All],2,FALSE)</f>
        <v>Vestido Floral</v>
      </c>
      <c r="D65" s="83" t="str">
        <f>VLOOKUP(TB_Vendas[[#This Row],[Código]],TB_Produtos[#All],4,FALSE)</f>
        <v>Vestuário</v>
      </c>
      <c r="E65" s="84">
        <v>45112</v>
      </c>
      <c r="F65" s="82">
        <v>1</v>
      </c>
      <c r="G65" s="85">
        <f>VLOOKUP(TB_Vendas[[#This Row],[Código]],TB_Produtos[#All],6,FALSE)</f>
        <v>72.5</v>
      </c>
      <c r="H65" s="86" cm="1">
        <f t="array" ref="H65">INDEX(Desc_TabelaToda,MATCH(TB_Vendas[[#This Row],[Qtd]],Desc_Quantidades,1),MATCH(_xlfn.XLOOKUP(TB_Vendas[[#This Row],[Código]],TB_Produtos[[#All],[Código]],TB_Produtos[[#All],[Categoria]]),Desc_Categorias,0))</f>
        <v>0.1</v>
      </c>
      <c r="I65" s="86">
        <f>_xlfn.XLOOKUP(TB_Vendas[[#This Row],[Vendedor]],Vendedores!$A$4:$A$9,Vendedores!$D$4:$D$9)</f>
        <v>0.25</v>
      </c>
      <c r="J65" s="86">
        <f>IF(TB_Vendas[[#This Row],[Desc.]]&gt;TB_Vendas[[#This Row],[Desc. Vendedor]],TB_Vendas[[#This Row],[Desc. Vendedor]],TB_Vendas[[#This Row],[Desc.]])</f>
        <v>0.1</v>
      </c>
      <c r="K65" s="87">
        <f>(TB_Vendas[[#This Row],[Preço Unitário]]-(TB_Vendas[[#This Row],[Preço Unitário]]*TB_Vendas[[#This Row],[Desconto]]))*TB_Vendas[[#This Row],[Qtd]]</f>
        <v>65.25</v>
      </c>
      <c r="L65" s="87">
        <f>TB_Vendas[[#This Row],[Total]]-(TB_Vendas[[#This Row],[Total]]*TB_Vendas[[#This Row],[Desconto]])</f>
        <v>58.725000000000001</v>
      </c>
      <c r="M65" s="82" t="s">
        <v>109</v>
      </c>
      <c r="N65" s="94" t="str">
        <f>VLOOKUP(TB_Vendas[[#This Row],[Vendedor]],Vendedores!$A$4:$D$9,2,FALSE)</f>
        <v>Sarah</v>
      </c>
    </row>
    <row r="66" spans="1:14" s="62" customFormat="1" ht="26.25">
      <c r="A66" s="81" t="s">
        <v>137</v>
      </c>
      <c r="B66" s="82" t="s">
        <v>48</v>
      </c>
      <c r="C66" s="83" t="str">
        <f>VLOOKUP(TB_Vendas[[#This Row],[Código]],TB_Produtos[#All],2,FALSE)</f>
        <v>Jaqueta couro</v>
      </c>
      <c r="D66" s="83" t="str">
        <f>VLOOKUP(TB_Vendas[[#This Row],[Código]],TB_Produtos[#All],4,FALSE)</f>
        <v>Vestuário</v>
      </c>
      <c r="E66" s="84">
        <v>45113</v>
      </c>
      <c r="F66" s="82">
        <v>4</v>
      </c>
      <c r="G66" s="85">
        <f>VLOOKUP(TB_Vendas[[#This Row],[Código]],TB_Produtos[#All],6,FALSE)</f>
        <v>302.89999999999998</v>
      </c>
      <c r="H66" s="86" cm="1">
        <f t="array" ref="H66">INDEX(Desc_TabelaToda,MATCH(TB_Vendas[[#This Row],[Qtd]],Desc_Quantidades,1),MATCH(_xlfn.XLOOKUP(TB_Vendas[[#This Row],[Código]],TB_Produtos[[#All],[Código]],TB_Produtos[[#All],[Categoria]]),Desc_Categorias,0))</f>
        <v>0.2</v>
      </c>
      <c r="I66" s="86">
        <f>_xlfn.XLOOKUP(TB_Vendas[[#This Row],[Vendedor]],Vendedores!$A$4:$A$9,Vendedores!$D$4:$D$9)</f>
        <v>0.15</v>
      </c>
      <c r="J66" s="86">
        <f>IF(TB_Vendas[[#This Row],[Desc.]]&gt;TB_Vendas[[#This Row],[Desc. Vendedor]],TB_Vendas[[#This Row],[Desc. Vendedor]],TB_Vendas[[#This Row],[Desc.]])</f>
        <v>0.15</v>
      </c>
      <c r="K66" s="87">
        <f>(TB_Vendas[[#This Row],[Preço Unitário]]-(TB_Vendas[[#This Row],[Preço Unitário]]*TB_Vendas[[#This Row],[Desconto]]))*TB_Vendas[[#This Row],[Qtd]]</f>
        <v>1029.8599999999999</v>
      </c>
      <c r="L66" s="87">
        <f>TB_Vendas[[#This Row],[Total]]-(TB_Vendas[[#This Row],[Total]]*TB_Vendas[[#This Row],[Desconto]])</f>
        <v>875.38099999999986</v>
      </c>
      <c r="M66" s="82" t="s">
        <v>118</v>
      </c>
      <c r="N66" s="94" t="str">
        <f>VLOOKUP(TB_Vendas[[#This Row],[Vendedor]],Vendedores!$A$4:$D$9,2,FALSE)</f>
        <v>Bruno</v>
      </c>
    </row>
    <row r="67" spans="1:14" s="62" customFormat="1" ht="26.25">
      <c r="A67" s="81" t="s">
        <v>137</v>
      </c>
      <c r="B67" s="82" t="s">
        <v>86</v>
      </c>
      <c r="C67" s="83" t="str">
        <f>VLOOKUP(TB_Vendas[[#This Row],[Código]],TB_Produtos[#All],2,FALSE)</f>
        <v>Jaqueta de Couro</v>
      </c>
      <c r="D67" s="83" t="str">
        <f>VLOOKUP(TB_Vendas[[#This Row],[Código]],TB_Produtos[#All],4,FALSE)</f>
        <v>Vestuário</v>
      </c>
      <c r="E67" s="84">
        <v>45114</v>
      </c>
      <c r="F67" s="82">
        <v>8</v>
      </c>
      <c r="G67" s="85">
        <f>VLOOKUP(TB_Vendas[[#This Row],[Código]],TB_Produtos[#All],6,FALSE)</f>
        <v>289.89999999999998</v>
      </c>
      <c r="H67" s="86" cm="1">
        <f t="array" ref="H67">INDEX(Desc_TabelaToda,MATCH(TB_Vendas[[#This Row],[Qtd]],Desc_Quantidades,1),MATCH(_xlfn.XLOOKUP(TB_Vendas[[#This Row],[Código]],TB_Produtos[[#All],[Código]],TB_Produtos[[#All],[Categoria]]),Desc_Categorias,0))</f>
        <v>0.25</v>
      </c>
      <c r="I67" s="86">
        <f>_xlfn.XLOOKUP(TB_Vendas[[#This Row],[Vendedor]],Vendedores!$A$4:$A$9,Vendedores!$D$4:$D$9)</f>
        <v>0.2</v>
      </c>
      <c r="J67" s="86">
        <f>IF(TB_Vendas[[#This Row],[Desc.]]&gt;TB_Vendas[[#This Row],[Desc. Vendedor]],TB_Vendas[[#This Row],[Desc. Vendedor]],TB_Vendas[[#This Row],[Desc.]])</f>
        <v>0.2</v>
      </c>
      <c r="K67" s="87">
        <f>(TB_Vendas[[#This Row],[Preço Unitário]]-(TB_Vendas[[#This Row],[Preço Unitário]]*TB_Vendas[[#This Row],[Desconto]]))*TB_Vendas[[#This Row],[Qtd]]</f>
        <v>1855.36</v>
      </c>
      <c r="L67" s="87">
        <f>TB_Vendas[[#This Row],[Total]]-(TB_Vendas[[#This Row],[Total]]*TB_Vendas[[#This Row],[Desconto]])</f>
        <v>1484.288</v>
      </c>
      <c r="M67" s="82" t="s">
        <v>106</v>
      </c>
      <c r="N67" s="94" t="str">
        <f>VLOOKUP(TB_Vendas[[#This Row],[Vendedor]],Vendedores!$A$4:$D$9,2,FALSE)</f>
        <v>João</v>
      </c>
    </row>
    <row r="68" spans="1:14" s="62" customFormat="1" ht="26.25">
      <c r="A68" s="81" t="s">
        <v>137</v>
      </c>
      <c r="B68" s="82" t="s">
        <v>77</v>
      </c>
      <c r="C68" s="83" t="str">
        <f>VLOOKUP(TB_Vendas[[#This Row],[Código]],TB_Produtos[#All],2,FALSE)</f>
        <v>Camiseta Conforto</v>
      </c>
      <c r="D68" s="83" t="str">
        <f>VLOOKUP(TB_Vendas[[#This Row],[Código]],TB_Produtos[#All],4,FALSE)</f>
        <v>Vestuário</v>
      </c>
      <c r="E68" s="84">
        <v>45119</v>
      </c>
      <c r="F68" s="82">
        <v>2</v>
      </c>
      <c r="G68" s="85">
        <f>VLOOKUP(TB_Vendas[[#This Row],[Código]],TB_Produtos[#All],6,FALSE)</f>
        <v>54.9</v>
      </c>
      <c r="H68" s="86" cm="1">
        <f t="array" ref="H68">INDEX(Desc_TabelaToda,MATCH(TB_Vendas[[#This Row],[Qtd]],Desc_Quantidades,1),MATCH(_xlfn.XLOOKUP(TB_Vendas[[#This Row],[Código]],TB_Produtos[[#All],[Código]],TB_Produtos[[#All],[Categoria]]),Desc_Categorias,0))</f>
        <v>0.15</v>
      </c>
      <c r="I68" s="86">
        <f>_xlfn.XLOOKUP(TB_Vendas[[#This Row],[Vendedor]],Vendedores!$A$4:$A$9,Vendedores!$D$4:$D$9)</f>
        <v>0.2</v>
      </c>
      <c r="J68" s="86">
        <f>IF(TB_Vendas[[#This Row],[Desc.]]&gt;TB_Vendas[[#This Row],[Desc. Vendedor]],TB_Vendas[[#This Row],[Desc. Vendedor]],TB_Vendas[[#This Row],[Desc.]])</f>
        <v>0.15</v>
      </c>
      <c r="K68" s="87">
        <f>(TB_Vendas[[#This Row],[Preço Unitário]]-(TB_Vendas[[#This Row],[Preço Unitário]]*TB_Vendas[[#This Row],[Desconto]]))*TB_Vendas[[#This Row],[Qtd]]</f>
        <v>93.33</v>
      </c>
      <c r="L68" s="87">
        <f>TB_Vendas[[#This Row],[Total]]-(TB_Vendas[[#This Row],[Total]]*TB_Vendas[[#This Row],[Desconto]])</f>
        <v>79.330500000000001</v>
      </c>
      <c r="M68" s="82" t="s">
        <v>106</v>
      </c>
      <c r="N68" s="94" t="str">
        <f>VLOOKUP(TB_Vendas[[#This Row],[Vendedor]],Vendedores!$A$4:$D$9,2,FALSE)</f>
        <v>João</v>
      </c>
    </row>
    <row r="69" spans="1:14" s="62" customFormat="1" ht="26.25">
      <c r="A69" s="81" t="s">
        <v>137</v>
      </c>
      <c r="B69" s="82" t="s">
        <v>37</v>
      </c>
      <c r="C69" s="83" t="str">
        <f>VLOOKUP(TB_Vendas[[#This Row],[Código]],TB_Produtos[#All],2,FALSE)</f>
        <v>Camiseta Estampada</v>
      </c>
      <c r="D69" s="83" t="str">
        <f>VLOOKUP(TB_Vendas[[#This Row],[Código]],TB_Produtos[#All],4,FALSE)</f>
        <v>Vestuário</v>
      </c>
      <c r="E69" s="84">
        <v>45120</v>
      </c>
      <c r="F69" s="82">
        <v>2</v>
      </c>
      <c r="G69" s="85">
        <f>VLOOKUP(TB_Vendas[[#This Row],[Código]],TB_Produtos[#All],6,FALSE)</f>
        <v>39.9</v>
      </c>
      <c r="H69" s="86" cm="1">
        <f t="array" ref="H69">INDEX(Desc_TabelaToda,MATCH(TB_Vendas[[#This Row],[Qtd]],Desc_Quantidades,1),MATCH(_xlfn.XLOOKUP(TB_Vendas[[#This Row],[Código]],TB_Produtos[[#All],[Código]],TB_Produtos[[#All],[Categoria]]),Desc_Categorias,0))</f>
        <v>0.15</v>
      </c>
      <c r="I69" s="86">
        <f>_xlfn.XLOOKUP(TB_Vendas[[#This Row],[Vendedor]],Vendedores!$A$4:$A$9,Vendedores!$D$4:$D$9)</f>
        <v>0.15</v>
      </c>
      <c r="J69" s="86">
        <f>IF(TB_Vendas[[#This Row],[Desc.]]&gt;TB_Vendas[[#This Row],[Desc. Vendedor]],TB_Vendas[[#This Row],[Desc. Vendedor]],TB_Vendas[[#This Row],[Desc.]])</f>
        <v>0.15</v>
      </c>
      <c r="K69" s="87">
        <f>(TB_Vendas[[#This Row],[Preço Unitário]]-(TB_Vendas[[#This Row],[Preço Unitário]]*TB_Vendas[[#This Row],[Desconto]]))*TB_Vendas[[#This Row],[Qtd]]</f>
        <v>67.83</v>
      </c>
      <c r="L69" s="87">
        <f>TB_Vendas[[#This Row],[Total]]-(TB_Vendas[[#This Row],[Total]]*TB_Vendas[[#This Row],[Desconto]])</f>
        <v>57.655499999999996</v>
      </c>
      <c r="M69" s="82" t="s">
        <v>118</v>
      </c>
      <c r="N69" s="94" t="str">
        <f>VLOOKUP(TB_Vendas[[#This Row],[Vendedor]],Vendedores!$A$4:$D$9,2,FALSE)</f>
        <v>Bruno</v>
      </c>
    </row>
    <row r="70" spans="1:14" s="62" customFormat="1" ht="26.25">
      <c r="A70" s="81" t="s">
        <v>137</v>
      </c>
      <c r="B70" s="82" t="s">
        <v>78</v>
      </c>
      <c r="C70" s="83" t="str">
        <f>VLOOKUP(TB_Vendas[[#This Row],[Código]],TB_Produtos[#All],2,FALSE)</f>
        <v>Camiseta Conforto</v>
      </c>
      <c r="D70" s="83" t="str">
        <f>VLOOKUP(TB_Vendas[[#This Row],[Código]],TB_Produtos[#All],4,FALSE)</f>
        <v>Vestuário</v>
      </c>
      <c r="E70" s="84">
        <v>45124</v>
      </c>
      <c r="F70" s="82">
        <v>7</v>
      </c>
      <c r="G70" s="85">
        <f>VLOOKUP(TB_Vendas[[#This Row],[Código]],TB_Produtos[#All],6,FALSE)</f>
        <v>54.9</v>
      </c>
      <c r="H70" s="86" cm="1">
        <f t="array" ref="H70">INDEX(Desc_TabelaToda,MATCH(TB_Vendas[[#This Row],[Qtd]],Desc_Quantidades,1),MATCH(_xlfn.XLOOKUP(TB_Vendas[[#This Row],[Código]],TB_Produtos[[#All],[Código]],TB_Produtos[[#All],[Categoria]]),Desc_Categorias,0))</f>
        <v>0.25</v>
      </c>
      <c r="I70" s="86">
        <f>_xlfn.XLOOKUP(TB_Vendas[[#This Row],[Vendedor]],Vendedores!$A$4:$A$9,Vendedores!$D$4:$D$9)</f>
        <v>0.2</v>
      </c>
      <c r="J70" s="86">
        <f>IF(TB_Vendas[[#This Row],[Desc.]]&gt;TB_Vendas[[#This Row],[Desc. Vendedor]],TB_Vendas[[#This Row],[Desc. Vendedor]],TB_Vendas[[#This Row],[Desc.]])</f>
        <v>0.2</v>
      </c>
      <c r="K70" s="87">
        <f>(TB_Vendas[[#This Row],[Preço Unitário]]-(TB_Vendas[[#This Row],[Preço Unitário]]*TB_Vendas[[#This Row],[Desconto]]))*TB_Vendas[[#This Row],[Qtd]]</f>
        <v>307.44</v>
      </c>
      <c r="L70" s="87">
        <f>TB_Vendas[[#This Row],[Total]]-(TB_Vendas[[#This Row],[Total]]*TB_Vendas[[#This Row],[Desconto]])</f>
        <v>245.952</v>
      </c>
      <c r="M70" s="82" t="s">
        <v>115</v>
      </c>
      <c r="N70" s="94" t="str">
        <f>VLOOKUP(TB_Vendas[[#This Row],[Vendedor]],Vendedores!$A$4:$D$9,2,FALSE)</f>
        <v>Amanda</v>
      </c>
    </row>
    <row r="71" spans="1:14" s="62" customFormat="1" ht="26.25">
      <c r="A71" s="81" t="s">
        <v>137</v>
      </c>
      <c r="B71" s="82" t="s">
        <v>46</v>
      </c>
      <c r="C71" s="83" t="str">
        <f>VLOOKUP(TB_Vendas[[#This Row],[Código]],TB_Produtos[#All],2,FALSE)</f>
        <v>Jaqueta couro</v>
      </c>
      <c r="D71" s="83" t="str">
        <f>VLOOKUP(TB_Vendas[[#This Row],[Código]],TB_Produtos[#All],4,FALSE)</f>
        <v>Vestuário</v>
      </c>
      <c r="E71" s="84">
        <v>45130</v>
      </c>
      <c r="F71" s="82">
        <v>4</v>
      </c>
      <c r="G71" s="85">
        <f>VLOOKUP(TB_Vendas[[#This Row],[Código]],TB_Produtos[#All],6,FALSE)</f>
        <v>299.89999999999998</v>
      </c>
      <c r="H71" s="86" cm="1">
        <f t="array" ref="H71">INDEX(Desc_TabelaToda,MATCH(TB_Vendas[[#This Row],[Qtd]],Desc_Quantidades,1),MATCH(_xlfn.XLOOKUP(TB_Vendas[[#This Row],[Código]],TB_Produtos[[#All],[Código]],TB_Produtos[[#All],[Categoria]]),Desc_Categorias,0))</f>
        <v>0.2</v>
      </c>
      <c r="I71" s="86">
        <f>_xlfn.XLOOKUP(TB_Vendas[[#This Row],[Vendedor]],Vendedores!$A$4:$A$9,Vendedores!$D$4:$D$9)</f>
        <v>0.15</v>
      </c>
      <c r="J71" s="86">
        <f>IF(TB_Vendas[[#This Row],[Desc.]]&gt;TB_Vendas[[#This Row],[Desc. Vendedor]],TB_Vendas[[#This Row],[Desc. Vendedor]],TB_Vendas[[#This Row],[Desc.]])</f>
        <v>0.15</v>
      </c>
      <c r="K71" s="87">
        <f>(TB_Vendas[[#This Row],[Preço Unitário]]-(TB_Vendas[[#This Row],[Preço Unitário]]*TB_Vendas[[#This Row],[Desconto]]))*TB_Vendas[[#This Row],[Qtd]]</f>
        <v>1019.66</v>
      </c>
      <c r="L71" s="87">
        <f>TB_Vendas[[#This Row],[Total]]-(TB_Vendas[[#This Row],[Total]]*TB_Vendas[[#This Row],[Desconto]])</f>
        <v>866.71100000000001</v>
      </c>
      <c r="M71" s="82" t="s">
        <v>118</v>
      </c>
      <c r="N71" s="94" t="str">
        <f>VLOOKUP(TB_Vendas[[#This Row],[Vendedor]],Vendedores!$A$4:$D$9,2,FALSE)</f>
        <v>Bruno</v>
      </c>
    </row>
    <row r="72" spans="1:14" s="62" customFormat="1" ht="26.25">
      <c r="A72" s="81" t="s">
        <v>137</v>
      </c>
      <c r="B72" s="82" t="s">
        <v>52</v>
      </c>
      <c r="C72" s="83" t="str">
        <f>VLOOKUP(TB_Vendas[[#This Row],[Código]],TB_Produtos[#All],2,FALSE)</f>
        <v>Jaqueta jeans</v>
      </c>
      <c r="D72" s="83" t="str">
        <f>VLOOKUP(TB_Vendas[[#This Row],[Código]],TB_Produtos[#All],4,FALSE)</f>
        <v>Vestuário</v>
      </c>
      <c r="E72" s="84">
        <v>45133</v>
      </c>
      <c r="F72" s="82">
        <v>3</v>
      </c>
      <c r="G72" s="85">
        <f>VLOOKUP(TB_Vendas[[#This Row],[Código]],TB_Produtos[#All],6,FALSE)</f>
        <v>259.89999999999998</v>
      </c>
      <c r="H72" s="86" cm="1">
        <f t="array" ref="H72">INDEX(Desc_TabelaToda,MATCH(TB_Vendas[[#This Row],[Qtd]],Desc_Quantidades,1),MATCH(_xlfn.XLOOKUP(TB_Vendas[[#This Row],[Código]],TB_Produtos[[#All],[Código]],TB_Produtos[[#All],[Categoria]]),Desc_Categorias,0))</f>
        <v>0.2</v>
      </c>
      <c r="I72" s="86">
        <f>_xlfn.XLOOKUP(TB_Vendas[[#This Row],[Vendedor]],Vendedores!$A$4:$A$9,Vendedores!$D$4:$D$9)</f>
        <v>0.2</v>
      </c>
      <c r="J72" s="86">
        <f>IF(TB_Vendas[[#This Row],[Desc.]]&gt;TB_Vendas[[#This Row],[Desc. Vendedor]],TB_Vendas[[#This Row],[Desc. Vendedor]],TB_Vendas[[#This Row],[Desc.]])</f>
        <v>0.2</v>
      </c>
      <c r="K72" s="87">
        <f>(TB_Vendas[[#This Row],[Preço Unitário]]-(TB_Vendas[[#This Row],[Preço Unitário]]*TB_Vendas[[#This Row],[Desconto]]))*TB_Vendas[[#This Row],[Qtd]]</f>
        <v>623.76</v>
      </c>
      <c r="L72" s="87">
        <f>TB_Vendas[[#This Row],[Total]]-(TB_Vendas[[#This Row],[Total]]*TB_Vendas[[#This Row],[Desconto]])</f>
        <v>499.00799999999998</v>
      </c>
      <c r="M72" s="82" t="s">
        <v>115</v>
      </c>
      <c r="N72" s="94" t="str">
        <f>VLOOKUP(TB_Vendas[[#This Row],[Vendedor]],Vendedores!$A$4:$D$9,2,FALSE)</f>
        <v>Amanda</v>
      </c>
    </row>
    <row r="73" spans="1:14" s="62" customFormat="1" ht="26.25">
      <c r="A73" s="81" t="s">
        <v>137</v>
      </c>
      <c r="B73" s="82" t="s">
        <v>81</v>
      </c>
      <c r="C73" s="83" t="str">
        <f>VLOOKUP(TB_Vendas[[#This Row],[Código]],TB_Produtos[#All],2,FALSE)</f>
        <v>Vestido Floral</v>
      </c>
      <c r="D73" s="83" t="str">
        <f>VLOOKUP(TB_Vendas[[#This Row],[Código]],TB_Produtos[#All],4,FALSE)</f>
        <v>Vestuário</v>
      </c>
      <c r="E73" s="84">
        <v>45135</v>
      </c>
      <c r="F73" s="82">
        <v>9</v>
      </c>
      <c r="G73" s="85">
        <f>VLOOKUP(TB_Vendas[[#This Row],[Código]],TB_Produtos[#All],6,FALSE)</f>
        <v>72.5</v>
      </c>
      <c r="H73" s="86" cm="1">
        <f t="array" ref="H73">INDEX(Desc_TabelaToda,MATCH(TB_Vendas[[#This Row],[Qtd]],Desc_Quantidades,1),MATCH(_xlfn.XLOOKUP(TB_Vendas[[#This Row],[Código]],TB_Produtos[[#All],[Código]],TB_Produtos[[#All],[Categoria]]),Desc_Categorias,0))</f>
        <v>0.25</v>
      </c>
      <c r="I73" s="86">
        <f>_xlfn.XLOOKUP(TB_Vendas[[#This Row],[Vendedor]],Vendedores!$A$4:$A$9,Vendedores!$D$4:$D$9)</f>
        <v>0.1</v>
      </c>
      <c r="J73" s="86">
        <f>IF(TB_Vendas[[#This Row],[Desc.]]&gt;TB_Vendas[[#This Row],[Desc. Vendedor]],TB_Vendas[[#This Row],[Desc. Vendedor]],TB_Vendas[[#This Row],[Desc.]])</f>
        <v>0.1</v>
      </c>
      <c r="K73" s="87">
        <f>(TB_Vendas[[#This Row],[Preço Unitário]]-(TB_Vendas[[#This Row],[Preço Unitário]]*TB_Vendas[[#This Row],[Desconto]]))*TB_Vendas[[#This Row],[Qtd]]</f>
        <v>587.25</v>
      </c>
      <c r="L73" s="87">
        <f>TB_Vendas[[#This Row],[Total]]-(TB_Vendas[[#This Row],[Total]]*TB_Vendas[[#This Row],[Desconto]])</f>
        <v>528.52499999999998</v>
      </c>
      <c r="M73" s="82" t="s">
        <v>112</v>
      </c>
      <c r="N73" s="94" t="str">
        <f>VLOOKUP(TB_Vendas[[#This Row],[Vendedor]],Vendedores!$A$4:$D$9,2,FALSE)</f>
        <v>Clara</v>
      </c>
    </row>
    <row r="74" spans="1:14" s="62" customFormat="1" ht="26.25">
      <c r="A74" s="81" t="s">
        <v>137</v>
      </c>
      <c r="B74" s="82" t="s">
        <v>49</v>
      </c>
      <c r="C74" s="83" t="str">
        <f>VLOOKUP(TB_Vendas[[#This Row],[Código]],TB_Produtos[#All],2,FALSE)</f>
        <v>Jaqueta couro</v>
      </c>
      <c r="D74" s="83" t="str">
        <f>VLOOKUP(TB_Vendas[[#This Row],[Código]],TB_Produtos[#All],4,FALSE)</f>
        <v>Vestuário</v>
      </c>
      <c r="E74" s="84">
        <v>45136</v>
      </c>
      <c r="F74" s="82">
        <v>4</v>
      </c>
      <c r="G74" s="85">
        <f>VLOOKUP(TB_Vendas[[#This Row],[Código]],TB_Produtos[#All],6,FALSE)</f>
        <v>300</v>
      </c>
      <c r="H74" s="86" cm="1">
        <f t="array" ref="H74">INDEX(Desc_TabelaToda,MATCH(TB_Vendas[[#This Row],[Qtd]],Desc_Quantidades,1),MATCH(_xlfn.XLOOKUP(TB_Vendas[[#This Row],[Código]],TB_Produtos[[#All],[Código]],TB_Produtos[[#All],[Categoria]]),Desc_Categorias,0))</f>
        <v>0.2</v>
      </c>
      <c r="I74" s="86">
        <f>_xlfn.XLOOKUP(TB_Vendas[[#This Row],[Vendedor]],Vendedores!$A$4:$A$9,Vendedores!$D$4:$D$9)</f>
        <v>0.15</v>
      </c>
      <c r="J74" s="86">
        <f>IF(TB_Vendas[[#This Row],[Desc.]]&gt;TB_Vendas[[#This Row],[Desc. Vendedor]],TB_Vendas[[#This Row],[Desc. Vendedor]],TB_Vendas[[#This Row],[Desc.]])</f>
        <v>0.15</v>
      </c>
      <c r="K74" s="87">
        <f>(TB_Vendas[[#This Row],[Preço Unitário]]-(TB_Vendas[[#This Row],[Preço Unitário]]*TB_Vendas[[#This Row],[Desconto]]))*TB_Vendas[[#This Row],[Qtd]]</f>
        <v>1020</v>
      </c>
      <c r="L74" s="87">
        <f>TB_Vendas[[#This Row],[Total]]-(TB_Vendas[[#This Row],[Total]]*TB_Vendas[[#This Row],[Desconto]])</f>
        <v>867</v>
      </c>
      <c r="M74" s="82" t="s">
        <v>118</v>
      </c>
      <c r="N74" s="94" t="str">
        <f>VLOOKUP(TB_Vendas[[#This Row],[Vendedor]],Vendedores!$A$4:$D$9,2,FALSE)</f>
        <v>Bruno</v>
      </c>
    </row>
    <row r="75" spans="1:14" s="62" customFormat="1" ht="26.25">
      <c r="A75" s="81" t="s">
        <v>137</v>
      </c>
      <c r="B75" s="82" t="s">
        <v>11</v>
      </c>
      <c r="C75" s="83" t="str">
        <f>VLOOKUP(TB_Vendas[[#This Row],[Código]],TB_Produtos[#All],2,FALSE)</f>
        <v>Bermuda</v>
      </c>
      <c r="D75" s="83" t="str">
        <f>VLOOKUP(TB_Vendas[[#This Row],[Código]],TB_Produtos[#All],4,FALSE)</f>
        <v>Vestuário</v>
      </c>
      <c r="E75" s="84">
        <v>45137</v>
      </c>
      <c r="F75" s="82">
        <v>9</v>
      </c>
      <c r="G75" s="85">
        <f>VLOOKUP(TB_Vendas[[#This Row],[Código]],TB_Produtos[#All],6,FALSE)</f>
        <v>65.900000000000006</v>
      </c>
      <c r="H75" s="86" cm="1">
        <f t="array" ref="H75">INDEX(Desc_TabelaToda,MATCH(TB_Vendas[[#This Row],[Qtd]],Desc_Quantidades,1),MATCH(_xlfn.XLOOKUP(TB_Vendas[[#This Row],[Código]],TB_Produtos[[#All],[Código]],TB_Produtos[[#All],[Categoria]]),Desc_Categorias,0))</f>
        <v>0.25</v>
      </c>
      <c r="I75" s="86">
        <f>_xlfn.XLOOKUP(TB_Vendas[[#This Row],[Vendedor]],Vendedores!$A$4:$A$9,Vendedores!$D$4:$D$9)</f>
        <v>0.15</v>
      </c>
      <c r="J75" s="86">
        <f>IF(TB_Vendas[[#This Row],[Desc.]]&gt;TB_Vendas[[#This Row],[Desc. Vendedor]],TB_Vendas[[#This Row],[Desc. Vendedor]],TB_Vendas[[#This Row],[Desc.]])</f>
        <v>0.15</v>
      </c>
      <c r="K75" s="87">
        <f>(TB_Vendas[[#This Row],[Preço Unitário]]-(TB_Vendas[[#This Row],[Preço Unitário]]*TB_Vendas[[#This Row],[Desconto]]))*TB_Vendas[[#This Row],[Qtd]]</f>
        <v>504.13500000000005</v>
      </c>
      <c r="L75" s="87">
        <f>TB_Vendas[[#This Row],[Total]]-(TB_Vendas[[#This Row],[Total]]*TB_Vendas[[#This Row],[Desconto]])</f>
        <v>428.51475000000005</v>
      </c>
      <c r="M75" s="82" t="s">
        <v>118</v>
      </c>
      <c r="N75" s="94" t="str">
        <f>VLOOKUP(TB_Vendas[[#This Row],[Vendedor]],Vendedores!$A$4:$D$9,2,FALSE)</f>
        <v>Bruno</v>
      </c>
    </row>
    <row r="76" spans="1:14" s="62" customFormat="1" ht="26.25">
      <c r="A76" s="81" t="s">
        <v>138</v>
      </c>
      <c r="B76" s="82" t="s">
        <v>30</v>
      </c>
      <c r="C76" s="83" t="str">
        <f>VLOOKUP(TB_Vendas[[#This Row],[Código]],TB_Produtos[#All],2,FALSE)</f>
        <v>Calça jeans</v>
      </c>
      <c r="D76" s="83" t="str">
        <f>VLOOKUP(TB_Vendas[[#This Row],[Código]],TB_Produtos[#All],4,FALSE)</f>
        <v>Vestuário</v>
      </c>
      <c r="E76" s="84">
        <v>45143</v>
      </c>
      <c r="F76" s="82">
        <v>10</v>
      </c>
      <c r="G76" s="85">
        <f>VLOOKUP(TB_Vendas[[#This Row],[Código]],TB_Produtos[#All],6,FALSE)</f>
        <v>92.9</v>
      </c>
      <c r="H76" s="86" cm="1">
        <f t="array" ref="H76">INDEX(Desc_TabelaToda,MATCH(TB_Vendas[[#This Row],[Qtd]],Desc_Quantidades,1),MATCH(_xlfn.XLOOKUP(TB_Vendas[[#This Row],[Código]],TB_Produtos[[#All],[Código]],TB_Produtos[[#All],[Categoria]]),Desc_Categorias,0))</f>
        <v>0.3</v>
      </c>
      <c r="I76" s="86">
        <f>_xlfn.XLOOKUP(TB_Vendas[[#This Row],[Vendedor]],Vendedores!$A$4:$A$9,Vendedores!$D$4:$D$9)</f>
        <v>0.15</v>
      </c>
      <c r="J76" s="86">
        <f>IF(TB_Vendas[[#This Row],[Desc.]]&gt;TB_Vendas[[#This Row],[Desc. Vendedor]],TB_Vendas[[#This Row],[Desc. Vendedor]],TB_Vendas[[#This Row],[Desc.]])</f>
        <v>0.15</v>
      </c>
      <c r="K76" s="87">
        <f>(TB_Vendas[[#This Row],[Preço Unitário]]-(TB_Vendas[[#This Row],[Preço Unitário]]*TB_Vendas[[#This Row],[Desconto]]))*TB_Vendas[[#This Row],[Qtd]]</f>
        <v>789.65000000000009</v>
      </c>
      <c r="L76" s="87">
        <f>TB_Vendas[[#This Row],[Total]]-(TB_Vendas[[#This Row],[Total]]*TB_Vendas[[#This Row],[Desconto]])</f>
        <v>671.2025000000001</v>
      </c>
      <c r="M76" s="82" t="s">
        <v>118</v>
      </c>
      <c r="N76" s="94" t="str">
        <f>VLOOKUP(TB_Vendas[[#This Row],[Vendedor]],Vendedores!$A$4:$D$9,2,FALSE)</f>
        <v>Bruno</v>
      </c>
    </row>
    <row r="77" spans="1:14" s="62" customFormat="1" ht="26.25">
      <c r="A77" s="81" t="s">
        <v>138</v>
      </c>
      <c r="B77" s="82" t="s">
        <v>98</v>
      </c>
      <c r="C77" s="83" t="str">
        <f>VLOOKUP(TB_Vendas[[#This Row],[Código]],TB_Produtos[#All],2,FALSE)</f>
        <v>Sandália Rasteira</v>
      </c>
      <c r="D77" s="83" t="str">
        <f>VLOOKUP(TB_Vendas[[#This Row],[Código]],TB_Produtos[#All],4,FALSE)</f>
        <v>Calçado</v>
      </c>
      <c r="E77" s="84">
        <v>45144</v>
      </c>
      <c r="F77" s="82">
        <v>1</v>
      </c>
      <c r="G77" s="85">
        <f>VLOOKUP(TB_Vendas[[#This Row],[Código]],TB_Produtos[#All],6,FALSE)</f>
        <v>89.9</v>
      </c>
      <c r="H77" s="86" cm="1">
        <f t="array" ref="H77">INDEX(Desc_TabelaToda,MATCH(TB_Vendas[[#This Row],[Qtd]],Desc_Quantidades,1),MATCH(_xlfn.XLOOKUP(TB_Vendas[[#This Row],[Código]],TB_Produtos[[#All],[Código]],TB_Produtos[[#All],[Categoria]]),Desc_Categorias,0))</f>
        <v>0</v>
      </c>
      <c r="I77" s="86">
        <f>_xlfn.XLOOKUP(TB_Vendas[[#This Row],[Vendedor]],Vendedores!$A$4:$A$9,Vendedores!$D$4:$D$9)</f>
        <v>0.1</v>
      </c>
      <c r="J77" s="86">
        <f>IF(TB_Vendas[[#This Row],[Desc.]]&gt;TB_Vendas[[#This Row],[Desc. Vendedor]],TB_Vendas[[#This Row],[Desc. Vendedor]],TB_Vendas[[#This Row],[Desc.]])</f>
        <v>0</v>
      </c>
      <c r="K77" s="87">
        <f>(TB_Vendas[[#This Row],[Preço Unitário]]-(TB_Vendas[[#This Row],[Preço Unitário]]*TB_Vendas[[#This Row],[Desconto]]))*TB_Vendas[[#This Row],[Qtd]]</f>
        <v>89.9</v>
      </c>
      <c r="L77" s="87">
        <f>TB_Vendas[[#This Row],[Total]]-(TB_Vendas[[#This Row],[Total]]*TB_Vendas[[#This Row],[Desconto]])</f>
        <v>89.9</v>
      </c>
      <c r="M77" s="82" t="s">
        <v>112</v>
      </c>
      <c r="N77" s="94" t="str">
        <f>VLOOKUP(TB_Vendas[[#This Row],[Vendedor]],Vendedores!$A$4:$D$9,2,FALSE)</f>
        <v>Clara</v>
      </c>
    </row>
    <row r="78" spans="1:14" s="62" customFormat="1" ht="26.25">
      <c r="A78" s="81" t="s">
        <v>138</v>
      </c>
      <c r="B78" s="82" t="s">
        <v>91</v>
      </c>
      <c r="C78" s="83" t="str">
        <f>VLOOKUP(TB_Vendas[[#This Row],[Código]],TB_Produtos[#All],2,FALSE)</f>
        <v>Saia Plissada</v>
      </c>
      <c r="D78" s="83" t="str">
        <f>VLOOKUP(TB_Vendas[[#This Row],[Código]],TB_Produtos[#All],4,FALSE)</f>
        <v>Vestuário</v>
      </c>
      <c r="E78" s="84">
        <v>45145</v>
      </c>
      <c r="F78" s="82">
        <v>2</v>
      </c>
      <c r="G78" s="85">
        <f>VLOOKUP(TB_Vendas[[#This Row],[Código]],TB_Produtos[#All],6,FALSE)</f>
        <v>49.9</v>
      </c>
      <c r="H78" s="86" cm="1">
        <f t="array" ref="H78">INDEX(Desc_TabelaToda,MATCH(TB_Vendas[[#This Row],[Qtd]],Desc_Quantidades,1),MATCH(_xlfn.XLOOKUP(TB_Vendas[[#This Row],[Código]],TB_Produtos[[#All],[Código]],TB_Produtos[[#All],[Categoria]]),Desc_Categorias,0))</f>
        <v>0.15</v>
      </c>
      <c r="I78" s="86">
        <f>_xlfn.XLOOKUP(TB_Vendas[[#This Row],[Vendedor]],Vendedores!$A$4:$A$9,Vendedores!$D$4:$D$9)</f>
        <v>0.1</v>
      </c>
      <c r="J78" s="86">
        <f>IF(TB_Vendas[[#This Row],[Desc.]]&gt;TB_Vendas[[#This Row],[Desc. Vendedor]],TB_Vendas[[#This Row],[Desc. Vendedor]],TB_Vendas[[#This Row],[Desc.]])</f>
        <v>0.1</v>
      </c>
      <c r="K78" s="87">
        <f>(TB_Vendas[[#This Row],[Preço Unitário]]-(TB_Vendas[[#This Row],[Preço Unitário]]*TB_Vendas[[#This Row],[Desconto]]))*TB_Vendas[[#This Row],[Qtd]]</f>
        <v>89.82</v>
      </c>
      <c r="L78" s="87">
        <f>TB_Vendas[[#This Row],[Total]]-(TB_Vendas[[#This Row],[Total]]*TB_Vendas[[#This Row],[Desconto]])</f>
        <v>80.837999999999994</v>
      </c>
      <c r="M78" s="82" t="s">
        <v>112</v>
      </c>
      <c r="N78" s="94" t="str">
        <f>VLOOKUP(TB_Vendas[[#This Row],[Vendedor]],Vendedores!$A$4:$D$9,2,FALSE)</f>
        <v>Clara</v>
      </c>
    </row>
    <row r="79" spans="1:14" s="62" customFormat="1" ht="26.25">
      <c r="A79" s="81" t="s">
        <v>138</v>
      </c>
      <c r="B79" s="82" t="s">
        <v>75</v>
      </c>
      <c r="C79" s="83" t="str">
        <f>VLOOKUP(TB_Vendas[[#This Row],[Código]],TB_Produtos[#All],2,FALSE)</f>
        <v>Camiseta Conforto</v>
      </c>
      <c r="D79" s="83" t="str">
        <f>VLOOKUP(TB_Vendas[[#This Row],[Código]],TB_Produtos[#All],4,FALSE)</f>
        <v>Vestuário</v>
      </c>
      <c r="E79" s="84">
        <v>45146</v>
      </c>
      <c r="F79" s="82">
        <v>8</v>
      </c>
      <c r="G79" s="85">
        <f>VLOOKUP(TB_Vendas[[#This Row],[Código]],TB_Produtos[#All],6,FALSE)</f>
        <v>70</v>
      </c>
      <c r="H79" s="86" cm="1">
        <f t="array" ref="H79">INDEX(Desc_TabelaToda,MATCH(TB_Vendas[[#This Row],[Qtd]],Desc_Quantidades,1),MATCH(_xlfn.XLOOKUP(TB_Vendas[[#This Row],[Código]],TB_Produtos[[#All],[Código]],TB_Produtos[[#All],[Categoria]]),Desc_Categorias,0))</f>
        <v>0.25</v>
      </c>
      <c r="I79" s="86">
        <f>_xlfn.XLOOKUP(TB_Vendas[[#This Row],[Vendedor]],Vendedores!$A$4:$A$9,Vendedores!$D$4:$D$9)</f>
        <v>0.25</v>
      </c>
      <c r="J79" s="86">
        <f>IF(TB_Vendas[[#This Row],[Desc.]]&gt;TB_Vendas[[#This Row],[Desc. Vendedor]],TB_Vendas[[#This Row],[Desc. Vendedor]],TB_Vendas[[#This Row],[Desc.]])</f>
        <v>0.25</v>
      </c>
      <c r="K79" s="87">
        <f>(TB_Vendas[[#This Row],[Preço Unitário]]-(TB_Vendas[[#This Row],[Preço Unitário]]*TB_Vendas[[#This Row],[Desconto]]))*TB_Vendas[[#This Row],[Qtd]]</f>
        <v>420</v>
      </c>
      <c r="L79" s="87">
        <f>TB_Vendas[[#This Row],[Total]]-(TB_Vendas[[#This Row],[Total]]*TB_Vendas[[#This Row],[Desconto]])</f>
        <v>315</v>
      </c>
      <c r="M79" s="82" t="s">
        <v>109</v>
      </c>
      <c r="N79" s="94" t="str">
        <f>VLOOKUP(TB_Vendas[[#This Row],[Vendedor]],Vendedores!$A$4:$D$9,2,FALSE)</f>
        <v>Sarah</v>
      </c>
    </row>
    <row r="80" spans="1:14" s="62" customFormat="1" ht="26.25">
      <c r="A80" s="81" t="s">
        <v>138</v>
      </c>
      <c r="B80" s="82" t="s">
        <v>33</v>
      </c>
      <c r="C80" s="83" t="str">
        <f>VLOOKUP(TB_Vendas[[#This Row],[Código]],TB_Produtos[#All],2,FALSE)</f>
        <v>Calça legging</v>
      </c>
      <c r="D80" s="83" t="str">
        <f>VLOOKUP(TB_Vendas[[#This Row],[Código]],TB_Produtos[#All],4,FALSE)</f>
        <v>Vestuário</v>
      </c>
      <c r="E80" s="84">
        <v>45147</v>
      </c>
      <c r="F80" s="82">
        <v>5</v>
      </c>
      <c r="G80" s="85">
        <f>VLOOKUP(TB_Vendas[[#This Row],[Código]],TB_Produtos[#All],6,FALSE)</f>
        <v>46.9</v>
      </c>
      <c r="H80" s="86" cm="1">
        <f t="array" ref="H80">INDEX(Desc_TabelaToda,MATCH(TB_Vendas[[#This Row],[Qtd]],Desc_Quantidades,1),MATCH(_xlfn.XLOOKUP(TB_Vendas[[#This Row],[Código]],TB_Produtos[[#All],[Código]],TB_Produtos[[#All],[Categoria]]),Desc_Categorias,0))</f>
        <v>0.25</v>
      </c>
      <c r="I80" s="86">
        <f>_xlfn.XLOOKUP(TB_Vendas[[#This Row],[Vendedor]],Vendedores!$A$4:$A$9,Vendedores!$D$4:$D$9)</f>
        <v>0.1</v>
      </c>
      <c r="J80" s="86">
        <f>IF(TB_Vendas[[#This Row],[Desc.]]&gt;TB_Vendas[[#This Row],[Desc. Vendedor]],TB_Vendas[[#This Row],[Desc. Vendedor]],TB_Vendas[[#This Row],[Desc.]])</f>
        <v>0.1</v>
      </c>
      <c r="K80" s="87">
        <f>(TB_Vendas[[#This Row],[Preço Unitário]]-(TB_Vendas[[#This Row],[Preço Unitário]]*TB_Vendas[[#This Row],[Desconto]]))*TB_Vendas[[#This Row],[Qtd]]</f>
        <v>211.05</v>
      </c>
      <c r="L80" s="87">
        <f>TB_Vendas[[#This Row],[Total]]-(TB_Vendas[[#This Row],[Total]]*TB_Vendas[[#This Row],[Desconto]])</f>
        <v>189.94499999999999</v>
      </c>
      <c r="M80" s="82" t="s">
        <v>112</v>
      </c>
      <c r="N80" s="94" t="str">
        <f>VLOOKUP(TB_Vendas[[#This Row],[Vendedor]],Vendedores!$A$4:$D$9,2,FALSE)</f>
        <v>Clara</v>
      </c>
    </row>
    <row r="81" spans="1:14" s="62" customFormat="1" ht="26.25">
      <c r="A81" s="81" t="s">
        <v>138</v>
      </c>
      <c r="B81" s="82" t="s">
        <v>85</v>
      </c>
      <c r="C81" s="83" t="str">
        <f>VLOOKUP(TB_Vendas[[#This Row],[Código]],TB_Produtos[#All],2,FALSE)</f>
        <v>Jaqueta de Couro</v>
      </c>
      <c r="D81" s="83" t="str">
        <f>VLOOKUP(TB_Vendas[[#This Row],[Código]],TB_Produtos[#All],4,FALSE)</f>
        <v>Vestuário</v>
      </c>
      <c r="E81" s="84">
        <v>45148</v>
      </c>
      <c r="F81" s="82">
        <v>10</v>
      </c>
      <c r="G81" s="85">
        <f>VLOOKUP(TB_Vendas[[#This Row],[Código]],TB_Produtos[#All],6,FALSE)</f>
        <v>289.89999999999998</v>
      </c>
      <c r="H81" s="86" cm="1">
        <f t="array" ref="H81">INDEX(Desc_TabelaToda,MATCH(TB_Vendas[[#This Row],[Qtd]],Desc_Quantidades,1),MATCH(_xlfn.XLOOKUP(TB_Vendas[[#This Row],[Código]],TB_Produtos[[#All],[Código]],TB_Produtos[[#All],[Categoria]]),Desc_Categorias,0))</f>
        <v>0.3</v>
      </c>
      <c r="I81" s="86">
        <f>_xlfn.XLOOKUP(TB_Vendas[[#This Row],[Vendedor]],Vendedores!$A$4:$A$9,Vendedores!$D$4:$D$9)</f>
        <v>0.25</v>
      </c>
      <c r="J81" s="86">
        <f>IF(TB_Vendas[[#This Row],[Desc.]]&gt;TB_Vendas[[#This Row],[Desc. Vendedor]],TB_Vendas[[#This Row],[Desc. Vendedor]],TB_Vendas[[#This Row],[Desc.]])</f>
        <v>0.25</v>
      </c>
      <c r="K81" s="87">
        <f>(TB_Vendas[[#This Row],[Preço Unitário]]-(TB_Vendas[[#This Row],[Preço Unitário]]*TB_Vendas[[#This Row],[Desconto]]))*TB_Vendas[[#This Row],[Qtd]]</f>
        <v>2174.25</v>
      </c>
      <c r="L81" s="87">
        <f>TB_Vendas[[#This Row],[Total]]-(TB_Vendas[[#This Row],[Total]]*TB_Vendas[[#This Row],[Desconto]])</f>
        <v>1630.6875</v>
      </c>
      <c r="M81" s="82" t="s">
        <v>109</v>
      </c>
      <c r="N81" s="94" t="str">
        <f>VLOOKUP(TB_Vendas[[#This Row],[Vendedor]],Vendedores!$A$4:$D$9,2,FALSE)</f>
        <v>Sarah</v>
      </c>
    </row>
    <row r="82" spans="1:14" s="62" customFormat="1" ht="26.25">
      <c r="A82" s="81" t="s">
        <v>138</v>
      </c>
      <c r="B82" s="82" t="s">
        <v>38</v>
      </c>
      <c r="C82" s="83" t="str">
        <f>VLOOKUP(TB_Vendas[[#This Row],[Código]],TB_Produtos[#All],2,FALSE)</f>
        <v>Camiseta Estampada</v>
      </c>
      <c r="D82" s="83" t="str">
        <f>VLOOKUP(TB_Vendas[[#This Row],[Código]],TB_Produtos[#All],4,FALSE)</f>
        <v>Vestuário</v>
      </c>
      <c r="E82" s="84">
        <v>45149</v>
      </c>
      <c r="F82" s="82">
        <v>1</v>
      </c>
      <c r="G82" s="85">
        <f>VLOOKUP(TB_Vendas[[#This Row],[Código]],TB_Produtos[#All],6,FALSE)</f>
        <v>42.5</v>
      </c>
      <c r="H82" s="86" cm="1">
        <f t="array" ref="H82">INDEX(Desc_TabelaToda,MATCH(TB_Vendas[[#This Row],[Qtd]],Desc_Quantidades,1),MATCH(_xlfn.XLOOKUP(TB_Vendas[[#This Row],[Código]],TB_Produtos[[#All],[Código]],TB_Produtos[[#All],[Categoria]]),Desc_Categorias,0))</f>
        <v>0.1</v>
      </c>
      <c r="I82" s="86">
        <f>_xlfn.XLOOKUP(TB_Vendas[[#This Row],[Vendedor]],Vendedores!$A$4:$A$9,Vendedores!$D$4:$D$9)</f>
        <v>0.1</v>
      </c>
      <c r="J82" s="86">
        <f>IF(TB_Vendas[[#This Row],[Desc.]]&gt;TB_Vendas[[#This Row],[Desc. Vendedor]],TB_Vendas[[#This Row],[Desc. Vendedor]],TB_Vendas[[#This Row],[Desc.]])</f>
        <v>0.1</v>
      </c>
      <c r="K82" s="87">
        <f>(TB_Vendas[[#This Row],[Preço Unitário]]-(TB_Vendas[[#This Row],[Preço Unitário]]*TB_Vendas[[#This Row],[Desconto]]))*TB_Vendas[[#This Row],[Qtd]]</f>
        <v>38.25</v>
      </c>
      <c r="L82" s="87">
        <f>TB_Vendas[[#This Row],[Total]]-(TB_Vendas[[#This Row],[Total]]*TB_Vendas[[#This Row],[Desconto]])</f>
        <v>34.424999999999997</v>
      </c>
      <c r="M82" s="82" t="s">
        <v>112</v>
      </c>
      <c r="N82" s="94" t="str">
        <f>VLOOKUP(TB_Vendas[[#This Row],[Vendedor]],Vendedores!$A$4:$D$9,2,FALSE)</f>
        <v>Clara</v>
      </c>
    </row>
    <row r="83" spans="1:14" s="62" customFormat="1" ht="26.25">
      <c r="A83" s="81" t="s">
        <v>138</v>
      </c>
      <c r="B83" s="82" t="s">
        <v>95</v>
      </c>
      <c r="C83" s="83" t="str">
        <f>VLOOKUP(TB_Vendas[[#This Row],[Código]],TB_Produtos[#All],2,FALSE)</f>
        <v>Sandália Rasteira</v>
      </c>
      <c r="D83" s="83" t="str">
        <f>VLOOKUP(TB_Vendas[[#This Row],[Código]],TB_Produtos[#All],4,FALSE)</f>
        <v>Calçado</v>
      </c>
      <c r="E83" s="84">
        <v>45150</v>
      </c>
      <c r="F83" s="82">
        <v>2</v>
      </c>
      <c r="G83" s="85">
        <f>VLOOKUP(TB_Vendas[[#This Row],[Código]],TB_Produtos[#All],6,FALSE)</f>
        <v>89.9</v>
      </c>
      <c r="H83" s="86" cm="1">
        <f t="array" ref="H83">INDEX(Desc_TabelaToda,MATCH(TB_Vendas[[#This Row],[Qtd]],Desc_Quantidades,1),MATCH(_xlfn.XLOOKUP(TB_Vendas[[#This Row],[Código]],TB_Produtos[[#All],[Código]],TB_Produtos[[#All],[Categoria]]),Desc_Categorias,0))</f>
        <v>0.1</v>
      </c>
      <c r="I83" s="86">
        <f>_xlfn.XLOOKUP(TB_Vendas[[#This Row],[Vendedor]],Vendedores!$A$4:$A$9,Vendedores!$D$4:$D$9)</f>
        <v>0.25</v>
      </c>
      <c r="J83" s="86">
        <f>IF(TB_Vendas[[#This Row],[Desc.]]&gt;TB_Vendas[[#This Row],[Desc. Vendedor]],TB_Vendas[[#This Row],[Desc. Vendedor]],TB_Vendas[[#This Row],[Desc.]])</f>
        <v>0.1</v>
      </c>
      <c r="K83" s="87">
        <f>(TB_Vendas[[#This Row],[Preço Unitário]]-(TB_Vendas[[#This Row],[Preço Unitário]]*TB_Vendas[[#This Row],[Desconto]]))*TB_Vendas[[#This Row],[Qtd]]</f>
        <v>161.82000000000002</v>
      </c>
      <c r="L83" s="87">
        <f>TB_Vendas[[#This Row],[Total]]-(TB_Vendas[[#This Row],[Total]]*TB_Vendas[[#This Row],[Desconto]])</f>
        <v>145.63800000000003</v>
      </c>
      <c r="M83" s="82" t="s">
        <v>109</v>
      </c>
      <c r="N83" s="94" t="str">
        <f>VLOOKUP(TB_Vendas[[#This Row],[Vendedor]],Vendedores!$A$4:$D$9,2,FALSE)</f>
        <v>Sarah</v>
      </c>
    </row>
    <row r="84" spans="1:14" s="62" customFormat="1" ht="26.25">
      <c r="A84" s="81" t="s">
        <v>138</v>
      </c>
      <c r="B84" s="82" t="s">
        <v>61</v>
      </c>
      <c r="C84" s="83" t="str">
        <f>VLOOKUP(TB_Vendas[[#This Row],[Código]],TB_Produtos[#All],2,FALSE)</f>
        <v>Tênis Atitas</v>
      </c>
      <c r="D84" s="83" t="str">
        <f>VLOOKUP(TB_Vendas[[#This Row],[Código]],TB_Produtos[#All],4,FALSE)</f>
        <v>Calçado</v>
      </c>
      <c r="E84" s="84">
        <v>45151</v>
      </c>
      <c r="F84" s="82">
        <v>3</v>
      </c>
      <c r="G84" s="85">
        <f>VLOOKUP(TB_Vendas[[#This Row],[Código]],TB_Produtos[#All],6,FALSE)</f>
        <v>255</v>
      </c>
      <c r="H84" s="86" cm="1">
        <f t="array" ref="H84">INDEX(Desc_TabelaToda,MATCH(TB_Vendas[[#This Row],[Qtd]],Desc_Quantidades,1),MATCH(_xlfn.XLOOKUP(TB_Vendas[[#This Row],[Código]],TB_Produtos[[#All],[Código]],TB_Produtos[[#All],[Categoria]]),Desc_Categorias,0))</f>
        <v>0.15</v>
      </c>
      <c r="I84" s="86">
        <f>_xlfn.XLOOKUP(TB_Vendas[[#This Row],[Vendedor]],Vendedores!$A$4:$A$9,Vendedores!$D$4:$D$9)</f>
        <v>0.2</v>
      </c>
      <c r="J84" s="86">
        <f>IF(TB_Vendas[[#This Row],[Desc.]]&gt;TB_Vendas[[#This Row],[Desc. Vendedor]],TB_Vendas[[#This Row],[Desc. Vendedor]],TB_Vendas[[#This Row],[Desc.]])</f>
        <v>0.15</v>
      </c>
      <c r="K84" s="87">
        <f>(TB_Vendas[[#This Row],[Preço Unitário]]-(TB_Vendas[[#This Row],[Preço Unitário]]*TB_Vendas[[#This Row],[Desconto]]))*TB_Vendas[[#This Row],[Qtd]]</f>
        <v>650.25</v>
      </c>
      <c r="L84" s="87">
        <f>TB_Vendas[[#This Row],[Total]]-(TB_Vendas[[#This Row],[Total]]*TB_Vendas[[#This Row],[Desconto]])</f>
        <v>552.71249999999998</v>
      </c>
      <c r="M84" s="82" t="s">
        <v>106</v>
      </c>
      <c r="N84" s="94" t="str">
        <f>VLOOKUP(TB_Vendas[[#This Row],[Vendedor]],Vendedores!$A$4:$D$9,2,FALSE)</f>
        <v>João</v>
      </c>
    </row>
    <row r="85" spans="1:14" s="62" customFormat="1" ht="26.25">
      <c r="A85" s="81" t="s">
        <v>138</v>
      </c>
      <c r="B85" s="82" t="s">
        <v>38</v>
      </c>
      <c r="C85" s="83" t="str">
        <f>VLOOKUP(TB_Vendas[[#This Row],[Código]],TB_Produtos[#All],2,FALSE)</f>
        <v>Camiseta Estampada</v>
      </c>
      <c r="D85" s="83" t="str">
        <f>VLOOKUP(TB_Vendas[[#This Row],[Código]],TB_Produtos[#All],4,FALSE)</f>
        <v>Vestuário</v>
      </c>
      <c r="E85" s="84">
        <v>45152</v>
      </c>
      <c r="F85" s="82">
        <v>6</v>
      </c>
      <c r="G85" s="85">
        <f>VLOOKUP(TB_Vendas[[#This Row],[Código]],TB_Produtos[#All],6,FALSE)</f>
        <v>42.5</v>
      </c>
      <c r="H85" s="86" cm="1">
        <f t="array" ref="H85">INDEX(Desc_TabelaToda,MATCH(TB_Vendas[[#This Row],[Qtd]],Desc_Quantidades,1),MATCH(_xlfn.XLOOKUP(TB_Vendas[[#This Row],[Código]],TB_Produtos[[#All],[Código]],TB_Produtos[[#All],[Categoria]]),Desc_Categorias,0))</f>
        <v>0.25</v>
      </c>
      <c r="I85" s="86">
        <f>_xlfn.XLOOKUP(TB_Vendas[[#This Row],[Vendedor]],Vendedores!$A$4:$A$9,Vendedores!$D$4:$D$9)</f>
        <v>0.2</v>
      </c>
      <c r="J85" s="86">
        <f>IF(TB_Vendas[[#This Row],[Desc.]]&gt;TB_Vendas[[#This Row],[Desc. Vendedor]],TB_Vendas[[#This Row],[Desc. Vendedor]],TB_Vendas[[#This Row],[Desc.]])</f>
        <v>0.2</v>
      </c>
      <c r="K85" s="87">
        <f>(TB_Vendas[[#This Row],[Preço Unitário]]-(TB_Vendas[[#This Row],[Preço Unitário]]*TB_Vendas[[#This Row],[Desconto]]))*TB_Vendas[[#This Row],[Qtd]]</f>
        <v>204</v>
      </c>
      <c r="L85" s="87">
        <f>TB_Vendas[[#This Row],[Total]]-(TB_Vendas[[#This Row],[Total]]*TB_Vendas[[#This Row],[Desconto]])</f>
        <v>163.19999999999999</v>
      </c>
      <c r="M85" s="82" t="s">
        <v>115</v>
      </c>
      <c r="N85" s="94" t="str">
        <f>VLOOKUP(TB_Vendas[[#This Row],[Vendedor]],Vendedores!$A$4:$D$9,2,FALSE)</f>
        <v>Amanda</v>
      </c>
    </row>
    <row r="86" spans="1:14" s="62" customFormat="1" ht="26.25">
      <c r="A86" s="95" t="s">
        <v>138</v>
      </c>
      <c r="B86" s="96" t="s">
        <v>37</v>
      </c>
      <c r="C86" s="97" t="str">
        <f>VLOOKUP(TB_Vendas[[#This Row],[Código]],TB_Produtos[#All],2,FALSE)</f>
        <v>Camiseta Estampada</v>
      </c>
      <c r="D86" s="97" t="str">
        <f>VLOOKUP(TB_Vendas[[#This Row],[Código]],TB_Produtos[#All],4,FALSE)</f>
        <v>Vestuário</v>
      </c>
      <c r="E86" s="98">
        <v>45153</v>
      </c>
      <c r="F86" s="96">
        <v>8</v>
      </c>
      <c r="G86" s="99">
        <f>VLOOKUP(TB_Vendas[[#This Row],[Código]],TB_Produtos[#All],6,FALSE)</f>
        <v>39.9</v>
      </c>
      <c r="H86" s="100" cm="1">
        <f t="array" ref="H86">INDEX(Desc_TabelaToda,MATCH(TB_Vendas[[#This Row],[Qtd]],Desc_Quantidades,1),MATCH(_xlfn.XLOOKUP(TB_Vendas[[#This Row],[Código]],TB_Produtos[[#All],[Código]],TB_Produtos[[#All],[Categoria]]),Desc_Categorias,0))</f>
        <v>0.25</v>
      </c>
      <c r="I86" s="100">
        <f>_xlfn.XLOOKUP(TB_Vendas[[#This Row],[Vendedor]],Vendedores!$A$4:$A$9,Vendedores!$D$4:$D$9)</f>
        <v>0.25</v>
      </c>
      <c r="J86" s="100">
        <f>IF(TB_Vendas[[#This Row],[Desc.]]&gt;TB_Vendas[[#This Row],[Desc. Vendedor]],TB_Vendas[[#This Row],[Desc. Vendedor]],TB_Vendas[[#This Row],[Desc.]])</f>
        <v>0.25</v>
      </c>
      <c r="K86" s="101">
        <f>(TB_Vendas[[#This Row],[Preço Unitário]]-(TB_Vendas[[#This Row],[Preço Unitário]]*TB_Vendas[[#This Row],[Desconto]]))*TB_Vendas[[#This Row],[Qtd]]</f>
        <v>239.39999999999998</v>
      </c>
      <c r="L86" s="101">
        <f>TB_Vendas[[#This Row],[Total]]-(TB_Vendas[[#This Row],[Total]]*TB_Vendas[[#This Row],[Desconto]])</f>
        <v>179.54999999999998</v>
      </c>
      <c r="M86" s="96" t="s">
        <v>109</v>
      </c>
      <c r="N86" s="102" t="str">
        <f>VLOOKUP(TB_Vendas[[#This Row],[Vendedor]],Vendedores!$A$4:$D$9,2,FALSE)</f>
        <v>Sarah</v>
      </c>
    </row>
    <row r="87" spans="1:14">
      <c r="G87" s="80"/>
    </row>
    <row r="88" spans="1:14">
      <c r="G88" s="80"/>
    </row>
    <row r="89" spans="1:14">
      <c r="G89" s="80"/>
    </row>
    <row r="90" spans="1:14">
      <c r="G90" s="80"/>
    </row>
    <row r="91" spans="1:14">
      <c r="G91" s="80"/>
    </row>
    <row r="92" spans="1:14">
      <c r="G92" s="80"/>
    </row>
    <row r="93" spans="1:14">
      <c r="G93" s="80"/>
    </row>
    <row r="94" spans="1:14">
      <c r="G94" s="80"/>
    </row>
    <row r="95" spans="1:14">
      <c r="G95" s="80"/>
    </row>
    <row r="96" spans="1:14">
      <c r="G96" s="80"/>
    </row>
    <row r="97" spans="7:7">
      <c r="G97" s="80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D70-49E7-480C-89F8-5616E1124C0C}">
  <dimension ref="A1:J20"/>
  <sheetViews>
    <sheetView workbookViewId="0">
      <selection activeCell="F8" sqref="F8"/>
    </sheetView>
  </sheetViews>
  <sheetFormatPr defaultRowHeight="15"/>
  <cols>
    <col min="1" max="1" width="9.140625" style="7"/>
    <col min="2" max="2" width="24.7109375" style="7" customWidth="1"/>
    <col min="3" max="3" width="30.85546875" style="7" customWidth="1"/>
    <col min="4" max="4" width="14.85546875" style="7" customWidth="1"/>
    <col min="5" max="5" width="22.42578125" style="7" customWidth="1"/>
    <col min="6" max="6" width="24.5703125" style="7" customWidth="1"/>
    <col min="7" max="16384" width="9.140625" style="7"/>
  </cols>
  <sheetData>
    <row r="1" spans="1:10" s="1" customFormat="1" ht="43.5" customHeight="1">
      <c r="A1" s="30" t="s">
        <v>3</v>
      </c>
      <c r="C1" s="40" t="s">
        <v>0</v>
      </c>
      <c r="D1" s="36" t="s">
        <v>1</v>
      </c>
      <c r="E1" s="36" t="s">
        <v>2</v>
      </c>
      <c r="F1" s="36"/>
      <c r="G1" s="45" t="s">
        <v>5</v>
      </c>
    </row>
    <row r="2" spans="1:10" ht="7.5" customHeight="1"/>
    <row r="3" spans="1:10" s="8" customFormat="1" ht="7.5" customHeight="1"/>
    <row r="4" spans="1:10" s="8" customFormat="1" ht="21.75">
      <c r="B4" s="106" t="s">
        <v>139</v>
      </c>
      <c r="C4" s="107"/>
      <c r="E4" s="106" t="s">
        <v>140</v>
      </c>
      <c r="F4" s="107"/>
    </row>
    <row r="5" spans="1:10" s="8" customFormat="1" ht="3" customHeight="1"/>
    <row r="6" spans="1:10" s="8" customFormat="1" ht="21.75">
      <c r="B6" s="21" t="s">
        <v>141</v>
      </c>
      <c r="C6" s="31" t="s">
        <v>44</v>
      </c>
      <c r="E6" s="21" t="s">
        <v>142</v>
      </c>
      <c r="F6" s="32">
        <v>45024</v>
      </c>
    </row>
    <row r="7" spans="1:10" s="8" customFormat="1" ht="21.75">
      <c r="B7" s="21" t="s">
        <v>143</v>
      </c>
      <c r="C7" s="27" t="str">
        <f>VLOOKUP(C6,Produtos!B6:G66,2,FALSE)</f>
        <v>Cinto</v>
      </c>
      <c r="E7" s="21" t="s">
        <v>144</v>
      </c>
      <c r="F7" s="27" t="str">
        <f>HLOOKUP(WEEKDAY(F6),'Cadastros Auxiliares'!$B$4:$I$5,2,FALSE)</f>
        <v>Sábado</v>
      </c>
    </row>
    <row r="8" spans="1:10" s="8" customFormat="1" ht="21.75">
      <c r="B8" s="22" t="s">
        <v>145</v>
      </c>
      <c r="C8" s="28" t="str" cm="1">
        <f t="array" ref="C8">_xlfn.XLOOKUP(C6,TB_Produtos[[#All],[Código]],TB_Produtos[[#All],[Tamanho]],"Não encontrado")</f>
        <v>Único</v>
      </c>
      <c r="E8" s="22" t="s">
        <v>146</v>
      </c>
      <c r="F8" s="28" t="s">
        <v>147</v>
      </c>
    </row>
    <row r="9" spans="1:10" s="8" customFormat="1" ht="21.75">
      <c r="B9" s="23" t="s">
        <v>148</v>
      </c>
      <c r="C9" s="27" t="str">
        <f>IFERROR(VLOOKUP(C6,Produtos!B6:G66,4,FALSE),"Não encontrado")</f>
        <v>Acessórios</v>
      </c>
      <c r="E9" s="26" t="s">
        <v>149</v>
      </c>
      <c r="F9" s="33">
        <f>SUMIF(TB_Vendas[[#All],[Data]],Consultas!$F$6,TB_Vendas[[#All],[Qtd]])</f>
        <v>3</v>
      </c>
    </row>
    <row r="10" spans="1:10" s="8" customFormat="1" ht="21.75">
      <c r="B10" s="24" t="s">
        <v>150</v>
      </c>
      <c r="C10" s="46" cm="1">
        <f t="array" ref="C10">_xlfn.XLOOKUP(C6,TB_Produtos[[#All],[Código]],TB_Produtos[[#All],[Preço Unitário]],"Não encontrado")</f>
        <v>49.9</v>
      </c>
    </row>
    <row r="11" spans="1:10" s="8" customFormat="1" ht="21.75">
      <c r="B11" s="21" t="s">
        <v>151</v>
      </c>
      <c r="C11" s="27" cm="1">
        <f t="array" ref="C11">_xlfn.XLOOKUP(C6,TB_Produtos[[#All],[Código]],TB_Produtos[[#All],[Estoque]],"")</f>
        <v>2</v>
      </c>
    </row>
    <row r="12" spans="1:10" s="8" customFormat="1" ht="21.75">
      <c r="B12" s="21" t="s">
        <v>152</v>
      </c>
      <c r="C12" s="27" t="str" cm="1">
        <f t="array" ref="C12">_xlfn.IFS(C11=0, "Estoque zerado", C11&gt;=C13,"Estoque OK",1,"Rever estoque")</f>
        <v>Rever estoque</v>
      </c>
      <c r="I12" s="41"/>
      <c r="J12" s="41"/>
    </row>
    <row r="13" spans="1:10" s="8" customFormat="1" ht="21.75">
      <c r="B13" s="25" t="s">
        <v>153</v>
      </c>
      <c r="C13" s="29">
        <f>_xlfn.XLOOKUP(C9,'Cadastros Auxiliares'!G9:G11,'Cadastros Auxiliares'!H9:H11,"")</f>
        <v>5</v>
      </c>
    </row>
    <row r="14" spans="1:10" s="8" customFormat="1"/>
    <row r="15" spans="1:10" s="8" customFormat="1"/>
    <row r="16" spans="1:10" s="8" customFormat="1">
      <c r="G16" s="37"/>
    </row>
    <row r="17" s="8" customFormat="1"/>
    <row r="18" s="8" customFormat="1"/>
    <row r="19" s="8" customFormat="1"/>
    <row r="20" s="8" customFormat="1"/>
  </sheetData>
  <mergeCells count="2">
    <mergeCell ref="B4:C4"/>
    <mergeCell ref="E4:F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AA16D-3AC1-4BD2-8B36-27C38E7DEFC5}">
          <x14:formula1>
            <xm:f>Produtos!$B$7:$B$66</xm:f>
          </x14:formula1>
          <xm:sqref>C6</xm:sqref>
        </x14:dataValidation>
        <x14:dataValidation type="list" allowBlank="1" showInputMessage="1" showErrorMessage="1" xr:uid="{5316EE0A-40CB-47DE-B423-97904F12071A}">
          <x14:formula1>
            <xm:f>Vendas!$E$5:$E$86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L27"/>
  <sheetViews>
    <sheetView workbookViewId="0">
      <selection activeCell="C19" sqref="C19"/>
    </sheetView>
  </sheetViews>
  <sheetFormatPr defaultRowHeight="14.25"/>
  <cols>
    <col min="1" max="1" width="10.42578125" style="3" customWidth="1"/>
    <col min="2" max="2" width="22.5703125" style="3" customWidth="1"/>
    <col min="3" max="3" width="17.140625" style="3" customWidth="1"/>
    <col min="4" max="4" width="18.85546875" style="3" customWidth="1"/>
    <col min="5" max="5" width="14.140625" style="3" bestFit="1" customWidth="1"/>
    <col min="6" max="6" width="20.5703125" style="3" bestFit="1" customWidth="1"/>
    <col min="7" max="8" width="14.7109375" style="3" customWidth="1"/>
    <col min="9" max="9" width="12.140625" style="3" customWidth="1"/>
    <col min="10" max="16384" width="9.140625" style="3"/>
  </cols>
  <sheetData>
    <row r="1" spans="1:9" s="2" customFormat="1" ht="33.75" customHeight="1">
      <c r="A1" s="5" t="s">
        <v>154</v>
      </c>
      <c r="B1" s="4"/>
    </row>
    <row r="2" spans="1:9" ht="6" customHeight="1"/>
    <row r="3" spans="1:9" ht="5.25" customHeight="1"/>
    <row r="4" spans="1:9" ht="26.25" customHeight="1">
      <c r="B4" s="49" t="s">
        <v>6</v>
      </c>
      <c r="C4" s="50">
        <v>1</v>
      </c>
      <c r="D4" s="50">
        <v>2</v>
      </c>
      <c r="E4" s="50">
        <v>3</v>
      </c>
      <c r="F4" s="50">
        <v>4</v>
      </c>
      <c r="G4" s="50">
        <v>5</v>
      </c>
      <c r="H4" s="50">
        <v>6</v>
      </c>
      <c r="I4" s="50">
        <v>7</v>
      </c>
    </row>
    <row r="5" spans="1:9" ht="26.25" customHeight="1">
      <c r="B5" s="49" t="s">
        <v>155</v>
      </c>
      <c r="C5" s="51" t="s">
        <v>156</v>
      </c>
      <c r="D5" s="51" t="s">
        <v>157</v>
      </c>
      <c r="E5" s="51" t="s">
        <v>158</v>
      </c>
      <c r="F5" s="51" t="s">
        <v>159</v>
      </c>
      <c r="G5" s="51" t="s">
        <v>160</v>
      </c>
      <c r="H5" s="51" t="s">
        <v>161</v>
      </c>
      <c r="I5" s="51" t="s">
        <v>162</v>
      </c>
    </row>
    <row r="8" spans="1:9" ht="31.5">
      <c r="A8" s="52"/>
      <c r="B8" s="53" t="s">
        <v>163</v>
      </c>
      <c r="C8" s="53" t="s">
        <v>22</v>
      </c>
      <c r="D8" s="53" t="s">
        <v>14</v>
      </c>
      <c r="E8" s="54" t="s">
        <v>60</v>
      </c>
      <c r="G8" s="54" t="s">
        <v>8</v>
      </c>
      <c r="H8" s="55" t="s">
        <v>164</v>
      </c>
    </row>
    <row r="9" spans="1:9" ht="18">
      <c r="B9" s="56">
        <v>1</v>
      </c>
      <c r="C9" s="57">
        <v>0</v>
      </c>
      <c r="D9" s="58">
        <v>0.1</v>
      </c>
      <c r="E9" s="57">
        <v>0</v>
      </c>
      <c r="G9" s="57" t="s">
        <v>22</v>
      </c>
      <c r="H9" s="59">
        <v>5</v>
      </c>
    </row>
    <row r="10" spans="1:9" ht="18">
      <c r="B10" s="56">
        <v>2</v>
      </c>
      <c r="C10" s="57">
        <v>0.05</v>
      </c>
      <c r="D10" s="57">
        <v>0.15</v>
      </c>
      <c r="E10" s="60">
        <v>0.1</v>
      </c>
      <c r="G10" s="57" t="s">
        <v>14</v>
      </c>
      <c r="H10" s="59">
        <v>10</v>
      </c>
    </row>
    <row r="11" spans="1:9" ht="18">
      <c r="B11" s="56">
        <v>3</v>
      </c>
      <c r="C11" s="57">
        <v>0.15</v>
      </c>
      <c r="D11" s="57">
        <v>0.2</v>
      </c>
      <c r="E11" s="60">
        <v>0.15</v>
      </c>
      <c r="G11" s="57" t="s">
        <v>60</v>
      </c>
      <c r="H11" s="59">
        <v>15</v>
      </c>
    </row>
    <row r="12" spans="1:9" ht="18">
      <c r="B12" s="56">
        <v>5</v>
      </c>
      <c r="C12" s="57">
        <v>0.25</v>
      </c>
      <c r="D12" s="57">
        <v>0.25</v>
      </c>
      <c r="E12" s="60">
        <v>0.25</v>
      </c>
    </row>
    <row r="13" spans="1:9" ht="18">
      <c r="B13" s="56">
        <v>10</v>
      </c>
      <c r="C13" s="57">
        <v>0.3</v>
      </c>
      <c r="D13" s="57">
        <v>0.3</v>
      </c>
      <c r="E13" s="60">
        <v>0.3</v>
      </c>
    </row>
    <row r="16" spans="1:9">
      <c r="C16" s="3" t="s">
        <v>75</v>
      </c>
      <c r="D16" s="3">
        <f>MATCH(C18,B8:E8,0)</f>
        <v>3</v>
      </c>
      <c r="F16" s="3">
        <f>MATCH(C18,B8:E8,0)</f>
        <v>3</v>
      </c>
      <c r="G16" s="3" t="s">
        <v>165</v>
      </c>
    </row>
    <row r="17" spans="1:12">
      <c r="C17" s="3">
        <v>4</v>
      </c>
      <c r="D17" s="61">
        <f>VLOOKUP(C17,B8:E13,MATCH(C18,B8:E8,0),TRUE)</f>
        <v>0.2</v>
      </c>
      <c r="F17" s="3">
        <f>MATCH(C17,B8:B13,1)</f>
        <v>4</v>
      </c>
      <c r="G17" s="3" t="s">
        <v>166</v>
      </c>
    </row>
    <row r="18" spans="1:12">
      <c r="C18" s="3" t="str" cm="1">
        <f t="array" ref="C18">_xlfn.XLOOKUP(C16,TB_Produtos[[#All],[Código]],TB_Produtos[[#All],[Categoria]],"")</f>
        <v>Vestuário</v>
      </c>
      <c r="F18" s="61" cm="1">
        <f t="array" ref="F18">INDEX(B8:E13,F17,F16)</f>
        <v>0.2</v>
      </c>
    </row>
    <row r="19" spans="1:12" ht="19.5">
      <c r="A19" s="47"/>
      <c r="B19" s="47"/>
      <c r="C19" s="48" t="str">
        <f>VLOOKUP(C16,TB_Produtos[#All],4,FALSE)</f>
        <v>Vestuário</v>
      </c>
      <c r="D19" s="47"/>
      <c r="E19" s="47"/>
      <c r="F19" s="47"/>
      <c r="G19" s="47"/>
      <c r="H19" s="47"/>
      <c r="I19" s="47"/>
      <c r="J19" s="47"/>
      <c r="K19" s="47"/>
      <c r="L19" s="47"/>
    </row>
    <row r="20" spans="1:12" ht="19.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1:12" ht="19.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19.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19.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ht="19.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ht="19.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ht="19.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9.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31DF-8595-436E-9951-C38BA90C3E58}">
  <sheetPr>
    <tabColor rgb="FF92D050"/>
  </sheetPr>
  <dimension ref="A3:D32"/>
  <sheetViews>
    <sheetView workbookViewId="0">
      <selection activeCell="C12" sqref="C12"/>
    </sheetView>
  </sheetViews>
  <sheetFormatPr defaultRowHeight="15"/>
  <cols>
    <col min="1" max="1" width="12.5703125" bestFit="1" customWidth="1"/>
    <col min="2" max="2" width="19.140625" bestFit="1" customWidth="1"/>
    <col min="3" max="3" width="16.140625" bestFit="1" customWidth="1"/>
    <col min="4" max="4" width="21.5703125" bestFit="1" customWidth="1"/>
    <col min="5" max="5" width="10.42578125" bestFit="1" customWidth="1"/>
    <col min="6" max="6" width="16" bestFit="1" customWidth="1"/>
    <col min="7" max="7" width="14.85546875" bestFit="1" customWidth="1"/>
    <col min="8" max="8" width="15.140625" bestFit="1" customWidth="1"/>
    <col min="9" max="9" width="16.28515625" bestFit="1" customWidth="1"/>
    <col min="10" max="10" width="11" bestFit="1" customWidth="1"/>
    <col min="11" max="11" width="12.5703125" bestFit="1" customWidth="1"/>
    <col min="12" max="12" width="12.85546875" bestFit="1" customWidth="1"/>
    <col min="13" max="13" width="11.140625" bestFit="1" customWidth="1"/>
    <col min="14" max="14" width="15.42578125" bestFit="1" customWidth="1"/>
    <col min="15" max="15" width="11.140625" bestFit="1" customWidth="1"/>
    <col min="16" max="16" width="12.7109375" bestFit="1" customWidth="1"/>
    <col min="17" max="17" width="17.5703125" bestFit="1" customWidth="1"/>
    <col min="18" max="18" width="19.7109375" bestFit="1" customWidth="1"/>
    <col min="19" max="19" width="13.28515625" bestFit="1" customWidth="1"/>
    <col min="20" max="20" width="13.7109375" bestFit="1" customWidth="1"/>
    <col min="21" max="21" width="17" bestFit="1" customWidth="1"/>
    <col min="22" max="22" width="13.28515625" bestFit="1" customWidth="1"/>
    <col min="23" max="23" width="16.140625" bestFit="1" customWidth="1"/>
    <col min="24" max="24" width="13" bestFit="1" customWidth="1"/>
    <col min="25" max="25" width="12.5703125" bestFit="1" customWidth="1"/>
    <col min="26" max="26" width="12.7109375" bestFit="1" customWidth="1"/>
    <col min="27" max="27" width="13" bestFit="1" customWidth="1"/>
    <col min="28" max="28" width="12.85546875" bestFit="1" customWidth="1"/>
    <col min="29" max="29" width="13.85546875" bestFit="1" customWidth="1"/>
    <col min="30" max="30" width="10.42578125" bestFit="1" customWidth="1"/>
  </cols>
  <sheetData>
    <row r="3" spans="1:4">
      <c r="A3" s="67" t="s">
        <v>8</v>
      </c>
      <c r="B3" s="67" t="s">
        <v>0</v>
      </c>
      <c r="C3" t="s">
        <v>167</v>
      </c>
      <c r="D3" t="s">
        <v>168</v>
      </c>
    </row>
    <row r="4" spans="1:4">
      <c r="A4" t="s">
        <v>22</v>
      </c>
      <c r="B4" t="s">
        <v>20</v>
      </c>
      <c r="C4" s="68">
        <v>36</v>
      </c>
      <c r="D4" s="69">
        <v>145</v>
      </c>
    </row>
    <row r="5" spans="1:4">
      <c r="B5" t="s">
        <v>24</v>
      </c>
      <c r="C5" s="68">
        <v>21</v>
      </c>
      <c r="D5" s="69">
        <v>259.89999999999998</v>
      </c>
    </row>
    <row r="6" spans="1:4">
      <c r="B6" t="s">
        <v>26</v>
      </c>
      <c r="C6" s="68">
        <v>23</v>
      </c>
      <c r="D6" s="69">
        <v>39.9</v>
      </c>
    </row>
    <row r="7" spans="1:4">
      <c r="B7" t="s">
        <v>45</v>
      </c>
      <c r="C7" s="68">
        <v>2</v>
      </c>
      <c r="D7" s="69">
        <v>49.9</v>
      </c>
    </row>
    <row r="8" spans="1:4">
      <c r="B8" t="s">
        <v>55</v>
      </c>
      <c r="C8" s="68">
        <v>32</v>
      </c>
      <c r="D8" s="69">
        <v>349.9</v>
      </c>
    </row>
    <row r="9" spans="1:4">
      <c r="B9" t="s">
        <v>57</v>
      </c>
      <c r="C9" s="68">
        <v>45</v>
      </c>
      <c r="D9" s="69">
        <v>120</v>
      </c>
    </row>
    <row r="10" spans="1:4">
      <c r="A10" t="s">
        <v>169</v>
      </c>
      <c r="C10" s="68">
        <v>159</v>
      </c>
      <c r="D10" s="69">
        <v>964.59999999999991</v>
      </c>
    </row>
    <row r="11" spans="1:4">
      <c r="A11" t="s">
        <v>60</v>
      </c>
      <c r="B11" t="s">
        <v>96</v>
      </c>
      <c r="C11" s="68">
        <v>131</v>
      </c>
      <c r="D11" s="69">
        <v>269.70000000000005</v>
      </c>
    </row>
    <row r="12" spans="1:4">
      <c r="B12" t="s">
        <v>59</v>
      </c>
      <c r="C12" s="68">
        <v>108</v>
      </c>
      <c r="D12" s="69">
        <v>764.8</v>
      </c>
    </row>
    <row r="13" spans="1:4">
      <c r="B13" t="s">
        <v>64</v>
      </c>
      <c r="C13" s="68">
        <v>111</v>
      </c>
      <c r="D13" s="69">
        <v>754.9</v>
      </c>
    </row>
    <row r="14" spans="1:4">
      <c r="A14" t="s">
        <v>170</v>
      </c>
      <c r="C14" s="68">
        <v>350</v>
      </c>
      <c r="D14" s="69">
        <v>1789.4</v>
      </c>
    </row>
    <row r="15" spans="1:4">
      <c r="A15" t="s">
        <v>14</v>
      </c>
      <c r="B15" t="s">
        <v>12</v>
      </c>
      <c r="C15" s="68">
        <v>85</v>
      </c>
      <c r="D15" s="69">
        <v>206.70000000000002</v>
      </c>
    </row>
    <row r="16" spans="1:4">
      <c r="B16" t="s">
        <v>100</v>
      </c>
      <c r="C16" s="68">
        <v>110</v>
      </c>
      <c r="D16" s="69">
        <v>540</v>
      </c>
    </row>
    <row r="17" spans="1:4">
      <c r="B17" t="s">
        <v>28</v>
      </c>
      <c r="C17" s="68">
        <v>106</v>
      </c>
      <c r="D17" s="69">
        <v>268.70000000000005</v>
      </c>
    </row>
    <row r="18" spans="1:4">
      <c r="B18" t="s">
        <v>32</v>
      </c>
      <c r="C18" s="68">
        <v>119</v>
      </c>
      <c r="D18" s="69">
        <v>140.69999999999999</v>
      </c>
    </row>
    <row r="19" spans="1:4">
      <c r="B19" t="s">
        <v>76</v>
      </c>
      <c r="C19" s="68">
        <v>80</v>
      </c>
      <c r="D19" s="69">
        <v>179.8</v>
      </c>
    </row>
    <row r="20" spans="1:4">
      <c r="B20" t="s">
        <v>36</v>
      </c>
      <c r="C20" s="68">
        <v>72</v>
      </c>
      <c r="D20" s="69">
        <v>122.3</v>
      </c>
    </row>
    <row r="21" spans="1:4">
      <c r="B21" t="s">
        <v>40</v>
      </c>
      <c r="C21" s="68">
        <v>43</v>
      </c>
      <c r="D21" s="69">
        <v>25.9</v>
      </c>
    </row>
    <row r="22" spans="1:4">
      <c r="B22" t="s">
        <v>42</v>
      </c>
      <c r="C22" s="68">
        <v>86</v>
      </c>
      <c r="D22" s="69">
        <v>62.8</v>
      </c>
    </row>
    <row r="23" spans="1:4">
      <c r="B23" t="s">
        <v>88</v>
      </c>
      <c r="C23" s="68">
        <v>130</v>
      </c>
      <c r="D23" s="69">
        <v>98.699999999999989</v>
      </c>
    </row>
    <row r="24" spans="1:4">
      <c r="B24" t="s">
        <v>47</v>
      </c>
      <c r="C24" s="68">
        <v>103</v>
      </c>
      <c r="D24" s="69">
        <v>902.8</v>
      </c>
    </row>
    <row r="25" spans="1:4">
      <c r="B25" t="s">
        <v>84</v>
      </c>
      <c r="C25" s="68">
        <v>70</v>
      </c>
      <c r="D25" s="69">
        <v>869.69999999999993</v>
      </c>
    </row>
    <row r="26" spans="1:4">
      <c r="B26" t="s">
        <v>51</v>
      </c>
      <c r="C26" s="68">
        <v>106</v>
      </c>
      <c r="D26" s="69">
        <v>809.69999999999993</v>
      </c>
    </row>
    <row r="27" spans="1:4">
      <c r="B27" t="s">
        <v>92</v>
      </c>
      <c r="C27" s="68">
        <v>93</v>
      </c>
      <c r="D27" s="69">
        <v>149.69999999999999</v>
      </c>
    </row>
    <row r="28" spans="1:4">
      <c r="B28" t="s">
        <v>68</v>
      </c>
      <c r="C28" s="68">
        <v>106</v>
      </c>
      <c r="D28" s="69">
        <v>274.8</v>
      </c>
    </row>
    <row r="29" spans="1:4">
      <c r="B29" t="s">
        <v>80</v>
      </c>
      <c r="C29" s="68">
        <v>133</v>
      </c>
      <c r="D29" s="69">
        <v>217.5</v>
      </c>
    </row>
    <row r="30" spans="1:4">
      <c r="B30" t="s">
        <v>72</v>
      </c>
      <c r="C30" s="68">
        <v>131</v>
      </c>
      <c r="D30" s="69">
        <v>428.9</v>
      </c>
    </row>
    <row r="31" spans="1:4">
      <c r="A31" t="s">
        <v>171</v>
      </c>
      <c r="C31" s="68">
        <v>1573</v>
      </c>
      <c r="D31" s="69">
        <v>5298.7</v>
      </c>
    </row>
    <row r="32" spans="1:4">
      <c r="A32" t="s">
        <v>172</v>
      </c>
      <c r="C32" s="68">
        <v>2082</v>
      </c>
      <c r="D32" s="69">
        <v>8052.6999999999989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537C-9D7F-4809-8698-32DD53AD04E2}">
  <sheetPr>
    <tabColor rgb="FF92D050"/>
  </sheetPr>
  <dimension ref="A7:C14"/>
  <sheetViews>
    <sheetView workbookViewId="0">
      <selection activeCell="B11" sqref="B11"/>
    </sheetView>
  </sheetViews>
  <sheetFormatPr defaultRowHeight="15"/>
  <cols>
    <col min="1" max="1" width="10.42578125" bestFit="1" customWidth="1"/>
    <col min="2" max="2" width="12.140625" bestFit="1" customWidth="1"/>
    <col min="3" max="3" width="26.5703125" bestFit="1" customWidth="1"/>
    <col min="4" max="4" width="21.5703125" bestFit="1" customWidth="1"/>
  </cols>
  <sheetData>
    <row r="7" spans="1:3">
      <c r="A7" s="67" t="s">
        <v>121</v>
      </c>
      <c r="B7" t="s">
        <v>173</v>
      </c>
      <c r="C7" t="s">
        <v>174</v>
      </c>
    </row>
    <row r="8" spans="1:3">
      <c r="A8" t="s">
        <v>131</v>
      </c>
      <c r="B8" s="68">
        <v>2</v>
      </c>
      <c r="C8" s="103">
        <v>405</v>
      </c>
    </row>
    <row r="9" spans="1:3">
      <c r="A9" t="s">
        <v>132</v>
      </c>
      <c r="B9" s="68">
        <v>1</v>
      </c>
      <c r="C9" s="103">
        <v>249.9</v>
      </c>
    </row>
    <row r="10" spans="1:3">
      <c r="A10" t="s">
        <v>133</v>
      </c>
      <c r="B10" s="68">
        <v>3</v>
      </c>
      <c r="C10" s="103">
        <v>552.71249999999998</v>
      </c>
    </row>
    <row r="11" spans="1:3">
      <c r="A11" t="s">
        <v>134</v>
      </c>
      <c r="B11" s="68">
        <v>6</v>
      </c>
      <c r="C11" s="103">
        <v>405.44900000000007</v>
      </c>
    </row>
    <row r="12" spans="1:3">
      <c r="A12" t="s">
        <v>136</v>
      </c>
      <c r="B12" s="68">
        <v>2</v>
      </c>
      <c r="C12" s="103">
        <v>421.03799999999995</v>
      </c>
    </row>
    <row r="13" spans="1:3">
      <c r="A13" t="s">
        <v>138</v>
      </c>
      <c r="B13" s="68">
        <v>6</v>
      </c>
      <c r="C13" s="103">
        <v>788.25049999999999</v>
      </c>
    </row>
    <row r="14" spans="1:3">
      <c r="A14" t="s">
        <v>172</v>
      </c>
      <c r="B14" s="68">
        <v>20</v>
      </c>
      <c r="C14" s="103">
        <v>2822.35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80DB-3B88-4134-AF0B-CA2668A8016E}">
  <sheetPr>
    <tabColor rgb="FF92D050"/>
  </sheetPr>
  <dimension ref="A3:B9"/>
  <sheetViews>
    <sheetView workbookViewId="0">
      <selection activeCell="B4" sqref="B4"/>
    </sheetView>
  </sheetViews>
  <sheetFormatPr defaultRowHeight="15"/>
  <cols>
    <col min="1" max="1" width="20.85546875" bestFit="1" customWidth="1"/>
    <col min="2" max="3" width="26.5703125" bestFit="1" customWidth="1"/>
  </cols>
  <sheetData>
    <row r="3" spans="1:2">
      <c r="A3" s="67" t="s">
        <v>130</v>
      </c>
      <c r="B3" t="s">
        <v>174</v>
      </c>
    </row>
    <row r="4" spans="1:2">
      <c r="A4" t="s">
        <v>116</v>
      </c>
      <c r="B4" s="103">
        <v>115.74900000000001</v>
      </c>
    </row>
    <row r="5" spans="1:2">
      <c r="A5" t="s">
        <v>119</v>
      </c>
      <c r="B5" s="103">
        <v>280.90800000000002</v>
      </c>
    </row>
    <row r="6" spans="1:2">
      <c r="A6" t="s">
        <v>113</v>
      </c>
      <c r="B6" s="103">
        <v>263.89800000000002</v>
      </c>
    </row>
    <row r="7" spans="1:2">
      <c r="A7" t="s">
        <v>107</v>
      </c>
      <c r="B7" s="103">
        <v>47.540500000000002</v>
      </c>
    </row>
    <row r="8" spans="1:2">
      <c r="A8" t="s">
        <v>110</v>
      </c>
      <c r="B8" s="103">
        <v>761.33799999999997</v>
      </c>
    </row>
    <row r="9" spans="1:2">
      <c r="A9" t="s">
        <v>172</v>
      </c>
      <c r="B9" s="103">
        <v>1469.4335000000001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BF3-38DB-4D09-A319-032FA4CC8428}">
  <dimension ref="D1:CC44"/>
  <sheetViews>
    <sheetView tabSelected="1" topLeftCell="B1" workbookViewId="0">
      <selection activeCell="AR29" sqref="AR29:CC44"/>
    </sheetView>
  </sheetViews>
  <sheetFormatPr defaultColWidth="3" defaultRowHeight="10.5" customHeight="1"/>
  <cols>
    <col min="1" max="16384" width="3" style="70"/>
  </cols>
  <sheetData>
    <row r="1" spans="4:81" ht="15" customHeight="1"/>
    <row r="2" spans="4:81" ht="15" customHeight="1"/>
    <row r="3" spans="4:81" ht="15" customHeight="1"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X3" s="129" t="s">
        <v>175</v>
      </c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1"/>
      <c r="AR3" s="129" t="s">
        <v>176</v>
      </c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1"/>
      <c r="BL3" s="129" t="s">
        <v>177</v>
      </c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1"/>
    </row>
    <row r="4" spans="4:81" ht="15" customHeight="1"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X4" s="132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4"/>
      <c r="AR4" s="132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4"/>
      <c r="BL4" s="132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4"/>
    </row>
    <row r="5" spans="4:81" ht="15" customHeight="1"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X5" s="135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7"/>
      <c r="AR5" s="135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7"/>
      <c r="BL5" s="144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6"/>
    </row>
    <row r="6" spans="4:81" ht="15" customHeight="1"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X6" s="138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40"/>
      <c r="AR6" s="138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40"/>
      <c r="BL6" s="147"/>
      <c r="BM6" s="148"/>
      <c r="BN6" s="148"/>
      <c r="BO6" s="148"/>
      <c r="BP6" s="148"/>
      <c r="BQ6" s="148"/>
      <c r="BR6" s="148"/>
      <c r="BS6" s="148"/>
      <c r="BT6" s="148"/>
      <c r="BU6" s="148"/>
      <c r="BV6" s="148"/>
      <c r="BW6" s="148"/>
      <c r="BX6" s="148"/>
      <c r="BY6" s="148"/>
      <c r="BZ6" s="148"/>
      <c r="CA6" s="148"/>
      <c r="CB6" s="148"/>
      <c r="CC6" s="149"/>
    </row>
    <row r="7" spans="4:81" ht="15" customHeight="1"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X7" s="138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40"/>
      <c r="AR7" s="138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40"/>
      <c r="BL7" s="147"/>
      <c r="BM7" s="148"/>
      <c r="BN7" s="148"/>
      <c r="BO7" s="148"/>
      <c r="BP7" s="148"/>
      <c r="BQ7" s="148"/>
      <c r="BR7" s="148"/>
      <c r="BS7" s="148"/>
      <c r="BT7" s="148"/>
      <c r="BU7" s="148"/>
      <c r="BV7" s="148"/>
      <c r="BW7" s="148"/>
      <c r="BX7" s="148"/>
      <c r="BY7" s="148"/>
      <c r="BZ7" s="148"/>
      <c r="CA7" s="148"/>
      <c r="CB7" s="148"/>
      <c r="CC7" s="149"/>
    </row>
    <row r="8" spans="4:81" ht="15" customHeight="1"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X8" s="141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3"/>
      <c r="AR8" s="141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/>
      <c r="BD8" s="142"/>
      <c r="BE8" s="142"/>
      <c r="BF8" s="142"/>
      <c r="BG8" s="142"/>
      <c r="BH8" s="142"/>
      <c r="BI8" s="143"/>
      <c r="BL8" s="150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2"/>
    </row>
    <row r="9" spans="4:81" ht="15" customHeight="1"/>
    <row r="11" spans="4:81" ht="15" customHeight="1">
      <c r="D11" s="108" t="s">
        <v>178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10"/>
    </row>
    <row r="12" spans="4:81" ht="15" customHeight="1">
      <c r="D12" s="111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3"/>
    </row>
    <row r="13" spans="4:81" ht="15" customHeight="1">
      <c r="D13" s="114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6"/>
    </row>
    <row r="14" spans="4:81" ht="15" customHeight="1">
      <c r="D14" s="117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9"/>
    </row>
    <row r="15" spans="4:81" ht="15" customHeight="1">
      <c r="D15" s="117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9"/>
    </row>
    <row r="16" spans="4:81" ht="15" customHeight="1">
      <c r="D16" s="117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9"/>
    </row>
    <row r="17" spans="4:81" ht="15" customHeight="1">
      <c r="D17" s="117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9"/>
    </row>
    <row r="18" spans="4:81" ht="15" customHeight="1">
      <c r="D18" s="117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9"/>
    </row>
    <row r="19" spans="4:81" ht="15" customHeight="1">
      <c r="D19" s="117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9"/>
    </row>
    <row r="20" spans="4:81" ht="15" customHeight="1">
      <c r="D20" s="11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9"/>
    </row>
    <row r="21" spans="4:81" ht="15" customHeight="1">
      <c r="D21" s="117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9"/>
    </row>
    <row r="22" spans="4:81" ht="15" customHeight="1">
      <c r="D22" s="117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9"/>
    </row>
    <row r="23" spans="4:81" ht="15" customHeight="1">
      <c r="D23" s="117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9"/>
    </row>
    <row r="24" spans="4:81" ht="15" customHeight="1">
      <c r="D24" s="120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2"/>
    </row>
    <row r="27" spans="4:81" ht="15" customHeight="1">
      <c r="D27" s="123" t="s">
        <v>179</v>
      </c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5"/>
      <c r="AR27" s="123" t="s">
        <v>180</v>
      </c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5"/>
    </row>
    <row r="28" spans="4:81" ht="15" customHeight="1">
      <c r="D28" s="126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8"/>
      <c r="AR28" s="126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8"/>
    </row>
    <row r="29" spans="4:81" ht="15" customHeight="1">
      <c r="D29" s="114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6"/>
      <c r="AR29" s="114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6"/>
    </row>
    <row r="30" spans="4:81" ht="15" customHeight="1">
      <c r="D30" s="117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9"/>
      <c r="AR30" s="117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9"/>
    </row>
    <row r="31" spans="4:81" ht="15" customHeight="1">
      <c r="D31" s="117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9"/>
      <c r="AR31" s="117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9"/>
    </row>
    <row r="32" spans="4:81" ht="15" customHeight="1"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9"/>
      <c r="AR32" s="117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9"/>
    </row>
    <row r="33" spans="4:81" ht="15" customHeight="1">
      <c r="D33" s="117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9"/>
      <c r="AR33" s="117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9"/>
    </row>
    <row r="34" spans="4:81" ht="15" customHeight="1">
      <c r="D34" s="117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9"/>
      <c r="AR34" s="117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9"/>
    </row>
    <row r="35" spans="4:81" ht="15" customHeight="1">
      <c r="D35" s="117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9"/>
      <c r="AR35" s="117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9"/>
    </row>
    <row r="36" spans="4:81" ht="15" customHeight="1">
      <c r="D36" s="117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9"/>
      <c r="AR36" s="117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8"/>
      <c r="CC36" s="119"/>
    </row>
    <row r="37" spans="4:81" ht="15" customHeight="1">
      <c r="D37" s="117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9"/>
      <c r="AR37" s="117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9"/>
    </row>
    <row r="38" spans="4:81" ht="15" customHeight="1">
      <c r="D38" s="117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9"/>
      <c r="AR38" s="117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9"/>
    </row>
    <row r="39" spans="4:81" ht="15" customHeight="1">
      <c r="D39" s="117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9"/>
      <c r="AR39" s="117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8"/>
      <c r="CC39" s="119"/>
    </row>
    <row r="40" spans="4:81" ht="15" customHeight="1">
      <c r="D40" s="117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9"/>
      <c r="AR40" s="117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8"/>
      <c r="CC40" s="119"/>
    </row>
    <row r="41" spans="4:81" ht="15" customHeight="1">
      <c r="D41" s="117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9"/>
      <c r="AR41" s="117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9"/>
    </row>
    <row r="42" spans="4:81" ht="15" customHeight="1">
      <c r="D42" s="117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9"/>
      <c r="AR42" s="117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9"/>
    </row>
    <row r="43" spans="4:81" ht="15" customHeight="1">
      <c r="D43" s="117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9"/>
      <c r="AR43" s="117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9"/>
    </row>
    <row r="44" spans="4:81" ht="15" customHeight="1">
      <c r="D44" s="120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2"/>
      <c r="AR44" s="120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2"/>
    </row>
  </sheetData>
  <mergeCells count="13">
    <mergeCell ref="D3:U8"/>
    <mergeCell ref="X3:AO4"/>
    <mergeCell ref="AR3:BI4"/>
    <mergeCell ref="BL3:CC4"/>
    <mergeCell ref="X5:AO8"/>
    <mergeCell ref="AR5:BI8"/>
    <mergeCell ref="BL5:CC8"/>
    <mergeCell ref="D11:CC12"/>
    <mergeCell ref="D13:CC24"/>
    <mergeCell ref="D27:AO28"/>
    <mergeCell ref="AR27:CC28"/>
    <mergeCell ref="D29:AO44"/>
    <mergeCell ref="AR29:CC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2025-06-08T20:18:25Z</dcterms:created>
  <dcterms:modified xsi:type="dcterms:W3CDTF">2025-07-02T22:03:30Z</dcterms:modified>
  <cp:category/>
  <cp:contentStatus/>
</cp:coreProperties>
</file>