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ink/ink1.xml" ContentType="application/inkml+xml"/>
  <Override PartName="/xl/featurePropertyBag/featurePropertyBag.xml" ContentType="application/vnd.ms-excel.featurepropertyba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2"/>
  <workbookPr/>
  <xr:revisionPtr revIDLastSave="0" documentId="8_{3C1C0C03-09EB-40FD-8135-C40732512360}" xr6:coauthVersionLast="47" xr6:coauthVersionMax="47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Menu" sheetId="6" r:id="rId1"/>
    <sheet name="TD_Produtos" sheetId="7" r:id="rId2"/>
    <sheet name="Dashboard" sheetId="8" r:id="rId3"/>
    <sheet name="Produtos" sheetId="2" r:id="rId4"/>
    <sheet name="Vendedores" sheetId="3" r:id="rId5"/>
    <sheet name="Vendas" sheetId="4" r:id="rId6"/>
    <sheet name="Consultas" sheetId="5" r:id="rId7"/>
    <sheet name="Cadastros Auxiliares" sheetId="1" r:id="rId8"/>
  </sheets>
  <definedNames>
    <definedName name="Desc_Categorias">'Cadastros Auxiliares'!$B$8:$E$8</definedName>
    <definedName name="Desc_Quantidades">'Cadastros Auxiliares'!$B$8:$B$13</definedName>
    <definedName name="Desc_TabelaToda">'Cadastros Auxiliares'!$B$8:$E$13</definedName>
  </definedNames>
  <calcPr calcId="191028"/>
  <pivotCaches>
    <pivotCache cacheId="959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4" l="1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F5" i="4" a="1"/>
  <c r="F5" i="4"/>
  <c r="H5" i="4" s="1"/>
  <c r="F6" i="4" a="1"/>
  <c r="F6" i="4"/>
  <c r="H6" i="4" s="1"/>
  <c r="F7" i="4" a="1"/>
  <c r="F7" i="4"/>
  <c r="H7" i="4" s="1"/>
  <c r="F8" i="4" a="1"/>
  <c r="F8" i="4"/>
  <c r="H8" i="4" s="1"/>
  <c r="F9" i="4" a="1"/>
  <c r="F9" i="4"/>
  <c r="H9" i="4" s="1"/>
  <c r="F10" i="4" a="1"/>
  <c r="F10" i="4"/>
  <c r="H10" i="4" s="1"/>
  <c r="F11" i="4" a="1"/>
  <c r="F11" i="4"/>
  <c r="H11" i="4" s="1"/>
  <c r="F12" i="4" a="1"/>
  <c r="F12" i="4"/>
  <c r="H12" i="4" s="1"/>
  <c r="F13" i="4" a="1"/>
  <c r="F13" i="4"/>
  <c r="H13" i="4" s="1"/>
  <c r="F14" i="4" a="1"/>
  <c r="F14" i="4"/>
  <c r="H14" i="4" s="1"/>
  <c r="F15" i="4" a="1"/>
  <c r="F15" i="4"/>
  <c r="H15" i="4" s="1"/>
  <c r="F16" i="4" a="1"/>
  <c r="F16" i="4"/>
  <c r="H16" i="4" s="1"/>
  <c r="F17" i="4" a="1"/>
  <c r="F17" i="4"/>
  <c r="H17" i="4" s="1"/>
  <c r="F18" i="4" a="1"/>
  <c r="F18" i="4"/>
  <c r="H18" i="4" s="1"/>
  <c r="F19" i="4" a="1"/>
  <c r="F19" i="4"/>
  <c r="H19" i="4" s="1"/>
  <c r="F20" i="4" a="1"/>
  <c r="F20" i="4"/>
  <c r="H20" i="4" s="1"/>
  <c r="F21" i="4" a="1"/>
  <c r="F21" i="4"/>
  <c r="H21" i="4" s="1"/>
  <c r="F22" i="4" a="1"/>
  <c r="F22" i="4"/>
  <c r="H22" i="4" s="1"/>
  <c r="F23" i="4" a="1"/>
  <c r="F23" i="4"/>
  <c r="H23" i="4" s="1"/>
  <c r="F24" i="4" a="1"/>
  <c r="F24" i="4"/>
  <c r="H24" i="4" s="1"/>
  <c r="F25" i="4" a="1"/>
  <c r="F25" i="4"/>
  <c r="H25" i="4" s="1"/>
  <c r="F26" i="4" a="1"/>
  <c r="F26" i="4"/>
  <c r="H26" i="4" s="1"/>
  <c r="F27" i="4" a="1"/>
  <c r="F27" i="4"/>
  <c r="H27" i="4" s="1"/>
  <c r="F28" i="4" a="1"/>
  <c r="F28" i="4"/>
  <c r="H28" i="4" s="1"/>
  <c r="F29" i="4" a="1"/>
  <c r="F29" i="4"/>
  <c r="H29" i="4" s="1"/>
  <c r="F30" i="4" a="1"/>
  <c r="F30" i="4"/>
  <c r="H30" i="4" s="1"/>
  <c r="F31" i="4" a="1"/>
  <c r="F31" i="4"/>
  <c r="H31" i="4" s="1"/>
  <c r="F32" i="4" a="1"/>
  <c r="F32" i="4"/>
  <c r="H32" i="4" s="1"/>
  <c r="F33" i="4" a="1"/>
  <c r="F33" i="4"/>
  <c r="H33" i="4" s="1"/>
  <c r="F34" i="4" a="1"/>
  <c r="F34" i="4"/>
  <c r="H34" i="4" s="1"/>
  <c r="F35" i="4" a="1"/>
  <c r="F35" i="4"/>
  <c r="H35" i="4" s="1"/>
  <c r="F36" i="4" a="1"/>
  <c r="F36" i="4"/>
  <c r="H36" i="4" s="1"/>
  <c r="F37" i="4" a="1"/>
  <c r="F37" i="4"/>
  <c r="H37" i="4" s="1"/>
  <c r="F38" i="4" a="1"/>
  <c r="F38" i="4"/>
  <c r="H38" i="4" s="1"/>
  <c r="F39" i="4" a="1"/>
  <c r="F39" i="4"/>
  <c r="H39" i="4" s="1"/>
  <c r="F40" i="4" a="1"/>
  <c r="F40" i="4"/>
  <c r="H40" i="4" s="1"/>
  <c r="F41" i="4" a="1"/>
  <c r="F41" i="4"/>
  <c r="H41" i="4" s="1"/>
  <c r="F42" i="4" a="1"/>
  <c r="F42" i="4"/>
  <c r="H42" i="4" s="1"/>
  <c r="F43" i="4" a="1"/>
  <c r="F43" i="4"/>
  <c r="H43" i="4" s="1"/>
  <c r="F44" i="4" a="1"/>
  <c r="F44" i="4"/>
  <c r="H44" i="4" s="1"/>
  <c r="F45" i="4" a="1"/>
  <c r="F45" i="4"/>
  <c r="H45" i="4" s="1"/>
  <c r="F46" i="4" a="1"/>
  <c r="F46" i="4"/>
  <c r="H46" i="4" s="1"/>
  <c r="F47" i="4" a="1"/>
  <c r="F47" i="4"/>
  <c r="H47" i="4" s="1"/>
  <c r="F48" i="4" a="1"/>
  <c r="F48" i="4"/>
  <c r="H48" i="4" s="1"/>
  <c r="F49" i="4" a="1"/>
  <c r="F49" i="4"/>
  <c r="H49" i="4" s="1"/>
  <c r="F50" i="4" a="1"/>
  <c r="F50" i="4"/>
  <c r="H50" i="4" s="1"/>
  <c r="F51" i="4" a="1"/>
  <c r="F51" i="4"/>
  <c r="H51" i="4" s="1"/>
  <c r="F52" i="4" a="1"/>
  <c r="F52" i="4"/>
  <c r="H52" i="4" s="1"/>
  <c r="F53" i="4" a="1"/>
  <c r="F53" i="4"/>
  <c r="H53" i="4" s="1"/>
  <c r="F54" i="4" a="1"/>
  <c r="F54" i="4"/>
  <c r="H54" i="4" s="1"/>
  <c r="F55" i="4" a="1"/>
  <c r="F55" i="4"/>
  <c r="H55" i="4" s="1"/>
  <c r="F56" i="4" a="1"/>
  <c r="F56" i="4"/>
  <c r="H56" i="4" s="1"/>
  <c r="F57" i="4" a="1"/>
  <c r="F57" i="4"/>
  <c r="H57" i="4" s="1"/>
  <c r="F58" i="4" a="1"/>
  <c r="F58" i="4"/>
  <c r="H58" i="4" s="1"/>
  <c r="F59" i="4" a="1"/>
  <c r="F59" i="4"/>
  <c r="H59" i="4" s="1"/>
  <c r="F60" i="4" a="1"/>
  <c r="F60" i="4"/>
  <c r="H60" i="4" s="1"/>
  <c r="F61" i="4" a="1"/>
  <c r="F61" i="4"/>
  <c r="H61" i="4" s="1"/>
  <c r="F62" i="4" a="1"/>
  <c r="F62" i="4"/>
  <c r="H62" i="4" s="1"/>
  <c r="F63" i="4" a="1"/>
  <c r="F63" i="4"/>
  <c r="H63" i="4" s="1"/>
  <c r="F64" i="4" a="1"/>
  <c r="F64" i="4"/>
  <c r="H64" i="4" s="1"/>
  <c r="F65" i="4" a="1"/>
  <c r="F65" i="4"/>
  <c r="H65" i="4" s="1"/>
  <c r="F66" i="4" a="1"/>
  <c r="F66" i="4"/>
  <c r="H66" i="4" s="1"/>
  <c r="F67" i="4" a="1"/>
  <c r="F67" i="4"/>
  <c r="H67" i="4" s="1"/>
  <c r="F68" i="4" a="1"/>
  <c r="F68" i="4"/>
  <c r="H68" i="4" s="1"/>
  <c r="F69" i="4" a="1"/>
  <c r="F69" i="4"/>
  <c r="H69" i="4" s="1"/>
  <c r="F70" i="4" a="1"/>
  <c r="F70" i="4"/>
  <c r="H70" i="4" s="1"/>
  <c r="F71" i="4" a="1"/>
  <c r="F71" i="4"/>
  <c r="H71" i="4" s="1"/>
  <c r="F72" i="4" a="1"/>
  <c r="F72" i="4"/>
  <c r="H72" i="4" s="1"/>
  <c r="F73" i="4" a="1"/>
  <c r="F73" i="4"/>
  <c r="H73" i="4" s="1"/>
  <c r="F74" i="4" a="1"/>
  <c r="F74" i="4"/>
  <c r="H74" i="4" s="1"/>
  <c r="F75" i="4" a="1"/>
  <c r="F75" i="4"/>
  <c r="H75" i="4" s="1"/>
  <c r="F76" i="4" a="1"/>
  <c r="F76" i="4"/>
  <c r="H76" i="4" s="1"/>
  <c r="F77" i="4" a="1"/>
  <c r="F77" i="4"/>
  <c r="H77" i="4" s="1"/>
  <c r="F78" i="4" a="1"/>
  <c r="F78" i="4"/>
  <c r="H78" i="4" s="1"/>
  <c r="F79" i="4" a="1"/>
  <c r="F79" i="4"/>
  <c r="H79" i="4" s="1"/>
  <c r="F80" i="4" a="1"/>
  <c r="F80" i="4"/>
  <c r="H80" i="4" s="1"/>
  <c r="F81" i="4" a="1"/>
  <c r="F81" i="4"/>
  <c r="H81" i="4" s="1"/>
  <c r="F82" i="4" a="1"/>
  <c r="F82" i="4"/>
  <c r="H82" i="4" s="1"/>
  <c r="F83" i="4" a="1"/>
  <c r="F83" i="4"/>
  <c r="H83" i="4" s="1"/>
  <c r="F84" i="4" a="1"/>
  <c r="F84" i="4"/>
  <c r="H84" i="4" s="1"/>
  <c r="F85" i="4" a="1"/>
  <c r="F85" i="4"/>
  <c r="H85" i="4" s="1"/>
  <c r="F86" i="4" a="1"/>
  <c r="F86" i="4"/>
  <c r="H86" i="4" s="1"/>
  <c r="F17" i="1"/>
  <c r="C19" i="1"/>
  <c r="C18" i="1" a="1"/>
  <c r="C18" i="1"/>
  <c r="E7" i="4"/>
  <c r="I7" i="4" s="1"/>
  <c r="E6" i="4"/>
  <c r="I6" i="4" s="1"/>
  <c r="E5" i="4"/>
  <c r="I5" i="4" s="1"/>
  <c r="E8" i="4"/>
  <c r="I8" i="4" s="1"/>
  <c r="E9" i="4"/>
  <c r="I9" i="4" s="1"/>
  <c r="E10" i="4"/>
  <c r="I10" i="4" s="1"/>
  <c r="E11" i="4"/>
  <c r="I11" i="4" s="1"/>
  <c r="E12" i="4"/>
  <c r="I12" i="4" s="1"/>
  <c r="E13" i="4"/>
  <c r="I13" i="4" s="1"/>
  <c r="E14" i="4"/>
  <c r="I14" i="4" s="1"/>
  <c r="E15" i="4"/>
  <c r="I15" i="4" s="1"/>
  <c r="E16" i="4"/>
  <c r="I16" i="4" s="1"/>
  <c r="E17" i="4"/>
  <c r="I17" i="4" s="1"/>
  <c r="E18" i="4"/>
  <c r="I18" i="4" s="1"/>
  <c r="E19" i="4"/>
  <c r="I19" i="4" s="1"/>
  <c r="E20" i="4"/>
  <c r="I20" i="4" s="1"/>
  <c r="E21" i="4"/>
  <c r="I21" i="4" s="1"/>
  <c r="E22" i="4"/>
  <c r="I22" i="4" s="1"/>
  <c r="E23" i="4"/>
  <c r="I23" i="4" s="1"/>
  <c r="E24" i="4"/>
  <c r="I24" i="4" s="1"/>
  <c r="E25" i="4"/>
  <c r="I25" i="4" s="1"/>
  <c r="E26" i="4"/>
  <c r="I26" i="4" s="1"/>
  <c r="E27" i="4"/>
  <c r="I27" i="4" s="1"/>
  <c r="E28" i="4"/>
  <c r="I28" i="4" s="1"/>
  <c r="E29" i="4"/>
  <c r="I29" i="4" s="1"/>
  <c r="E30" i="4"/>
  <c r="I30" i="4" s="1"/>
  <c r="E31" i="4"/>
  <c r="I31" i="4" s="1"/>
  <c r="E32" i="4"/>
  <c r="I32" i="4" s="1"/>
  <c r="E33" i="4"/>
  <c r="I33" i="4" s="1"/>
  <c r="E34" i="4"/>
  <c r="I34" i="4" s="1"/>
  <c r="E35" i="4"/>
  <c r="I35" i="4" s="1"/>
  <c r="E36" i="4"/>
  <c r="I36" i="4" s="1"/>
  <c r="E37" i="4"/>
  <c r="I37" i="4" s="1"/>
  <c r="E38" i="4"/>
  <c r="I38" i="4" s="1"/>
  <c r="E39" i="4"/>
  <c r="I39" i="4" s="1"/>
  <c r="E40" i="4"/>
  <c r="I40" i="4" s="1"/>
  <c r="E41" i="4"/>
  <c r="I41" i="4" s="1"/>
  <c r="E42" i="4"/>
  <c r="I42" i="4" s="1"/>
  <c r="E43" i="4"/>
  <c r="I43" i="4" s="1"/>
  <c r="E44" i="4"/>
  <c r="I44" i="4" s="1"/>
  <c r="E45" i="4"/>
  <c r="I45" i="4" s="1"/>
  <c r="E46" i="4"/>
  <c r="I46" i="4" s="1"/>
  <c r="E47" i="4"/>
  <c r="I47" i="4" s="1"/>
  <c r="E48" i="4"/>
  <c r="I48" i="4" s="1"/>
  <c r="E49" i="4"/>
  <c r="I49" i="4" s="1"/>
  <c r="E50" i="4"/>
  <c r="I50" i="4" s="1"/>
  <c r="E51" i="4"/>
  <c r="I51" i="4" s="1"/>
  <c r="E52" i="4"/>
  <c r="I52" i="4" s="1"/>
  <c r="E53" i="4"/>
  <c r="I53" i="4" s="1"/>
  <c r="E54" i="4"/>
  <c r="I54" i="4" s="1"/>
  <c r="E55" i="4"/>
  <c r="I55" i="4" s="1"/>
  <c r="E56" i="4"/>
  <c r="I56" i="4" s="1"/>
  <c r="E57" i="4"/>
  <c r="I57" i="4" s="1"/>
  <c r="E58" i="4"/>
  <c r="I58" i="4" s="1"/>
  <c r="E59" i="4"/>
  <c r="I59" i="4" s="1"/>
  <c r="E60" i="4"/>
  <c r="I60" i="4" s="1"/>
  <c r="E61" i="4"/>
  <c r="I61" i="4" s="1"/>
  <c r="E62" i="4"/>
  <c r="I62" i="4" s="1"/>
  <c r="E63" i="4"/>
  <c r="I63" i="4" s="1"/>
  <c r="E64" i="4"/>
  <c r="I64" i="4" s="1"/>
  <c r="E65" i="4"/>
  <c r="I65" i="4" s="1"/>
  <c r="E66" i="4"/>
  <c r="I66" i="4" s="1"/>
  <c r="E67" i="4"/>
  <c r="I67" i="4" s="1"/>
  <c r="E68" i="4"/>
  <c r="I68" i="4" s="1"/>
  <c r="E69" i="4"/>
  <c r="I69" i="4" s="1"/>
  <c r="E70" i="4"/>
  <c r="I70" i="4" s="1"/>
  <c r="E71" i="4"/>
  <c r="I71" i="4" s="1"/>
  <c r="E72" i="4"/>
  <c r="I72" i="4" s="1"/>
  <c r="E73" i="4"/>
  <c r="I73" i="4" s="1"/>
  <c r="E74" i="4"/>
  <c r="I74" i="4" s="1"/>
  <c r="E75" i="4"/>
  <c r="I75" i="4" s="1"/>
  <c r="E76" i="4"/>
  <c r="I76" i="4" s="1"/>
  <c r="E77" i="4"/>
  <c r="I77" i="4" s="1"/>
  <c r="E78" i="4"/>
  <c r="I78" i="4" s="1"/>
  <c r="E79" i="4"/>
  <c r="I79" i="4" s="1"/>
  <c r="E80" i="4"/>
  <c r="I80" i="4" s="1"/>
  <c r="E81" i="4"/>
  <c r="I81" i="4" s="1"/>
  <c r="E82" i="4"/>
  <c r="I82" i="4" s="1"/>
  <c r="E83" i="4"/>
  <c r="I83" i="4" s="1"/>
  <c r="E84" i="4"/>
  <c r="I84" i="4" s="1"/>
  <c r="E85" i="4"/>
  <c r="I85" i="4" s="1"/>
  <c r="E86" i="4"/>
  <c r="I86" i="4" s="1"/>
  <c r="C11" i="5" a="1"/>
  <c r="C11" i="5"/>
  <c r="F7" i="5"/>
  <c r="C10" i="5" a="1"/>
  <c r="C10" i="5"/>
  <c r="C9" i="5"/>
  <c r="C13" i="5" s="1"/>
  <c r="C7" i="5"/>
  <c r="C8" i="5" a="1"/>
  <c r="C8" i="5"/>
  <c r="F9" i="5"/>
  <c r="F16" i="1" l="1"/>
  <c r="F18" i="1" s="1" a="1"/>
  <c r="F18" i="1" s="1"/>
  <c r="D16" i="1"/>
  <c r="D17" i="1"/>
  <c r="C12" i="5" a="1"/>
  <c r="C12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<sst xmlns="http://schemas.openxmlformats.org/spreadsheetml/2006/main" count="610" uniqueCount="170">
  <si>
    <t>Produtos</t>
  </si>
  <si>
    <t>Vendedores</t>
  </si>
  <si>
    <t>Vendas</t>
  </si>
  <si>
    <t>Consultas</t>
  </si>
  <si>
    <t>Categoria</t>
  </si>
  <si>
    <t>Soma de Estoque</t>
  </si>
  <si>
    <t>Soma de Preço Unitário</t>
  </si>
  <si>
    <t>Acessórios</t>
  </si>
  <si>
    <t>Bolsa coringa</t>
  </si>
  <si>
    <t>Bolsa de couro</t>
  </si>
  <si>
    <t>Boné</t>
  </si>
  <si>
    <t>Cinto</t>
  </si>
  <si>
    <t>Óculos quadrado</t>
  </si>
  <si>
    <t>Óculos redondo</t>
  </si>
  <si>
    <t>Acessórios Total</t>
  </si>
  <si>
    <t>Calçado</t>
  </si>
  <si>
    <t>Sandália Rasteira</t>
  </si>
  <si>
    <t>Tênis Atitas</t>
  </si>
  <si>
    <t>Tênis Chunky</t>
  </si>
  <si>
    <t>Calçado Total</t>
  </si>
  <si>
    <t>Vestuário</t>
  </si>
  <si>
    <t>Bermuda</t>
  </si>
  <si>
    <t>Calça Alfaiataria</t>
  </si>
  <si>
    <t>Calça jeans</t>
  </si>
  <si>
    <t>Calça legging</t>
  </si>
  <si>
    <t>Camiseta Conforto</t>
  </si>
  <si>
    <t>Camiseta Estampada</t>
  </si>
  <si>
    <t>Camiseta Lisa</t>
  </si>
  <si>
    <t xml:space="preserve">Camiseta Lisa </t>
  </si>
  <si>
    <t>Camiseta Listrada</t>
  </si>
  <si>
    <t>Jaqueta couro</t>
  </si>
  <si>
    <t>Jaqueta de Couro</t>
  </si>
  <si>
    <t>Jaqueta jeans</t>
  </si>
  <si>
    <t>Saia Plissada</t>
  </si>
  <si>
    <t>Vestido curto</t>
  </si>
  <si>
    <t>Vestido Floral</t>
  </si>
  <si>
    <t>Vestido longo</t>
  </si>
  <si>
    <t>Vestuário Total</t>
  </si>
  <si>
    <t>Total Geral</t>
  </si>
  <si>
    <t>Controle de Produtos</t>
  </si>
  <si>
    <t>Voltar</t>
  </si>
  <si>
    <t>Código</t>
  </si>
  <si>
    <t>Tamanho</t>
  </si>
  <si>
    <t>Estoque</t>
  </si>
  <si>
    <t>Preço Unitário</t>
  </si>
  <si>
    <t>PR001</t>
  </si>
  <si>
    <t>P</t>
  </si>
  <si>
    <t>PR002</t>
  </si>
  <si>
    <t>M</t>
  </si>
  <si>
    <t>PR003</t>
  </si>
  <si>
    <t>G</t>
  </si>
  <si>
    <t>PR004</t>
  </si>
  <si>
    <t>Único</t>
  </si>
  <si>
    <t>PR005</t>
  </si>
  <si>
    <t>PR006</t>
  </si>
  <si>
    <t>PR007</t>
  </si>
  <si>
    <t>PR008</t>
  </si>
  <si>
    <t>PR009</t>
  </si>
  <si>
    <t>PR010</t>
  </si>
  <si>
    <t>PR011</t>
  </si>
  <si>
    <t>PR012</t>
  </si>
  <si>
    <t>PR013</t>
  </si>
  <si>
    <t>PR014</t>
  </si>
  <si>
    <t>PR015</t>
  </si>
  <si>
    <t>PR016</t>
  </si>
  <si>
    <t>PR017</t>
  </si>
  <si>
    <t>PR018</t>
  </si>
  <si>
    <t>PR019</t>
  </si>
  <si>
    <t>PR020</t>
  </si>
  <si>
    <t>PR021</t>
  </si>
  <si>
    <t>PR022</t>
  </si>
  <si>
    <t>PR023</t>
  </si>
  <si>
    <t>PR024</t>
  </si>
  <si>
    <t>PR025</t>
  </si>
  <si>
    <t>PR026</t>
  </si>
  <si>
    <t>PR027</t>
  </si>
  <si>
    <t>PR028</t>
  </si>
  <si>
    <t>PR029</t>
  </si>
  <si>
    <t>PR030</t>
  </si>
  <si>
    <t>PR031</t>
  </si>
  <si>
    <t>PR032</t>
  </si>
  <si>
    <t>PR033</t>
  </si>
  <si>
    <t>PR034</t>
  </si>
  <si>
    <t>PR035</t>
  </si>
  <si>
    <t>PR036</t>
  </si>
  <si>
    <t>PR037</t>
  </si>
  <si>
    <t>PR038</t>
  </si>
  <si>
    <t>PR039</t>
  </si>
  <si>
    <t>PR040</t>
  </si>
  <si>
    <t>PR041</t>
  </si>
  <si>
    <t>PR042</t>
  </si>
  <si>
    <t>PR043</t>
  </si>
  <si>
    <t>PR044</t>
  </si>
  <si>
    <t>PR045</t>
  </si>
  <si>
    <t>PR046</t>
  </si>
  <si>
    <t>PR047</t>
  </si>
  <si>
    <t>PR048</t>
  </si>
  <si>
    <t>PR049</t>
  </si>
  <si>
    <t>PR050</t>
  </si>
  <si>
    <t>PR051</t>
  </si>
  <si>
    <t>PR052</t>
  </si>
  <si>
    <t>PR053</t>
  </si>
  <si>
    <t>PR054</t>
  </si>
  <si>
    <t>PR055</t>
  </si>
  <si>
    <t>PR056</t>
  </si>
  <si>
    <t>PR057</t>
  </si>
  <si>
    <t>PR058</t>
  </si>
  <si>
    <t>PR059</t>
  </si>
  <si>
    <t>PR060</t>
  </si>
  <si>
    <t>Vendedor</t>
  </si>
  <si>
    <t>Cidade</t>
  </si>
  <si>
    <t>Desc. Máximo</t>
  </si>
  <si>
    <t>VD001</t>
  </si>
  <si>
    <t>João</t>
  </si>
  <si>
    <t>São Paulo</t>
  </si>
  <si>
    <t>VD002</t>
  </si>
  <si>
    <t>Sarah</t>
  </si>
  <si>
    <t>Rio de Janeiro</t>
  </si>
  <si>
    <t>VD003</t>
  </si>
  <si>
    <t>Clara</t>
  </si>
  <si>
    <t>Natal</t>
  </si>
  <si>
    <t>VD004</t>
  </si>
  <si>
    <t>Amanda</t>
  </si>
  <si>
    <t>Manaus</t>
  </si>
  <si>
    <t>VD005</t>
  </si>
  <si>
    <t>Bruno</t>
  </si>
  <si>
    <t>Belo Horizonte</t>
  </si>
  <si>
    <t>Mês</t>
  </si>
  <si>
    <t>Data</t>
  </si>
  <si>
    <t>Qtd</t>
  </si>
  <si>
    <t>Desc.</t>
  </si>
  <si>
    <t>Desc. Vendedor</t>
  </si>
  <si>
    <t>Desconto</t>
  </si>
  <si>
    <t>Total</t>
  </si>
  <si>
    <t>Jan</t>
  </si>
  <si>
    <t>Fev</t>
  </si>
  <si>
    <t>Mar</t>
  </si>
  <si>
    <t>Abr</t>
  </si>
  <si>
    <t>Mai</t>
  </si>
  <si>
    <t>Jun</t>
  </si>
  <si>
    <t>Jul</t>
  </si>
  <si>
    <t>Ago</t>
  </si>
  <si>
    <t>Consulta Produto</t>
  </si>
  <si>
    <t>Vendas do dia</t>
  </si>
  <si>
    <t xml:space="preserve">Código: </t>
  </si>
  <si>
    <t xml:space="preserve">Data: </t>
  </si>
  <si>
    <t xml:space="preserve">Descrição: </t>
  </si>
  <si>
    <t xml:space="preserve">Dia da Semana: </t>
  </si>
  <si>
    <t xml:space="preserve">Tamanho: </t>
  </si>
  <si>
    <t xml:space="preserve">Total Valor: </t>
  </si>
  <si>
    <t> </t>
  </si>
  <si>
    <t xml:space="preserve">Categoria: </t>
  </si>
  <si>
    <t xml:space="preserve">Total Qtd: </t>
  </si>
  <si>
    <t xml:space="preserve">Preço Unitário: </t>
  </si>
  <si>
    <t xml:space="preserve">Estoque: </t>
  </si>
  <si>
    <t xml:space="preserve">Situação: </t>
  </si>
  <si>
    <t>Estoque mínimo:</t>
  </si>
  <si>
    <t xml:space="preserve">                            Cadastros Gerais</t>
  </si>
  <si>
    <t>Dia da semana</t>
  </si>
  <si>
    <t>Domingo</t>
  </si>
  <si>
    <t>Segunda-feira</t>
  </si>
  <si>
    <t>Terça-feira</t>
  </si>
  <si>
    <t>Quarta-feira</t>
  </si>
  <si>
    <t>Quinta-feira</t>
  </si>
  <si>
    <t>Sexta-feira</t>
  </si>
  <si>
    <t>Sábado</t>
  </si>
  <si>
    <t>Desconto por Categoria e Qtd</t>
  </si>
  <si>
    <t>Estoque Mínimo</t>
  </si>
  <si>
    <t>coluna</t>
  </si>
  <si>
    <t>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</si>
</sst>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&quot;R$&quot;\ #,##0.00"/>
  </numFmts>
  <fonts count="25">
    <font>
      <sz val="11"/>
      <color theme="1"/>
      <name val="Aptos Narrow"/>
      <family val="2"/>
      <scheme val="minor"/>
    </font>
    <font>
      <sz val="11"/>
      <color theme="1"/>
      <name val="Verdana"/>
    </font>
    <font>
      <sz val="18"/>
      <color theme="1"/>
      <name val="Verdana"/>
    </font>
    <font>
      <sz val="18"/>
      <color theme="0"/>
      <name val="Verdana"/>
    </font>
    <font>
      <b/>
      <sz val="14"/>
      <color rgb="FFF2F2F2"/>
      <name val="Montserrat"/>
    </font>
    <font>
      <b/>
      <sz val="11"/>
      <color rgb="FF000000"/>
      <name val="Montserrat"/>
    </font>
    <font>
      <b/>
      <sz val="12"/>
      <color rgb="FFFFFFFF"/>
      <name val="Montserrat"/>
    </font>
    <font>
      <sz val="11"/>
      <color rgb="FF000000"/>
      <name val="Calibri"/>
      <family val="2"/>
    </font>
    <font>
      <b/>
      <sz val="12"/>
      <color rgb="FF000000"/>
      <name val="Montserrat"/>
    </font>
    <font>
      <b/>
      <sz val="12"/>
      <color rgb="FFF2F2F2"/>
      <name val="Montserrat"/>
    </font>
    <font>
      <b/>
      <sz val="14"/>
      <color rgb="FF000000"/>
      <name val="Montserrat"/>
    </font>
    <font>
      <b/>
      <sz val="18"/>
      <color rgb="FFFFFFFF"/>
      <name val="Verdana"/>
    </font>
    <font>
      <u/>
      <sz val="11"/>
      <color theme="10"/>
      <name val="Aptos Narrow"/>
      <family val="2"/>
      <scheme val="minor"/>
    </font>
    <font>
      <sz val="20"/>
      <color theme="0"/>
      <name val="Verdana"/>
    </font>
    <font>
      <sz val="12"/>
      <color theme="0"/>
      <name val="Verdana"/>
    </font>
    <font>
      <sz val="12"/>
      <color rgb="FF000000"/>
      <name val="Verdana"/>
    </font>
    <font>
      <sz val="12"/>
      <color theme="1"/>
      <name val="Verdana"/>
    </font>
    <font>
      <sz val="11"/>
      <color theme="0"/>
      <name val="Verdana"/>
    </font>
    <font>
      <sz val="16"/>
      <color theme="1"/>
      <name val="Verdana"/>
    </font>
    <font>
      <sz val="16"/>
      <color theme="0"/>
      <name val="Verdana"/>
    </font>
    <font>
      <b/>
      <sz val="11"/>
      <color rgb="FFF2F2F2"/>
      <name val="Montserrat"/>
    </font>
    <font>
      <sz val="20"/>
      <color theme="1"/>
      <name val="Aptos Narrow"/>
      <family val="2"/>
      <scheme val="minor"/>
    </font>
    <font>
      <b/>
      <sz val="18"/>
      <color rgb="FFF2F2F2"/>
      <name val="Montserrat"/>
    </font>
    <font>
      <b/>
      <sz val="18"/>
      <color rgb="FFFFFFFF"/>
      <name val="Montserrat"/>
    </font>
    <font>
      <sz val="18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CCCCC"/>
        <bgColor rgb="FF000000"/>
      </patternFill>
    </fill>
  </fills>
  <borders count="29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rgb="FFFFFFFF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rgb="FFFFFFFF"/>
      </top>
      <bottom style="thick">
        <color rgb="FFFFFFFF"/>
      </bottom>
      <diagonal/>
    </border>
    <border>
      <left style="medium">
        <color indexed="64"/>
      </left>
      <right style="medium">
        <color indexed="64"/>
      </right>
      <top/>
      <bottom style="thick">
        <color rgb="FFFFFFFF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rgb="FFFFFFFF"/>
      </bottom>
      <diagonal/>
    </border>
    <border>
      <left/>
      <right style="medium">
        <color indexed="64"/>
      </right>
      <top style="medium">
        <color indexed="64"/>
      </top>
      <bottom style="thick">
        <color rgb="FFFFFFFF"/>
      </bottom>
      <diagonal/>
    </border>
    <border>
      <left style="medium">
        <color indexed="64"/>
      </left>
      <right style="medium">
        <color indexed="64"/>
      </right>
      <top style="thick">
        <color rgb="FFFFFFFF"/>
      </top>
      <bottom style="medium">
        <color indexed="64"/>
      </bottom>
      <diagonal/>
    </border>
    <border>
      <left/>
      <right style="thin">
        <color theme="0"/>
      </right>
      <top style="thin">
        <color theme="0"/>
      </top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83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0" borderId="0" xfId="0" applyFont="1"/>
    <xf numFmtId="0" fontId="2" fillId="2" borderId="0" xfId="0" applyFont="1" applyFill="1"/>
    <xf numFmtId="0" fontId="4" fillId="2" borderId="3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0" fillId="7" borderId="0" xfId="0" applyFill="1"/>
    <xf numFmtId="0" fontId="0" fillId="6" borderId="0" xfId="0" applyFill="1"/>
    <xf numFmtId="0" fontId="6" fillId="3" borderId="0" xfId="0" applyFont="1" applyFill="1" applyBorder="1" applyAlignment="1">
      <alignment horizontal="center"/>
    </xf>
    <xf numFmtId="0" fontId="4" fillId="5" borderId="8" xfId="0" applyFont="1" applyFill="1" applyBorder="1" applyAlignment="1"/>
    <xf numFmtId="0" fontId="4" fillId="5" borderId="9" xfId="0" applyFont="1" applyFill="1" applyBorder="1" applyAlignment="1"/>
    <xf numFmtId="0" fontId="8" fillId="8" borderId="10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5" fillId="0" borderId="11" xfId="0" applyFont="1" applyFill="1" applyBorder="1" applyAlignment="1">
      <alignment horizontal="center"/>
    </xf>
    <xf numFmtId="9" fontId="5" fillId="0" borderId="12" xfId="0" applyNumberFormat="1" applyFont="1" applyFill="1" applyBorder="1" applyAlignment="1">
      <alignment horizontal="center"/>
    </xf>
    <xf numFmtId="0" fontId="5" fillId="0" borderId="13" xfId="0" applyFont="1" applyFill="1" applyBorder="1" applyAlignment="1">
      <alignment horizontal="center"/>
    </xf>
    <xf numFmtId="9" fontId="5" fillId="0" borderId="14" xfId="0" applyNumberFormat="1" applyFont="1" applyFill="1" applyBorder="1" applyAlignment="1">
      <alignment horizontal="center"/>
    </xf>
    <xf numFmtId="0" fontId="7" fillId="0" borderId="6" xfId="0" applyFont="1" applyFill="1" applyBorder="1" applyAlignment="1"/>
    <xf numFmtId="0" fontId="7" fillId="0" borderId="6" xfId="0" applyFont="1" applyFill="1" applyBorder="1" applyAlignment="1">
      <alignment horizontal="center"/>
    </xf>
    <xf numFmtId="0" fontId="9" fillId="3" borderId="17" xfId="0" applyFont="1" applyFill="1" applyBorder="1" applyAlignment="1"/>
    <xf numFmtId="0" fontId="9" fillId="3" borderId="20" xfId="0" applyFont="1" applyFill="1" applyBorder="1" applyAlignment="1"/>
    <xf numFmtId="0" fontId="9" fillId="3" borderId="22" xfId="0" applyFont="1" applyFill="1" applyBorder="1" applyAlignment="1"/>
    <xf numFmtId="0" fontId="9" fillId="3" borderId="23" xfId="0" applyFont="1" applyFill="1" applyBorder="1" applyAlignment="1"/>
    <xf numFmtId="0" fontId="9" fillId="3" borderId="24" xfId="0" applyFont="1" applyFill="1" applyBorder="1" applyAlignment="1"/>
    <xf numFmtId="0" fontId="9" fillId="3" borderId="27" xfId="0" applyFont="1" applyFill="1" applyBorder="1" applyAlignment="1"/>
    <xf numFmtId="0" fontId="10" fillId="7" borderId="19" xfId="0" applyFont="1" applyFill="1" applyBorder="1" applyAlignment="1">
      <alignment horizontal="center"/>
    </xf>
    <xf numFmtId="0" fontId="10" fillId="7" borderId="21" xfId="0" applyFont="1" applyFill="1" applyBorder="1" applyAlignment="1">
      <alignment horizontal="center"/>
    </xf>
    <xf numFmtId="0" fontId="10" fillId="7" borderId="2" xfId="0" applyFont="1" applyFill="1" applyBorder="1" applyAlignment="1">
      <alignment horizontal="center"/>
    </xf>
    <xf numFmtId="0" fontId="11" fillId="2" borderId="0" xfId="0" applyFont="1" applyFill="1" applyAlignment="1">
      <alignment horizontal="left" vertical="center"/>
    </xf>
    <xf numFmtId="0" fontId="10" fillId="7" borderId="18" xfId="0" applyFont="1" applyFill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14" fontId="10" fillId="7" borderId="18" xfId="0" applyNumberFormat="1" applyFont="1" applyFill="1" applyBorder="1" applyAlignment="1">
      <alignment horizontal="center"/>
    </xf>
    <xf numFmtId="0" fontId="10" fillId="7" borderId="14" xfId="0" applyFont="1" applyFill="1" applyBorder="1" applyAlignment="1">
      <alignment horizontal="center"/>
    </xf>
    <xf numFmtId="44" fontId="7" fillId="0" borderId="6" xfId="0" applyNumberFormat="1" applyFont="1" applyFill="1" applyBorder="1" applyAlignment="1"/>
    <xf numFmtId="0" fontId="12" fillId="2" borderId="0" xfId="1" applyFill="1"/>
    <xf numFmtId="0" fontId="14" fillId="2" borderId="0" xfId="0" applyFont="1" applyFill="1" applyAlignment="1">
      <alignment horizontal="center" vertical="center"/>
    </xf>
    <xf numFmtId="0" fontId="0" fillId="6" borderId="0" xfId="0" applyFill="1" applyBorder="1"/>
    <xf numFmtId="0" fontId="13" fillId="2" borderId="0" xfId="1" applyFont="1" applyFill="1" applyAlignment="1">
      <alignment vertical="center"/>
    </xf>
    <xf numFmtId="0" fontId="15" fillId="7" borderId="0" xfId="1" applyFont="1" applyFill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0" fontId="0" fillId="6" borderId="0" xfId="0" applyFill="1" applyAlignment="1">
      <alignment horizontal="right"/>
    </xf>
    <xf numFmtId="0" fontId="14" fillId="2" borderId="0" xfId="1" applyFont="1" applyFill="1" applyAlignment="1">
      <alignment horizontal="center" vertical="center"/>
    </xf>
    <xf numFmtId="0" fontId="17" fillId="2" borderId="0" xfId="1" applyFont="1" applyFill="1" applyAlignment="1">
      <alignment horizontal="center" vertical="center"/>
    </xf>
    <xf numFmtId="0" fontId="15" fillId="7" borderId="0" xfId="0" applyFont="1" applyFill="1" applyAlignment="1">
      <alignment horizontal="center" vertical="center"/>
    </xf>
    <xf numFmtId="0" fontId="16" fillId="7" borderId="0" xfId="0" applyFont="1" applyFill="1" applyAlignment="1">
      <alignment horizontal="center" vertical="center"/>
    </xf>
    <xf numFmtId="164" fontId="10" fillId="7" borderId="19" xfId="0" applyNumberFormat="1" applyFont="1" applyFill="1" applyBorder="1" applyAlignment="1">
      <alignment horizontal="center"/>
    </xf>
    <xf numFmtId="0" fontId="18" fillId="0" borderId="0" xfId="0" applyFont="1"/>
    <xf numFmtId="0" fontId="19" fillId="0" borderId="0" xfId="0" applyFont="1"/>
    <xf numFmtId="9" fontId="14" fillId="2" borderId="0" xfId="0" applyNumberFormat="1" applyFont="1" applyFill="1" applyAlignment="1">
      <alignment horizontal="center" vertical="center"/>
    </xf>
    <xf numFmtId="9" fontId="0" fillId="7" borderId="0" xfId="0" applyNumberFormat="1" applyFill="1"/>
    <xf numFmtId="9" fontId="0" fillId="0" borderId="0" xfId="0" applyNumberFormat="1"/>
    <xf numFmtId="0" fontId="20" fillId="5" borderId="3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1" fillId="0" borderId="5" xfId="0" applyFont="1" applyBorder="1"/>
    <xf numFmtId="0" fontId="20" fillId="5" borderId="4" xfId="0" applyFont="1" applyFill="1" applyBorder="1" applyAlignment="1">
      <alignment horizontal="center" vertical="center" wrapText="1"/>
    </xf>
    <xf numFmtId="0" fontId="20" fillId="5" borderId="28" xfId="0" applyFont="1" applyFill="1" applyBorder="1" applyAlignment="1">
      <alignment horizontal="center" vertical="center"/>
    </xf>
    <xf numFmtId="0" fontId="20" fillId="5" borderId="28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/>
    </xf>
    <xf numFmtId="9" fontId="5" fillId="4" borderId="1" xfId="0" applyNumberFormat="1" applyFont="1" applyFill="1" applyBorder="1" applyAlignment="1">
      <alignment horizontal="center"/>
    </xf>
    <xf numFmtId="9" fontId="5" fillId="4" borderId="24" xfId="0" applyNumberFormat="1" applyFont="1" applyFill="1" applyBorder="1" applyAlignment="1">
      <alignment horizontal="center"/>
    </xf>
    <xf numFmtId="0" fontId="5" fillId="4" borderId="1" xfId="0" applyNumberFormat="1" applyFont="1" applyFill="1" applyBorder="1" applyAlignment="1">
      <alignment horizontal="center"/>
    </xf>
    <xf numFmtId="9" fontId="5" fillId="4" borderId="2" xfId="0" applyNumberFormat="1" applyFont="1" applyFill="1" applyBorder="1" applyAlignment="1">
      <alignment horizontal="center"/>
    </xf>
    <xf numFmtId="9" fontId="1" fillId="0" borderId="0" xfId="0" applyNumberFormat="1" applyFont="1"/>
    <xf numFmtId="0" fontId="21" fillId="0" borderId="0" xfId="0" applyFont="1"/>
    <xf numFmtId="0" fontId="22" fillId="5" borderId="16" xfId="0" applyFont="1" applyFill="1" applyBorder="1" applyAlignment="1">
      <alignment horizontal="center"/>
    </xf>
    <xf numFmtId="0" fontId="22" fillId="5" borderId="0" xfId="0" applyFont="1" applyFill="1" applyBorder="1" applyAlignment="1">
      <alignment horizontal="center"/>
    </xf>
    <xf numFmtId="9" fontId="22" fillId="5" borderId="0" xfId="0" applyNumberFormat="1" applyFont="1" applyFill="1" applyBorder="1" applyAlignment="1">
      <alignment horizontal="center"/>
    </xf>
    <xf numFmtId="0" fontId="23" fillId="5" borderId="0" xfId="0" applyFont="1" applyFill="1" applyBorder="1" applyAlignment="1">
      <alignment horizontal="center"/>
    </xf>
    <xf numFmtId="0" fontId="24" fillId="0" borderId="15" xfId="0" applyFont="1" applyFill="1" applyBorder="1" applyAlignment="1">
      <alignment horizontal="center"/>
    </xf>
    <xf numFmtId="0" fontId="24" fillId="0" borderId="6" xfId="0" applyFont="1" applyFill="1" applyBorder="1" applyAlignment="1">
      <alignment horizontal="center"/>
    </xf>
    <xf numFmtId="14" fontId="24" fillId="0" borderId="6" xfId="0" applyNumberFormat="1" applyFont="1" applyFill="1" applyBorder="1" applyAlignment="1"/>
    <xf numFmtId="9" fontId="24" fillId="0" borderId="6" xfId="0" applyNumberFormat="1" applyFont="1" applyFill="1" applyBorder="1" applyAlignment="1"/>
    <xf numFmtId="164" fontId="24" fillId="0" borderId="6" xfId="0" applyNumberFormat="1" applyFont="1" applyFill="1" applyBorder="1" applyAlignment="1"/>
    <xf numFmtId="164" fontId="0" fillId="0" borderId="0" xfId="0" applyNumberFormat="1"/>
    <xf numFmtId="0" fontId="0" fillId="0" borderId="0" xfId="0" pivotButton="1"/>
    <xf numFmtId="0" fontId="0" fillId="0" borderId="0" xfId="0" applyNumberFormat="1"/>
    <xf numFmtId="44" fontId="0" fillId="0" borderId="0" xfId="0" applyNumberFormat="1"/>
    <xf numFmtId="0" fontId="3" fillId="3" borderId="0" xfId="1" applyFont="1" applyFill="1" applyAlignment="1">
      <alignment horizontal="center" vertical="center"/>
    </xf>
    <xf numFmtId="0" fontId="13" fillId="3" borderId="0" xfId="1" applyFont="1" applyFill="1" applyAlignment="1">
      <alignment horizontal="center" vertical="center"/>
    </xf>
    <xf numFmtId="0" fontId="4" fillId="3" borderId="25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</cellXfs>
  <cellStyles count="2">
    <cellStyle name="Hyperlink" xfId="1" xr:uid="{00000000-000B-0000-0000-000008000000}"/>
    <cellStyle name="Normal" xfId="0" builtinId="0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Calibri"/>
        <family val="2"/>
        <scheme val="none"/>
      </font>
      <numFmt numFmtId="164" formatCode="&quot;R$&quot;\ #,##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Calibri"/>
        <family val="2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Calibri"/>
        <family val="2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Calibri"/>
        <family val="2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Calibri"/>
        <family val="2"/>
        <scheme val="none"/>
      </font>
      <numFmt numFmtId="164" formatCode="&quot;R$&quot;\ #,##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Calibri"/>
        <family val="2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rgb="FF000000"/>
        </top>
        <bottom/>
        <vertical/>
        <horizontal/>
      </border>
    </dxf>
    <dxf>
      <border outline="0"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F2F2F2"/>
        <name val="Montserrat"/>
        <scheme val="none"/>
      </font>
      <fill>
        <patternFill patternType="solid">
          <fgColor rgb="FF000000"/>
          <bgColor rgb="FF00000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4" formatCode="_-&quot;R$&quot;\ * #,##0.00_-;\-&quot;R$&quot;\ * #,##0.00_-;_-&quot;R$&quot;\ * &quot;-&quot;??_-;_-@_-"/>
      <fill>
        <patternFill patternType="none">
          <fgColor indexed="64"/>
          <bgColor theme="2" tint="-9.9978637043366805E-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theme="2" tint="-9.9978637043366805E-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theme="2" tint="-9.9978637043366805E-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theme="2" tint="-9.9978637043366805E-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theme="2" tint="-9.9978637043366805E-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theme="2" tint="-9.9978637043366805E-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rgb="FF000000"/>
        </top>
        <bottom/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theme="2" tint="-9.9978637043366805E-2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Montserrat"/>
        <scheme val="none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microsoft.com/office/2022/11/relationships/FeaturePropertyBag" Target="featurePropertyBag/featurePropertyBag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200025</xdr:colOff>
      <xdr:row>9</xdr:row>
      <xdr:rowOff>180975</xdr:rowOff>
    </xdr:from>
    <xdr:to>
      <xdr:col>19</xdr:col>
      <xdr:colOff>19050</xdr:colOff>
      <xdr:row>13</xdr:row>
      <xdr:rowOff>38100</xdr:rowOff>
    </xdr:to>
    <xdr:sp macro="" textlink="">
      <xdr:nvSpPr>
        <xdr:cNvPr id="7" name="Retângulo Arredondado 6">
          <a:extLst>
            <a:ext uri="{FF2B5EF4-FFF2-40B4-BE49-F238E27FC236}">
              <a16:creationId xmlns:a16="http://schemas.microsoft.com/office/drawing/2014/main" id="{89C3072A-BC04-4F27-85A3-6072DD4135CC}"/>
            </a:ext>
            <a:ext uri="{147F2762-F138-4A5C-976F-8EAC2B608ADB}">
              <a16:predDERef xmlns:a16="http://schemas.microsoft.com/office/drawing/2014/main" pred="{26692806-B8C8-F3A7-7361-3A5CDE20CC7F}"/>
            </a:ext>
          </a:extLst>
        </xdr:cNvPr>
        <xdr:cNvSpPr/>
      </xdr:nvSpPr>
      <xdr:spPr>
        <a:xfrm>
          <a:off x="3057525" y="1895475"/>
          <a:ext cx="1485900" cy="619125"/>
        </a:xfrm>
        <a:prstGeom prst="roundRect">
          <a:avLst/>
        </a:prstGeom>
        <a:noFill/>
        <a:ln w="76200">
          <a:solidFill>
            <a:schemeClr val="tx1"/>
          </a:solidFill>
          <a:prstDash val="solid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20</xdr:col>
      <xdr:colOff>190500</xdr:colOff>
      <xdr:row>9</xdr:row>
      <xdr:rowOff>161925</xdr:rowOff>
    </xdr:from>
    <xdr:to>
      <xdr:col>27</xdr:col>
      <xdr:colOff>9525</xdr:colOff>
      <xdr:row>13</xdr:row>
      <xdr:rowOff>19050</xdr:rowOff>
    </xdr:to>
    <xdr:sp macro="" textlink="">
      <xdr:nvSpPr>
        <xdr:cNvPr id="8" name="Retângulo Arredondado 7">
          <a:extLst>
            <a:ext uri="{FF2B5EF4-FFF2-40B4-BE49-F238E27FC236}">
              <a16:creationId xmlns:a16="http://schemas.microsoft.com/office/drawing/2014/main" id="{44784819-A3E9-476C-B9BA-05DAB932D6E6}"/>
            </a:ext>
            <a:ext uri="{147F2762-F138-4A5C-976F-8EAC2B608ADB}">
              <a16:predDERef xmlns:a16="http://schemas.microsoft.com/office/drawing/2014/main" pred="{89C3072A-BC04-4F27-85A3-6072DD4135CC}"/>
            </a:ext>
          </a:extLst>
        </xdr:cNvPr>
        <xdr:cNvSpPr/>
      </xdr:nvSpPr>
      <xdr:spPr>
        <a:xfrm>
          <a:off x="4953000" y="1876425"/>
          <a:ext cx="1485900" cy="619125"/>
        </a:xfrm>
        <a:prstGeom prst="roundRect">
          <a:avLst/>
        </a:prstGeom>
        <a:noFill/>
        <a:ln w="76200">
          <a:solidFill>
            <a:schemeClr val="tx1"/>
          </a:solidFill>
          <a:prstDash val="solid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28</xdr:col>
      <xdr:colOff>200025</xdr:colOff>
      <xdr:row>9</xdr:row>
      <xdr:rowOff>161925</xdr:rowOff>
    </xdr:from>
    <xdr:to>
      <xdr:col>35</xdr:col>
      <xdr:colOff>19050</xdr:colOff>
      <xdr:row>13</xdr:row>
      <xdr:rowOff>19050</xdr:rowOff>
    </xdr:to>
    <xdr:sp macro="" textlink="">
      <xdr:nvSpPr>
        <xdr:cNvPr id="9" name="Retângulo Arredondado 8">
          <a:extLst>
            <a:ext uri="{FF2B5EF4-FFF2-40B4-BE49-F238E27FC236}">
              <a16:creationId xmlns:a16="http://schemas.microsoft.com/office/drawing/2014/main" id="{1F6A6853-30C4-41F6-AEBD-34271E1A2FDB}"/>
            </a:ext>
            <a:ext uri="{147F2762-F138-4A5C-976F-8EAC2B608ADB}">
              <a16:predDERef xmlns:a16="http://schemas.microsoft.com/office/drawing/2014/main" pred="{44784819-A3E9-476C-B9BA-05DAB932D6E6}"/>
            </a:ext>
          </a:extLst>
        </xdr:cNvPr>
        <xdr:cNvSpPr/>
      </xdr:nvSpPr>
      <xdr:spPr>
        <a:xfrm>
          <a:off x="6867525" y="1876425"/>
          <a:ext cx="1485900" cy="619125"/>
        </a:xfrm>
        <a:prstGeom prst="roundRect">
          <a:avLst/>
        </a:prstGeom>
        <a:noFill/>
        <a:ln w="76200">
          <a:solidFill>
            <a:schemeClr val="tx1"/>
          </a:solidFill>
          <a:prstDash val="solid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4</xdr:col>
      <xdr:colOff>200025</xdr:colOff>
      <xdr:row>9</xdr:row>
      <xdr:rowOff>161925</xdr:rowOff>
    </xdr:from>
    <xdr:to>
      <xdr:col>11</xdr:col>
      <xdr:colOff>19050</xdr:colOff>
      <xdr:row>13</xdr:row>
      <xdr:rowOff>19050</xdr:rowOff>
    </xdr:to>
    <xdr:sp macro="" textlink="">
      <xdr:nvSpPr>
        <xdr:cNvPr id="10" name="Retângulo Arredondado 9">
          <a:extLst>
            <a:ext uri="{FF2B5EF4-FFF2-40B4-BE49-F238E27FC236}">
              <a16:creationId xmlns:a16="http://schemas.microsoft.com/office/drawing/2014/main" id="{F23D70D1-F8FF-49FF-A432-B4B5E9A9F3DD}"/>
            </a:ext>
            <a:ext uri="{147F2762-F138-4A5C-976F-8EAC2B608ADB}">
              <a16:predDERef xmlns:a16="http://schemas.microsoft.com/office/drawing/2014/main" pred="{1F6A6853-30C4-41F6-AEBD-34271E1A2FDB}"/>
            </a:ext>
          </a:extLst>
        </xdr:cNvPr>
        <xdr:cNvSpPr/>
      </xdr:nvSpPr>
      <xdr:spPr>
        <a:xfrm>
          <a:off x="1152525" y="1876425"/>
          <a:ext cx="1485900" cy="619125"/>
        </a:xfrm>
        <a:prstGeom prst="roundRect">
          <a:avLst/>
        </a:prstGeom>
        <a:noFill/>
        <a:ln w="76200">
          <a:solidFill>
            <a:schemeClr val="tx1"/>
          </a:solidFill>
          <a:prstDash val="solid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 editAs="oneCell">
    <xdr:from>
      <xdr:col>10</xdr:col>
      <xdr:colOff>123825</xdr:colOff>
      <xdr:row>2</xdr:row>
      <xdr:rowOff>104775</xdr:rowOff>
    </xdr:from>
    <xdr:to>
      <xdr:col>30</xdr:col>
      <xdr:colOff>200025</xdr:colOff>
      <xdr:row>9</xdr:row>
      <xdr:rowOff>66675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D9BE276B-53EB-4F0C-DD33-B59887D78046}"/>
            </a:ext>
            <a:ext uri="{147F2762-F138-4A5C-976F-8EAC2B608ADB}">
              <a16:predDERef xmlns:a16="http://schemas.microsoft.com/office/drawing/2014/main" pred="{F23D70D1-F8FF-49FF-A432-B4B5E9A9F3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 t="26642" b="23723"/>
        <a:stretch>
          <a:fillRect/>
        </a:stretch>
      </xdr:blipFill>
      <xdr:spPr>
        <a:xfrm>
          <a:off x="2505075" y="485775"/>
          <a:ext cx="4838700" cy="1295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</xdr:colOff>
      <xdr:row>0</xdr:row>
      <xdr:rowOff>19050</xdr:rowOff>
    </xdr:from>
    <xdr:to>
      <xdr:col>4</xdr:col>
      <xdr:colOff>1085850</xdr:colOff>
      <xdr:row>0</xdr:row>
      <xdr:rowOff>523875</xdr:rowOff>
    </xdr:to>
    <xdr:sp macro="" textlink="">
      <xdr:nvSpPr>
        <xdr:cNvPr id="2" name="Retângulo Arredondado 1">
          <a:extLst>
            <a:ext uri="{FF2B5EF4-FFF2-40B4-BE49-F238E27FC236}">
              <a16:creationId xmlns:a16="http://schemas.microsoft.com/office/drawing/2014/main" id="{35AC7E77-E0D8-54D0-8A21-24366939634E}"/>
            </a:ext>
          </a:extLst>
        </xdr:cNvPr>
        <xdr:cNvSpPr/>
      </xdr:nvSpPr>
      <xdr:spPr>
        <a:xfrm>
          <a:off x="5324475" y="19050"/>
          <a:ext cx="1019175" cy="504825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5</xdr:col>
      <xdr:colOff>0</xdr:colOff>
      <xdr:row>0</xdr:row>
      <xdr:rowOff>19050</xdr:rowOff>
    </xdr:from>
    <xdr:to>
      <xdr:col>6</xdr:col>
      <xdr:colOff>0</xdr:colOff>
      <xdr:row>0</xdr:row>
      <xdr:rowOff>523875</xdr:rowOff>
    </xdr:to>
    <xdr:sp macro="" textlink="">
      <xdr:nvSpPr>
        <xdr:cNvPr id="3" name="Retângulo Arredondado 2">
          <a:extLst>
            <a:ext uri="{FF2B5EF4-FFF2-40B4-BE49-F238E27FC236}">
              <a16:creationId xmlns:a16="http://schemas.microsoft.com/office/drawing/2014/main" id="{6EF2441A-5722-4B45-9E7A-A29FA448066F}"/>
            </a:ext>
            <a:ext uri="{147F2762-F138-4A5C-976F-8EAC2B608ADB}">
              <a16:predDERef xmlns:a16="http://schemas.microsoft.com/office/drawing/2014/main" pred="{35AC7E77-E0D8-54D0-8A21-24366939634E}"/>
            </a:ext>
          </a:extLst>
        </xdr:cNvPr>
        <xdr:cNvSpPr/>
      </xdr:nvSpPr>
      <xdr:spPr>
        <a:xfrm>
          <a:off x="6448425" y="19050"/>
          <a:ext cx="990600" cy="504825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85725</xdr:colOff>
      <xdr:row>0</xdr:row>
      <xdr:rowOff>19050</xdr:rowOff>
    </xdr:from>
    <xdr:to>
      <xdr:col>3</xdr:col>
      <xdr:colOff>1076325</xdr:colOff>
      <xdr:row>0</xdr:row>
      <xdr:rowOff>523875</xdr:rowOff>
    </xdr:to>
    <xdr:sp macro="" textlink="">
      <xdr:nvSpPr>
        <xdr:cNvPr id="4" name="Retângulo Arredondado 3">
          <a:extLst>
            <a:ext uri="{FF2B5EF4-FFF2-40B4-BE49-F238E27FC236}">
              <a16:creationId xmlns:a16="http://schemas.microsoft.com/office/drawing/2014/main" id="{F12CD18E-FF31-4C25-95AA-78BFEF01B866}"/>
            </a:ext>
            <a:ext uri="{147F2762-F138-4A5C-976F-8EAC2B608ADB}">
              <a16:predDERef xmlns:a16="http://schemas.microsoft.com/office/drawing/2014/main" pred="{6EF2441A-5722-4B45-9E7A-A29FA448066F}"/>
            </a:ext>
          </a:extLst>
        </xdr:cNvPr>
        <xdr:cNvSpPr/>
      </xdr:nvSpPr>
      <xdr:spPr>
        <a:xfrm>
          <a:off x="4210050" y="19050"/>
          <a:ext cx="990600" cy="504825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6</xdr:col>
      <xdr:colOff>1428750</xdr:colOff>
      <xdr:row>0</xdr:row>
      <xdr:rowOff>19050</xdr:rowOff>
    </xdr:from>
    <xdr:to>
      <xdr:col>8</xdr:col>
      <xdr:colOff>9525</xdr:colOff>
      <xdr:row>0</xdr:row>
      <xdr:rowOff>523875</xdr:rowOff>
    </xdr:to>
    <xdr:sp macro="" textlink="">
      <xdr:nvSpPr>
        <xdr:cNvPr id="5" name="Retângulo Arredondado 4">
          <a:extLst>
            <a:ext uri="{FF2B5EF4-FFF2-40B4-BE49-F238E27FC236}">
              <a16:creationId xmlns:a16="http://schemas.microsoft.com/office/drawing/2014/main" id="{74DD24B0-06D4-401A-9B22-B9F50A233DA8}"/>
            </a:ext>
            <a:ext uri="{147F2762-F138-4A5C-976F-8EAC2B608ADB}">
              <a16:predDERef xmlns:a16="http://schemas.microsoft.com/office/drawing/2014/main" pred="{F12CD18E-FF31-4C25-95AA-78BFEF01B866}"/>
            </a:ext>
          </a:extLst>
        </xdr:cNvPr>
        <xdr:cNvSpPr/>
      </xdr:nvSpPr>
      <xdr:spPr>
        <a:xfrm>
          <a:off x="8867775" y="19050"/>
          <a:ext cx="781050" cy="504825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123825</xdr:colOff>
      <xdr:row>0</xdr:row>
      <xdr:rowOff>9525</xdr:rowOff>
    </xdr:from>
    <xdr:to>
      <xdr:col>2</xdr:col>
      <xdr:colOff>1104900</xdr:colOff>
      <xdr:row>0</xdr:row>
      <xdr:rowOff>523875</xdr:rowOff>
    </xdr:to>
    <xdr:sp macro="" textlink="">
      <xdr:nvSpPr>
        <xdr:cNvPr id="2" name="Retângulo Arredondado 1">
          <a:extLst>
            <a:ext uri="{FF2B5EF4-FFF2-40B4-BE49-F238E27FC236}">
              <a16:creationId xmlns:a16="http://schemas.microsoft.com/office/drawing/2014/main" id="{9EE93B8C-1FC9-482A-9FBF-5FDF6BB98903}"/>
            </a:ext>
            <a:ext uri="{147F2762-F138-4A5C-976F-8EAC2B608ADB}">
              <a16:predDERef xmlns:a16="http://schemas.microsoft.com/office/drawing/2014/main" pred="{6EF2441A-5722-4B45-9E7A-A29FA448066F}"/>
            </a:ext>
          </a:extLst>
        </xdr:cNvPr>
        <xdr:cNvSpPr/>
      </xdr:nvSpPr>
      <xdr:spPr>
        <a:xfrm>
          <a:off x="2486025" y="9525"/>
          <a:ext cx="981075" cy="514350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171450</xdr:colOff>
      <xdr:row>0</xdr:row>
      <xdr:rowOff>19050</xdr:rowOff>
    </xdr:from>
    <xdr:to>
      <xdr:col>3</xdr:col>
      <xdr:colOff>1152525</xdr:colOff>
      <xdr:row>0</xdr:row>
      <xdr:rowOff>533400</xdr:rowOff>
    </xdr:to>
    <xdr:sp macro="" textlink="">
      <xdr:nvSpPr>
        <xdr:cNvPr id="3" name="Retângulo Arredondado 2">
          <a:extLst>
            <a:ext uri="{FF2B5EF4-FFF2-40B4-BE49-F238E27FC236}">
              <a16:creationId xmlns:a16="http://schemas.microsoft.com/office/drawing/2014/main" id="{A20F9885-6B32-476C-BEFE-A627D81A0AA3}"/>
            </a:ext>
            <a:ext uri="{147F2762-F138-4A5C-976F-8EAC2B608ADB}">
              <a16:predDERef xmlns:a16="http://schemas.microsoft.com/office/drawing/2014/main" pred="{9EE93B8C-1FC9-482A-9FBF-5FDF6BB98903}"/>
            </a:ext>
          </a:extLst>
        </xdr:cNvPr>
        <xdr:cNvSpPr/>
      </xdr:nvSpPr>
      <xdr:spPr>
        <a:xfrm>
          <a:off x="3705225" y="19050"/>
          <a:ext cx="981075" cy="514350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1390650</xdr:colOff>
      <xdr:row>0</xdr:row>
      <xdr:rowOff>0</xdr:rowOff>
    </xdr:from>
    <xdr:to>
      <xdr:col>5</xdr:col>
      <xdr:colOff>0</xdr:colOff>
      <xdr:row>0</xdr:row>
      <xdr:rowOff>514350</xdr:rowOff>
    </xdr:to>
    <xdr:sp macro="" textlink="">
      <xdr:nvSpPr>
        <xdr:cNvPr id="4" name="Retângulo Arredondado 3">
          <a:extLst>
            <a:ext uri="{FF2B5EF4-FFF2-40B4-BE49-F238E27FC236}">
              <a16:creationId xmlns:a16="http://schemas.microsoft.com/office/drawing/2014/main" id="{93CA1388-E94D-4532-B51B-142C532C8224}"/>
            </a:ext>
            <a:ext uri="{147F2762-F138-4A5C-976F-8EAC2B608ADB}">
              <a16:predDERef xmlns:a16="http://schemas.microsoft.com/office/drawing/2014/main" pred="{A20F9885-6B32-476C-BEFE-A627D81A0AA3}"/>
            </a:ext>
          </a:extLst>
        </xdr:cNvPr>
        <xdr:cNvSpPr/>
      </xdr:nvSpPr>
      <xdr:spPr>
        <a:xfrm>
          <a:off x="4981575" y="0"/>
          <a:ext cx="1171575" cy="514350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5</xdr:col>
      <xdr:colOff>590550</xdr:colOff>
      <xdr:row>0</xdr:row>
      <xdr:rowOff>9525</xdr:rowOff>
    </xdr:from>
    <xdr:to>
      <xdr:col>7</xdr:col>
      <xdr:colOff>9525</xdr:colOff>
      <xdr:row>0</xdr:row>
      <xdr:rowOff>523875</xdr:rowOff>
    </xdr:to>
    <xdr:sp macro="" textlink="">
      <xdr:nvSpPr>
        <xdr:cNvPr id="5" name="Retângulo Arredondado 4">
          <a:extLst>
            <a:ext uri="{FF2B5EF4-FFF2-40B4-BE49-F238E27FC236}">
              <a16:creationId xmlns:a16="http://schemas.microsoft.com/office/drawing/2014/main" id="{BA16ACC8-BBA6-4661-8BF8-31310E802FBD}"/>
            </a:ext>
            <a:ext uri="{147F2762-F138-4A5C-976F-8EAC2B608ADB}">
              <a16:predDERef xmlns:a16="http://schemas.microsoft.com/office/drawing/2014/main" pred="{93CA1388-E94D-4532-B51B-142C532C8224}"/>
            </a:ext>
          </a:extLst>
        </xdr:cNvPr>
        <xdr:cNvSpPr/>
      </xdr:nvSpPr>
      <xdr:spPr>
        <a:xfrm>
          <a:off x="6619875" y="9525"/>
          <a:ext cx="638175" cy="514350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1504950</xdr:colOff>
      <xdr:row>0</xdr:row>
      <xdr:rowOff>19050</xdr:rowOff>
    </xdr:from>
    <xdr:to>
      <xdr:col>4</xdr:col>
      <xdr:colOff>38100</xdr:colOff>
      <xdr:row>0</xdr:row>
      <xdr:rowOff>533400</xdr:rowOff>
    </xdr:to>
    <xdr:sp macro="" textlink="">
      <xdr:nvSpPr>
        <xdr:cNvPr id="2" name="Retângulo Arredondado 1">
          <a:extLst>
            <a:ext uri="{FF2B5EF4-FFF2-40B4-BE49-F238E27FC236}">
              <a16:creationId xmlns:a16="http://schemas.microsoft.com/office/drawing/2014/main" id="{7861629E-91E5-423C-8AB3-EA6302FD7460}"/>
            </a:ext>
            <a:ext uri="{147F2762-F138-4A5C-976F-8EAC2B608ADB}">
              <a16:predDERef xmlns:a16="http://schemas.microsoft.com/office/drawing/2014/main" pred="{6EF2441A-5722-4B45-9E7A-A29FA448066F}"/>
            </a:ext>
          </a:extLst>
        </xdr:cNvPr>
        <xdr:cNvSpPr/>
      </xdr:nvSpPr>
      <xdr:spPr>
        <a:xfrm>
          <a:off x="3743325" y="19050"/>
          <a:ext cx="981075" cy="514350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4</xdr:col>
      <xdr:colOff>504825</xdr:colOff>
      <xdr:row>0</xdr:row>
      <xdr:rowOff>9525</xdr:rowOff>
    </xdr:from>
    <xdr:to>
      <xdr:col>4</xdr:col>
      <xdr:colOff>1485900</xdr:colOff>
      <xdr:row>0</xdr:row>
      <xdr:rowOff>523875</xdr:rowOff>
    </xdr:to>
    <xdr:sp macro="" textlink="">
      <xdr:nvSpPr>
        <xdr:cNvPr id="3" name="Retângulo Arredondado 2">
          <a:extLst>
            <a:ext uri="{FF2B5EF4-FFF2-40B4-BE49-F238E27FC236}">
              <a16:creationId xmlns:a16="http://schemas.microsoft.com/office/drawing/2014/main" id="{384BDBD6-17E0-46FB-98CD-F6065DE9B6B9}"/>
            </a:ext>
            <a:ext uri="{147F2762-F138-4A5C-976F-8EAC2B608ADB}">
              <a16:predDERef xmlns:a16="http://schemas.microsoft.com/office/drawing/2014/main" pred="{7861629E-91E5-423C-8AB3-EA6302FD7460}"/>
            </a:ext>
          </a:extLst>
        </xdr:cNvPr>
        <xdr:cNvSpPr/>
      </xdr:nvSpPr>
      <xdr:spPr>
        <a:xfrm>
          <a:off x="5191125" y="9525"/>
          <a:ext cx="981075" cy="514350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7</xdr:col>
      <xdr:colOff>161925</xdr:colOff>
      <xdr:row>0</xdr:row>
      <xdr:rowOff>0</xdr:rowOff>
    </xdr:from>
    <xdr:to>
      <xdr:col>7</xdr:col>
      <xdr:colOff>1181100</xdr:colOff>
      <xdr:row>0</xdr:row>
      <xdr:rowOff>514350</xdr:rowOff>
    </xdr:to>
    <xdr:sp macro="" textlink="">
      <xdr:nvSpPr>
        <xdr:cNvPr id="4" name="Retângulo Arredondado 3">
          <a:extLst>
            <a:ext uri="{FF2B5EF4-FFF2-40B4-BE49-F238E27FC236}">
              <a16:creationId xmlns:a16="http://schemas.microsoft.com/office/drawing/2014/main" id="{37F11DF7-1B89-4F5C-9F3A-9BCD40DFFF1C}"/>
            </a:ext>
            <a:ext uri="{147F2762-F138-4A5C-976F-8EAC2B608ADB}">
              <a16:predDERef xmlns:a16="http://schemas.microsoft.com/office/drawing/2014/main" pred="{384BDBD6-17E0-46FB-98CD-F6065DE9B6B9}"/>
            </a:ext>
          </a:extLst>
        </xdr:cNvPr>
        <xdr:cNvSpPr/>
      </xdr:nvSpPr>
      <xdr:spPr>
        <a:xfrm>
          <a:off x="9906000" y="0"/>
          <a:ext cx="1019175" cy="514350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9</xdr:col>
      <xdr:colOff>161925</xdr:colOff>
      <xdr:row>0</xdr:row>
      <xdr:rowOff>9525</xdr:rowOff>
    </xdr:from>
    <xdr:to>
      <xdr:col>9</xdr:col>
      <xdr:colOff>1238250</xdr:colOff>
      <xdr:row>0</xdr:row>
      <xdr:rowOff>523875</xdr:rowOff>
    </xdr:to>
    <xdr:sp macro="" textlink="">
      <xdr:nvSpPr>
        <xdr:cNvPr id="5" name="Retângulo Arredondado 4">
          <a:extLst>
            <a:ext uri="{FF2B5EF4-FFF2-40B4-BE49-F238E27FC236}">
              <a16:creationId xmlns:a16="http://schemas.microsoft.com/office/drawing/2014/main" id="{3BA769FC-5842-43E7-93A6-84D1A86B927F}"/>
            </a:ext>
            <a:ext uri="{147F2762-F138-4A5C-976F-8EAC2B608ADB}">
              <a16:predDERef xmlns:a16="http://schemas.microsoft.com/office/drawing/2014/main" pred="{37F11DF7-1B89-4F5C-9F3A-9BCD40DFFF1C}"/>
            </a:ext>
          </a:extLst>
        </xdr:cNvPr>
        <xdr:cNvSpPr/>
      </xdr:nvSpPr>
      <xdr:spPr>
        <a:xfrm>
          <a:off x="12315825" y="9525"/>
          <a:ext cx="1076325" cy="514350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495300</xdr:colOff>
      <xdr:row>0</xdr:row>
      <xdr:rowOff>9525</xdr:rowOff>
    </xdr:from>
    <xdr:to>
      <xdr:col>2</xdr:col>
      <xdr:colOff>1504950</xdr:colOff>
      <xdr:row>0</xdr:row>
      <xdr:rowOff>523875</xdr:rowOff>
    </xdr:to>
    <xdr:sp macro="" textlink="">
      <xdr:nvSpPr>
        <xdr:cNvPr id="3" name="Retângulo Arredondado 2">
          <a:extLst>
            <a:ext uri="{FF2B5EF4-FFF2-40B4-BE49-F238E27FC236}">
              <a16:creationId xmlns:a16="http://schemas.microsoft.com/office/drawing/2014/main" id="{542A16A5-34BE-4FC2-9277-4DD8163D69F4}"/>
            </a:ext>
            <a:ext uri="{147F2762-F138-4A5C-976F-8EAC2B608ADB}">
              <a16:predDERef xmlns:a16="http://schemas.microsoft.com/office/drawing/2014/main" pred="{6EF2441A-5722-4B45-9E7A-A29FA448066F}"/>
            </a:ext>
          </a:extLst>
        </xdr:cNvPr>
        <xdr:cNvSpPr/>
      </xdr:nvSpPr>
      <xdr:spPr>
        <a:xfrm>
          <a:off x="2752725" y="9525"/>
          <a:ext cx="1009650" cy="514350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</xdr:col>
      <xdr:colOff>2047875</xdr:colOff>
      <xdr:row>0</xdr:row>
      <xdr:rowOff>19050</xdr:rowOff>
    </xdr:from>
    <xdr:to>
      <xdr:col>4</xdr:col>
      <xdr:colOff>9525</xdr:colOff>
      <xdr:row>0</xdr:row>
      <xdr:rowOff>533400</xdr:rowOff>
    </xdr:to>
    <xdr:sp macro="" textlink="">
      <xdr:nvSpPr>
        <xdr:cNvPr id="4" name="Retângulo Arredondado 3">
          <a:extLst>
            <a:ext uri="{FF2B5EF4-FFF2-40B4-BE49-F238E27FC236}">
              <a16:creationId xmlns:a16="http://schemas.microsoft.com/office/drawing/2014/main" id="{3D24D58F-C8AD-4975-B0B2-C970A3F459B0}"/>
            </a:ext>
            <a:ext uri="{147F2762-F138-4A5C-976F-8EAC2B608ADB}">
              <a16:predDERef xmlns:a16="http://schemas.microsoft.com/office/drawing/2014/main" pred="{542A16A5-34BE-4FC2-9277-4DD8163D69F4}"/>
            </a:ext>
          </a:extLst>
        </xdr:cNvPr>
        <xdr:cNvSpPr/>
      </xdr:nvSpPr>
      <xdr:spPr>
        <a:xfrm>
          <a:off x="4305300" y="19050"/>
          <a:ext cx="1009650" cy="514350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4</xdr:col>
      <xdr:colOff>219075</xdr:colOff>
      <xdr:row>0</xdr:row>
      <xdr:rowOff>9525</xdr:rowOff>
    </xdr:from>
    <xdr:to>
      <xdr:col>4</xdr:col>
      <xdr:colOff>1228725</xdr:colOff>
      <xdr:row>0</xdr:row>
      <xdr:rowOff>523875</xdr:rowOff>
    </xdr:to>
    <xdr:sp macro="" textlink="">
      <xdr:nvSpPr>
        <xdr:cNvPr id="5" name="Retângulo Arredondado 4">
          <a:extLst>
            <a:ext uri="{FF2B5EF4-FFF2-40B4-BE49-F238E27FC236}">
              <a16:creationId xmlns:a16="http://schemas.microsoft.com/office/drawing/2014/main" id="{CC4B89A6-A244-4FB4-ADAB-BB3F938B0582}"/>
            </a:ext>
            <a:ext uri="{147F2762-F138-4A5C-976F-8EAC2B608ADB}">
              <a16:predDERef xmlns:a16="http://schemas.microsoft.com/office/drawing/2014/main" pred="{3D24D58F-C8AD-4975-B0B2-C970A3F459B0}"/>
            </a:ext>
          </a:extLst>
        </xdr:cNvPr>
        <xdr:cNvSpPr/>
      </xdr:nvSpPr>
      <xdr:spPr>
        <a:xfrm>
          <a:off x="5524500" y="9525"/>
          <a:ext cx="1009650" cy="514350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5</xdr:col>
      <xdr:colOff>1619250</xdr:colOff>
      <xdr:row>0</xdr:row>
      <xdr:rowOff>9525</xdr:rowOff>
    </xdr:from>
    <xdr:to>
      <xdr:col>7</xdr:col>
      <xdr:colOff>9525</xdr:colOff>
      <xdr:row>0</xdr:row>
      <xdr:rowOff>523875</xdr:rowOff>
    </xdr:to>
    <xdr:sp macro="" textlink="">
      <xdr:nvSpPr>
        <xdr:cNvPr id="6" name="Retângulo Arredondado 5">
          <a:extLst>
            <a:ext uri="{FF2B5EF4-FFF2-40B4-BE49-F238E27FC236}">
              <a16:creationId xmlns:a16="http://schemas.microsoft.com/office/drawing/2014/main" id="{6EFD114D-4B20-423B-A518-0247BB1A06C3}"/>
            </a:ext>
            <a:ext uri="{147F2762-F138-4A5C-976F-8EAC2B608ADB}">
              <a16:predDERef xmlns:a16="http://schemas.microsoft.com/office/drawing/2014/main" pred="{CC4B89A6-A244-4FB4-ADAB-BB3F938B0582}"/>
            </a:ext>
          </a:extLst>
        </xdr:cNvPr>
        <xdr:cNvSpPr/>
      </xdr:nvSpPr>
      <xdr:spPr>
        <a:xfrm>
          <a:off x="8420100" y="9525"/>
          <a:ext cx="638175" cy="514350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933450</xdr:colOff>
      <xdr:row>3</xdr:row>
      <xdr:rowOff>133350</xdr:rowOff>
    </xdr:from>
    <xdr:to>
      <xdr:col>1</xdr:col>
      <xdr:colOff>943530</xdr:colOff>
      <xdr:row>3</xdr:row>
      <xdr:rowOff>133710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4" name="">
              <a:extLst>
                <a:ext uri="{FF2B5EF4-FFF2-40B4-BE49-F238E27FC236}">
                  <a16:creationId xmlns:a16="http://schemas.microsoft.com/office/drawing/2014/main" id="{A7098DA9-8B92-47FC-8965-0ED3B2AA5065}"/>
                </a:ext>
              </a:extLst>
            </xdr14:cNvPr>
            <xdr14:cNvContentPartPr/>
          </xdr14:nvContentPartPr>
          <xdr14:nvPr macro=""/>
          <xdr14:xfrm>
            <a:off x="1543050" y="704850"/>
            <a:ext cx="10080" cy="360"/>
          </xdr14:xfrm>
        </xdr:contentPart>
      </mc:Choice>
      <mc:Fallback xmlns="">
        <xdr:pic>
          <xdr:nvPicPr>
            <xdr:cNvPr id="4" name="">
              <a:extLst>
                <a:ext uri="{FF2B5EF4-FFF2-40B4-BE49-F238E27FC236}">
                  <a16:creationId xmlns:a16="http://schemas.microsoft.com/office/drawing/2014/main" id="{A7098DA9-8B92-47FC-8965-0ED3B2AA506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525050" y="687210"/>
              <a:ext cx="45720" cy="36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6-08T20:53:37.127"/>
    </inkml:context>
    <inkml:brush xml:id="br0">
      <inkml:brushProperty name="width" value="0.1" units="cm"/>
      <inkml:brushProperty name="height" value="0.1" units="cm"/>
    </inkml:brush>
  </inkml:definitions>
  <inkml:trace contextRef="#ctx0" brushRef="#br0">4286 1958 16383 0 0,'0'0'0'0'0</inkml:trace>
  <inkml:trace contextRef="#ctx0" brushRef="#br0" timeOffset="36.47">4286 1958 16383 0 0,'5'0'0'0'0,"5"0"0"0"0,2 0 0 0 0</inkml:trace>
</inkml: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833.776983217591" createdVersion="8" refreshedVersion="8" minRefreshableVersion="3" recordCount="60" xr:uid="{0F6EDADB-1863-449E-9AF9-BDF65B805293}">
  <cacheSource type="worksheet">
    <worksheetSource name="TB_Produtos"/>
  </cacheSource>
  <cacheFields count="6">
    <cacheField name="Código" numFmtId="0">
      <sharedItems/>
    </cacheField>
    <cacheField name="Produtos" numFmtId="0">
      <sharedItems count="25">
        <s v="Bermuda"/>
        <s v="Bolsa coringa"/>
        <s v="Bolsa de couro"/>
        <s v="Boné"/>
        <s v="Calça jeans"/>
        <s v="Calça legging"/>
        <s v="Camiseta Estampada"/>
        <s v="Camiseta Lisa"/>
        <s v="Camiseta Lisa "/>
        <s v="Cinto"/>
        <s v="Jaqueta couro"/>
        <s v="Jaqueta jeans"/>
        <s v="Óculos quadrado"/>
        <s v="Óculos redondo"/>
        <s v="Tênis Atitas"/>
        <s v="Tênis Chunky"/>
        <s v="Vestido curto"/>
        <s v="Vestido longo"/>
        <s v="Camiseta Conforto"/>
        <s v="Vestido Floral"/>
        <s v="Jaqueta de Couro"/>
        <s v="Camiseta Listrada"/>
        <s v="Saia Plissada"/>
        <s v="Sandália Rasteira"/>
        <s v="Calça Alfaiataria"/>
      </sharedItems>
    </cacheField>
    <cacheField name="Tamanho" numFmtId="0">
      <sharedItems containsMixedTypes="1" containsNumber="1" containsInteger="1" minValue="35" maxValue="38"/>
    </cacheField>
    <cacheField name="Categoria" numFmtId="0">
      <sharedItems count="3">
        <s v="Vestuário"/>
        <s v="Acessórios"/>
        <s v="Calçado"/>
      </sharedItems>
    </cacheField>
    <cacheField name="Estoque" numFmtId="0">
      <sharedItems containsSemiMixedTypes="0" containsString="0" containsNumber="1" containsInteger="1" minValue="0" maxValue="50"/>
    </cacheField>
    <cacheField name="Preço Unitário" numFmtId="44">
      <sharedItems containsSemiMixedTypes="0" containsString="0" containsNumber="1" minValue="25.9" maxValue="349.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">
  <r>
    <s v="PR001"/>
    <x v="0"/>
    <s v="P"/>
    <x v="0"/>
    <n v="48"/>
    <n v="65.900000000000006"/>
  </r>
  <r>
    <s v="PR002"/>
    <x v="0"/>
    <s v="M"/>
    <x v="0"/>
    <n v="0"/>
    <n v="69.900000000000006"/>
  </r>
  <r>
    <s v="PR003"/>
    <x v="0"/>
    <s v="G"/>
    <x v="0"/>
    <n v="37"/>
    <n v="70.900000000000006"/>
  </r>
  <r>
    <s v="PR004"/>
    <x v="1"/>
    <s v="Único"/>
    <x v="1"/>
    <n v="36"/>
    <n v="145"/>
  </r>
  <r>
    <s v="PR005"/>
    <x v="2"/>
    <s v="Único"/>
    <x v="1"/>
    <n v="21"/>
    <n v="259.89999999999998"/>
  </r>
  <r>
    <s v="PR006"/>
    <x v="3"/>
    <s v="Único"/>
    <x v="1"/>
    <n v="23"/>
    <n v="39.9"/>
  </r>
  <r>
    <s v="PR007"/>
    <x v="4"/>
    <s v="P"/>
    <x v="0"/>
    <n v="24"/>
    <n v="85.9"/>
  </r>
  <r>
    <s v="PR008"/>
    <x v="4"/>
    <s v="M"/>
    <x v="0"/>
    <n v="35"/>
    <n v="89.9"/>
  </r>
  <r>
    <s v="PR009"/>
    <x v="4"/>
    <s v="G"/>
    <x v="0"/>
    <n v="47"/>
    <n v="92.9"/>
  </r>
  <r>
    <s v="PR010"/>
    <x v="5"/>
    <s v="P"/>
    <x v="0"/>
    <n v="42"/>
    <n v="44.9"/>
  </r>
  <r>
    <s v="PR011"/>
    <x v="5"/>
    <s v="M"/>
    <x v="0"/>
    <n v="32"/>
    <n v="46.9"/>
  </r>
  <r>
    <s v="PR012"/>
    <x v="5"/>
    <s v="G"/>
    <x v="0"/>
    <n v="45"/>
    <n v="48.9"/>
  </r>
  <r>
    <s v="PR013"/>
    <x v="6"/>
    <s v="P"/>
    <x v="0"/>
    <n v="19"/>
    <n v="39.9"/>
  </r>
  <r>
    <s v="PR014"/>
    <x v="6"/>
    <s v="M"/>
    <x v="0"/>
    <n v="37"/>
    <n v="39.9"/>
  </r>
  <r>
    <s v="PR015"/>
    <x v="6"/>
    <s v="G"/>
    <x v="0"/>
    <n v="16"/>
    <n v="42.5"/>
  </r>
  <r>
    <s v="PR016"/>
    <x v="7"/>
    <s v="P"/>
    <x v="0"/>
    <n v="43"/>
    <n v="25.9"/>
  </r>
  <r>
    <s v="PR017"/>
    <x v="8"/>
    <s v="M"/>
    <x v="0"/>
    <n v="46"/>
    <n v="29.9"/>
  </r>
  <r>
    <s v="PR018"/>
    <x v="8"/>
    <s v="G"/>
    <x v="0"/>
    <n v="40"/>
    <n v="32.9"/>
  </r>
  <r>
    <s v="PR019"/>
    <x v="9"/>
    <s v="Único"/>
    <x v="1"/>
    <n v="2"/>
    <n v="49.9"/>
  </r>
  <r>
    <s v="PR020"/>
    <x v="10"/>
    <s v="P"/>
    <x v="0"/>
    <n v="34"/>
    <n v="299.89999999999998"/>
  </r>
  <r>
    <s v="PR021"/>
    <x v="10"/>
    <s v="M"/>
    <x v="0"/>
    <n v="34"/>
    <n v="302.89999999999998"/>
  </r>
  <r>
    <s v="PR022"/>
    <x v="10"/>
    <s v="G"/>
    <x v="0"/>
    <n v="35"/>
    <n v="300"/>
  </r>
  <r>
    <s v="PR023"/>
    <x v="11"/>
    <s v="P"/>
    <x v="0"/>
    <n v="49"/>
    <n v="249.9"/>
  </r>
  <r>
    <s v="PR024"/>
    <x v="11"/>
    <s v="M"/>
    <x v="0"/>
    <n v="16"/>
    <n v="259.89999999999998"/>
  </r>
  <r>
    <s v="PR025"/>
    <x v="11"/>
    <s v="G"/>
    <x v="0"/>
    <n v="41"/>
    <n v="299.89999999999998"/>
  </r>
  <r>
    <s v="PR026"/>
    <x v="12"/>
    <s v="Único"/>
    <x v="1"/>
    <n v="32"/>
    <n v="349.9"/>
  </r>
  <r>
    <s v="PR027"/>
    <x v="13"/>
    <s v="Único"/>
    <x v="1"/>
    <n v="45"/>
    <n v="120"/>
  </r>
  <r>
    <s v="PR028"/>
    <x v="14"/>
    <n v="36"/>
    <x v="2"/>
    <n v="37"/>
    <n v="249.9"/>
  </r>
  <r>
    <s v="PR029"/>
    <x v="14"/>
    <n v="37"/>
    <x v="2"/>
    <n v="41"/>
    <n v="255"/>
  </r>
  <r>
    <s v="PR030"/>
    <x v="14"/>
    <n v="38"/>
    <x v="2"/>
    <n v="30"/>
    <n v="259.89999999999998"/>
  </r>
  <r>
    <s v="PR031"/>
    <x v="15"/>
    <n v="36"/>
    <x v="2"/>
    <n v="27"/>
    <n v="245"/>
  </r>
  <r>
    <s v="PR032"/>
    <x v="15"/>
    <n v="37"/>
    <x v="2"/>
    <n v="41"/>
    <n v="250"/>
  </r>
  <r>
    <s v="PR033"/>
    <x v="15"/>
    <n v="38"/>
    <x v="2"/>
    <n v="43"/>
    <n v="259.89999999999998"/>
  </r>
  <r>
    <s v="PR034"/>
    <x v="16"/>
    <s v="P"/>
    <x v="0"/>
    <n v="43"/>
    <n v="89.9"/>
  </r>
  <r>
    <s v="PR035"/>
    <x v="16"/>
    <s v="M"/>
    <x v="0"/>
    <n v="18"/>
    <n v="91.4"/>
  </r>
  <r>
    <s v="PR036"/>
    <x v="16"/>
    <s v="G"/>
    <x v="0"/>
    <n v="45"/>
    <n v="93.5"/>
  </r>
  <r>
    <s v="PR037"/>
    <x v="17"/>
    <s v="P"/>
    <x v="0"/>
    <n v="34"/>
    <n v="140"/>
  </r>
  <r>
    <s v="PR038"/>
    <x v="17"/>
    <s v="M"/>
    <x v="0"/>
    <n v="47"/>
    <n v="142.9"/>
  </r>
  <r>
    <s v="PR039"/>
    <x v="17"/>
    <s v="G"/>
    <x v="0"/>
    <n v="50"/>
    <n v="146"/>
  </r>
  <r>
    <s v="PR040"/>
    <x v="18"/>
    <s v="P"/>
    <x v="0"/>
    <n v="16"/>
    <n v="70"/>
  </r>
  <r>
    <s v="PR041"/>
    <x v="18"/>
    <s v="M"/>
    <x v="0"/>
    <n v="21"/>
    <n v="54.9"/>
  </r>
  <r>
    <s v="PR042"/>
    <x v="18"/>
    <s v="G"/>
    <x v="0"/>
    <n v="43"/>
    <n v="54.9"/>
  </r>
  <r>
    <s v="PR043"/>
    <x v="19"/>
    <s v="P"/>
    <x v="0"/>
    <n v="43"/>
    <n v="72.5"/>
  </r>
  <r>
    <s v="PR044"/>
    <x v="19"/>
    <s v="M"/>
    <x v="0"/>
    <n v="41"/>
    <n v="72.5"/>
  </r>
  <r>
    <s v="PR045"/>
    <x v="19"/>
    <s v="G"/>
    <x v="0"/>
    <n v="49"/>
    <n v="72.5"/>
  </r>
  <r>
    <s v="PR046"/>
    <x v="20"/>
    <s v="P"/>
    <x v="0"/>
    <n v="15"/>
    <n v="289.89999999999998"/>
  </r>
  <r>
    <s v="PR047"/>
    <x v="20"/>
    <s v="M"/>
    <x v="0"/>
    <n v="34"/>
    <n v="289.89999999999998"/>
  </r>
  <r>
    <s v="PR048"/>
    <x v="20"/>
    <s v="G"/>
    <x v="0"/>
    <n v="21"/>
    <n v="289.89999999999998"/>
  </r>
  <r>
    <s v="PR049"/>
    <x v="21"/>
    <s v="P"/>
    <x v="0"/>
    <n v="40"/>
    <n v="32.9"/>
  </r>
  <r>
    <s v="PR050"/>
    <x v="21"/>
    <s v="M"/>
    <x v="0"/>
    <n v="42"/>
    <n v="32.9"/>
  </r>
  <r>
    <s v="PR051"/>
    <x v="21"/>
    <s v="G"/>
    <x v="0"/>
    <n v="48"/>
    <n v="32.9"/>
  </r>
  <r>
    <s v="PR052"/>
    <x v="22"/>
    <s v="P"/>
    <x v="0"/>
    <n v="35"/>
    <n v="49.9"/>
  </r>
  <r>
    <s v="PR053"/>
    <x v="22"/>
    <s v="M"/>
    <x v="0"/>
    <n v="40"/>
    <n v="49.9"/>
  </r>
  <r>
    <s v="PR054"/>
    <x v="22"/>
    <s v="G"/>
    <x v="0"/>
    <n v="18"/>
    <n v="49.9"/>
  </r>
  <r>
    <s v="PR055"/>
    <x v="23"/>
    <n v="35"/>
    <x v="2"/>
    <n v="48"/>
    <n v="89.9"/>
  </r>
  <r>
    <s v="PR056"/>
    <x v="23"/>
    <n v="36"/>
    <x v="2"/>
    <n v="38"/>
    <n v="89.9"/>
  </r>
  <r>
    <s v="PR057"/>
    <x v="23"/>
    <n v="37"/>
    <x v="2"/>
    <n v="45"/>
    <n v="89.9"/>
  </r>
  <r>
    <s v="PR058"/>
    <x v="24"/>
    <s v="P"/>
    <x v="0"/>
    <n v="40"/>
    <n v="180"/>
  </r>
  <r>
    <s v="PR059"/>
    <x v="24"/>
    <s v="M"/>
    <x v="0"/>
    <n v="35"/>
    <n v="180"/>
  </r>
  <r>
    <s v="PR060"/>
    <x v="24"/>
    <s v="G"/>
    <x v="0"/>
    <n v="35"/>
    <n v="18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44B059-2129-48EC-B998-AB3891A5F2C8}" name="TDIN_Produtos" cacheId="95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>
  <location ref="A3:D32" firstHeaderRow="0" firstDataRow="1" firstDataCol="2"/>
  <pivotFields count="6">
    <pivotField compact="0" outline="0" showAll="0"/>
    <pivotField axis="axisRow" compact="0" outline="0" showAll="0">
      <items count="26">
        <item x="0"/>
        <item x="1"/>
        <item x="2"/>
        <item x="3"/>
        <item x="24"/>
        <item x="4"/>
        <item x="5"/>
        <item x="18"/>
        <item x="6"/>
        <item x="7"/>
        <item x="8"/>
        <item x="21"/>
        <item x="9"/>
        <item x="10"/>
        <item x="20"/>
        <item x="11"/>
        <item x="12"/>
        <item x="13"/>
        <item x="22"/>
        <item x="23"/>
        <item x="14"/>
        <item x="15"/>
        <item x="16"/>
        <item x="19"/>
        <item x="17"/>
        <item t="default"/>
      </items>
    </pivotField>
    <pivotField compact="0" outline="0" showAll="0"/>
    <pivotField axis="axisRow" compact="0" outline="0" showAll="0">
      <items count="4">
        <item x="1"/>
        <item x="2"/>
        <item x="0"/>
        <item t="default"/>
      </items>
    </pivotField>
    <pivotField dataField="1" compact="0" outline="0" showAll="0"/>
    <pivotField dataField="1" compact="0" numFmtId="44" outline="0" showAll="0"/>
  </pivotFields>
  <rowFields count="2">
    <field x="3"/>
    <field x="1"/>
  </rowFields>
  <rowItems count="29">
    <i>
      <x/>
      <x v="1"/>
    </i>
    <i r="1">
      <x v="2"/>
    </i>
    <i r="1">
      <x v="3"/>
    </i>
    <i r="1">
      <x v="12"/>
    </i>
    <i r="1">
      <x v="16"/>
    </i>
    <i r="1">
      <x v="17"/>
    </i>
    <i t="default">
      <x/>
    </i>
    <i>
      <x v="1"/>
      <x v="19"/>
    </i>
    <i r="1">
      <x v="20"/>
    </i>
    <i r="1">
      <x v="21"/>
    </i>
    <i t="default">
      <x v="1"/>
    </i>
    <i>
      <x v="2"/>
      <x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3"/>
    </i>
    <i r="1">
      <x v="14"/>
    </i>
    <i r="1">
      <x v="15"/>
    </i>
    <i r="1">
      <x v="18"/>
    </i>
    <i r="1">
      <x v="22"/>
    </i>
    <i r="1">
      <x v="23"/>
    </i>
    <i r="1">
      <x v="24"/>
    </i>
    <i t="default"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oma de Estoque" fld="4" baseField="0" baseItem="0"/>
    <dataField name="Soma de Preço Unitário" fld="5" baseField="0" baseItem="0" numFmtId="44"/>
  </dataFields>
  <pivotTableStyleInfo name="PivotStyleMedium1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01ED35-3B6E-4C2D-A779-FA58CC44E435}" name="TB_Produtos" displayName="TB_Produtos" ref="B6:G66" totalsRowShown="0" headerRowDxfId="21" dataDxfId="20" tableBorderDxfId="19">
  <autoFilter ref="B6:G66" xr:uid="{6001ED35-3B6E-4C2D-A779-FA58CC44E435}"/>
  <tableColumns count="6">
    <tableColumn id="1" xr3:uid="{B4DACA79-3E39-4F88-92EB-6909F91D0EE7}" name="Código" dataDxfId="18"/>
    <tableColumn id="2" xr3:uid="{D7407E0B-18D9-4D83-8048-0892E94D51A8}" name="Produtos" dataDxfId="17"/>
    <tableColumn id="3" xr3:uid="{13E10427-5B0F-4484-ACF8-E2F9CC43AC04}" name="Tamanho" dataDxfId="16"/>
    <tableColumn id="4" xr3:uid="{23ED5D4D-C4C8-4033-8744-C89C769B0247}" name="Categoria" dataDxfId="15"/>
    <tableColumn id="5" xr3:uid="{7179D347-AC6E-46D5-9E17-629305D826B5}" name="Estoque" dataDxfId="14"/>
    <tableColumn id="6" xr3:uid="{DF0FE35E-2542-4F11-9F8A-56C84A038747}" name="Preço Unitário" dataDxfId="13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17AA93-D8CF-49EF-87AF-2D1C8EB0AD72}" name="TB_Vendas" displayName="TB_Vendas" ref="A4:J86" totalsRowShown="0" headerRowDxfId="12" dataDxfId="11" tableBorderDxfId="10">
  <autoFilter ref="A4:J86" xr:uid="{5E17AA93-D8CF-49EF-87AF-2D1C8EB0AD72}"/>
  <tableColumns count="10">
    <tableColumn id="1" xr3:uid="{13B33C41-5052-4F8E-94A5-A640CE3BC35A}" name="Mês" dataDxfId="9"/>
    <tableColumn id="3" xr3:uid="{D6CC9310-6B10-420B-8BA1-D1D671CDECE9}" name="Código" dataDxfId="8"/>
    <tableColumn id="2" xr3:uid="{A43A39A5-CDB2-4665-8012-475E8AD2518F}" name="Data" dataDxfId="7"/>
    <tableColumn id="4" xr3:uid="{C001EEA6-FCDE-474C-8EA4-DEA2EA006469}" name="Qtd" dataDxfId="6"/>
    <tableColumn id="5" xr3:uid="{231A3920-16D6-472B-87F8-7E1BCCB5FA96}" name="Preço Unitário" dataDxfId="5">
      <calculatedColumnFormula>VLOOKUP(TB_Vendas[[#This Row],[Código]],TB_Produtos[#All],6,FALSE)</calculatedColumnFormula>
    </tableColumn>
    <tableColumn id="6" xr3:uid="{7366F2D2-A7F2-4D10-9638-6BEE17AA52A1}" name="Desc." dataDxfId="4">
      <calculatedColumnFormula array="1">INDEX(Desc_TabelaToda,MATCH(TB_Vendas[[#This Row],[Qtd]],Desc_Quantidades,1),MATCH(_xlfn.XLOOKUP(TB_Vendas[[#This Row],[Código]],TB_Produtos[[#All],[Código]],TB_Produtos[[#All],[Categoria]]),Desc_Categorias,0))</calculatedColumnFormula>
    </tableColumn>
    <tableColumn id="9" xr3:uid="{0DDA0AAB-165E-442D-9B2F-170A2589D397}" name="Desc. Vendedor" dataDxfId="3">
      <calculatedColumnFormula>_xlfn.XLOOKUP(TB_Vendas[[#This Row],[Vendedor]],Vendedores!$A$4:$A$9,Vendedores!$D$4:$D$9)</calculatedColumnFormula>
    </tableColumn>
    <tableColumn id="10" xr3:uid="{B70B11E3-0335-4D54-B17F-5B9349EEFE98}" name="Desconto" dataDxfId="2">
      <calculatedColumnFormula>IF(TB_Vendas[[#This Row],[Desc.]]&gt;TB_Vendas[[#This Row],[Desc. Vendedor]],TB_Vendas[[#This Row],[Desc. Vendedor]],TB_Vendas[[#This Row],[Desc.]])</calculatedColumnFormula>
    </tableColumn>
    <tableColumn id="7" xr3:uid="{B49ED2A0-D8B4-42B2-9ADF-617D631AA07D}" name="Total" dataDxfId="1">
      <calculatedColumnFormula>(TB_Vendas[[#This Row],[Preço Unitário]]-(TB_Vendas[[#This Row],[Preço Unitário]]*TB_Vendas[[#This Row],[Desconto]]))*TB_Vendas[[#This Row],[Qtd]]</calculatedColumnFormula>
    </tableColumn>
    <tableColumn id="8" xr3:uid="{C1C42127-7C9E-469D-866C-F10609150028}" name="Vendedor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D16A9-A258-48A3-8353-4D361E06780B}">
  <dimension ref="A1:AN20"/>
  <sheetViews>
    <sheetView workbookViewId="0"/>
  </sheetViews>
  <sheetFormatPr defaultColWidth="3.5703125" defaultRowHeight="15"/>
  <sheetData>
    <row r="1" spans="1:4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</row>
    <row r="3" spans="1:40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</row>
    <row r="4" spans="1:4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</row>
    <row r="6" spans="1:4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</row>
    <row r="7" spans="1:4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</row>
    <row r="8" spans="1:4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</row>
    <row r="9" spans="1:40">
      <c r="A9" s="1"/>
      <c r="B9" s="35"/>
      <c r="C9" s="35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</row>
    <row r="10" spans="1:40">
      <c r="A10" s="1"/>
      <c r="B10" s="35"/>
      <c r="C10" s="3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</row>
    <row r="11" spans="1:40" ht="15" customHeight="1">
      <c r="A11" s="1"/>
      <c r="B11" s="35"/>
      <c r="C11" s="35"/>
      <c r="D11" s="1"/>
      <c r="E11" s="38"/>
      <c r="F11" s="80" t="s">
        <v>0</v>
      </c>
      <c r="G11" s="80"/>
      <c r="H11" s="80"/>
      <c r="I11" s="80"/>
      <c r="J11" s="80"/>
      <c r="K11" s="80"/>
      <c r="L11" s="1"/>
      <c r="M11" s="1"/>
      <c r="N11" s="79" t="s">
        <v>1</v>
      </c>
      <c r="O11" s="79"/>
      <c r="P11" s="79"/>
      <c r="Q11" s="79"/>
      <c r="R11" s="79"/>
      <c r="S11" s="79"/>
      <c r="T11" s="1"/>
      <c r="U11" s="1"/>
      <c r="V11" s="80" t="s">
        <v>2</v>
      </c>
      <c r="W11" s="80"/>
      <c r="X11" s="80"/>
      <c r="Y11" s="80"/>
      <c r="Z11" s="80"/>
      <c r="AA11" s="80"/>
      <c r="AB11" s="1"/>
      <c r="AC11" s="1"/>
      <c r="AD11" s="80" t="s">
        <v>3</v>
      </c>
      <c r="AE11" s="80"/>
      <c r="AF11" s="80"/>
      <c r="AG11" s="80"/>
      <c r="AH11" s="80"/>
      <c r="AI11" s="80"/>
      <c r="AJ11" s="1"/>
      <c r="AK11" s="1"/>
      <c r="AL11" s="1"/>
      <c r="AM11" s="1"/>
      <c r="AN11" s="1"/>
    </row>
    <row r="12" spans="1:40" ht="15" customHeight="1">
      <c r="A12" s="1"/>
      <c r="B12" s="1"/>
      <c r="C12" s="1"/>
      <c r="D12" s="1"/>
      <c r="E12" s="38"/>
      <c r="F12" s="80"/>
      <c r="G12" s="80"/>
      <c r="H12" s="80"/>
      <c r="I12" s="80"/>
      <c r="J12" s="80"/>
      <c r="K12" s="80"/>
      <c r="L12" s="1"/>
      <c r="M12" s="1"/>
      <c r="N12" s="79"/>
      <c r="O12" s="79"/>
      <c r="P12" s="79"/>
      <c r="Q12" s="79"/>
      <c r="R12" s="79"/>
      <c r="S12" s="79"/>
      <c r="T12" s="1"/>
      <c r="U12" s="1"/>
      <c r="V12" s="80"/>
      <c r="W12" s="80"/>
      <c r="X12" s="80"/>
      <c r="Y12" s="80"/>
      <c r="Z12" s="80"/>
      <c r="AA12" s="80"/>
      <c r="AB12" s="1"/>
      <c r="AC12" s="1"/>
      <c r="AD12" s="80"/>
      <c r="AE12" s="80"/>
      <c r="AF12" s="80"/>
      <c r="AG12" s="80"/>
      <c r="AH12" s="80"/>
      <c r="AI12" s="80"/>
      <c r="AJ12" s="1"/>
      <c r="AK12" s="1"/>
      <c r="AL12" s="1"/>
      <c r="AM12" s="1"/>
      <c r="AN12" s="1"/>
    </row>
    <row r="13" spans="1:40" ht="15" customHeight="1">
      <c r="A13" s="1"/>
      <c r="B13" s="1"/>
      <c r="C13" s="1"/>
      <c r="D13" s="1"/>
      <c r="E13" s="38"/>
      <c r="F13" s="80"/>
      <c r="G13" s="80"/>
      <c r="H13" s="80"/>
      <c r="I13" s="80"/>
      <c r="J13" s="80"/>
      <c r="K13" s="80"/>
      <c r="L13" s="1"/>
      <c r="M13" s="1"/>
      <c r="N13" s="79"/>
      <c r="O13" s="79"/>
      <c r="P13" s="79"/>
      <c r="Q13" s="79"/>
      <c r="R13" s="79"/>
      <c r="S13" s="79"/>
      <c r="T13" s="1"/>
      <c r="U13" s="1"/>
      <c r="V13" s="80"/>
      <c r="W13" s="80"/>
      <c r="X13" s="80"/>
      <c r="Y13" s="80"/>
      <c r="Z13" s="80"/>
      <c r="AA13" s="80"/>
      <c r="AB13" s="1"/>
      <c r="AC13" s="1"/>
      <c r="AD13" s="80"/>
      <c r="AE13" s="80"/>
      <c r="AF13" s="80"/>
      <c r="AG13" s="80"/>
      <c r="AH13" s="80"/>
      <c r="AI13" s="80"/>
      <c r="AJ13" s="1"/>
      <c r="AK13" s="1"/>
      <c r="AL13" s="1"/>
      <c r="AM13" s="1"/>
      <c r="AN13" s="1"/>
    </row>
    <row r="14" spans="1:4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</row>
  </sheetData>
  <mergeCells count="4">
    <mergeCell ref="N11:S13"/>
    <mergeCell ref="V11:AA13"/>
    <mergeCell ref="AD11:AI13"/>
    <mergeCell ref="F11:K13"/>
  </mergeCells>
  <hyperlinks>
    <hyperlink ref="N11:S13" location="'Vendedores'!A1" display="Vendedores" xr:uid="{EFD451B6-8393-4667-9771-9C9D224003DC}"/>
    <hyperlink ref="V11:AA13" location="Tb_Vendas" display="Vendas" xr:uid="{16964D33-8298-4B40-B7B2-EE8869072135}"/>
    <hyperlink ref="AD11:AI13" location="'Consultas'!A1" display="Consultas" xr:uid="{7D7C477E-1A94-417A-81C1-33F8442FEA80}"/>
    <hyperlink ref="F11:K13" location="'Produtos'!A1" display="Produtos" xr:uid="{0B9AAB95-19E8-41E6-8759-F2E46419E920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B31DF-8595-436E-9951-C38BA90C3E58}">
  <dimension ref="A3:D32"/>
  <sheetViews>
    <sheetView topLeftCell="A4" workbookViewId="0">
      <selection activeCell="F22" sqref="F22"/>
    </sheetView>
  </sheetViews>
  <sheetFormatPr defaultRowHeight="15"/>
  <cols>
    <col min="1" max="2" width="19.140625" bestFit="1" customWidth="1"/>
    <col min="3" max="3" width="16.140625" bestFit="1" customWidth="1"/>
    <col min="4" max="4" width="21.5703125" bestFit="1" customWidth="1"/>
    <col min="5" max="5" width="10.42578125" bestFit="1" customWidth="1"/>
    <col min="6" max="6" width="16" bestFit="1" customWidth="1"/>
    <col min="7" max="7" width="14.85546875" bestFit="1" customWidth="1"/>
    <col min="8" max="8" width="15.140625" bestFit="1" customWidth="1"/>
    <col min="9" max="9" width="16.28515625" bestFit="1" customWidth="1"/>
    <col min="10" max="10" width="11" bestFit="1" customWidth="1"/>
    <col min="11" max="11" width="12.5703125" bestFit="1" customWidth="1"/>
    <col min="12" max="12" width="12.85546875" bestFit="1" customWidth="1"/>
    <col min="13" max="13" width="11.140625" bestFit="1" customWidth="1"/>
    <col min="14" max="14" width="15.42578125" bestFit="1" customWidth="1"/>
    <col min="15" max="15" width="11.140625" bestFit="1" customWidth="1"/>
    <col min="16" max="16" width="12.7109375" bestFit="1" customWidth="1"/>
    <col min="17" max="17" width="17.5703125" bestFit="1" customWidth="1"/>
    <col min="18" max="18" width="19.7109375" bestFit="1" customWidth="1"/>
    <col min="19" max="19" width="13.28515625" bestFit="1" customWidth="1"/>
    <col min="20" max="20" width="13.7109375" bestFit="1" customWidth="1"/>
    <col min="21" max="21" width="17" bestFit="1" customWidth="1"/>
    <col min="22" max="22" width="13.28515625" bestFit="1" customWidth="1"/>
    <col min="23" max="23" width="16.140625" bestFit="1" customWidth="1"/>
    <col min="24" max="24" width="13" bestFit="1" customWidth="1"/>
    <col min="25" max="25" width="12.5703125" bestFit="1" customWidth="1"/>
    <col min="26" max="26" width="12.7109375" bestFit="1" customWidth="1"/>
    <col min="27" max="27" width="13" bestFit="1" customWidth="1"/>
    <col min="28" max="28" width="12.85546875" bestFit="1" customWidth="1"/>
    <col min="29" max="29" width="13.85546875" bestFit="1" customWidth="1"/>
    <col min="30" max="30" width="10.42578125" bestFit="1" customWidth="1"/>
  </cols>
  <sheetData>
    <row r="3" spans="1:4">
      <c r="A3" s="76" t="s">
        <v>4</v>
      </c>
      <c r="B3" s="76" t="s">
        <v>0</v>
      </c>
      <c r="C3" t="s">
        <v>5</v>
      </c>
      <c r="D3" t="s">
        <v>6</v>
      </c>
    </row>
    <row r="4" spans="1:4">
      <c r="A4" t="s">
        <v>7</v>
      </c>
      <c r="B4" t="s">
        <v>8</v>
      </c>
      <c r="C4" s="77">
        <v>36</v>
      </c>
      <c r="D4" s="78">
        <v>145</v>
      </c>
    </row>
    <row r="5" spans="1:4">
      <c r="B5" t="s">
        <v>9</v>
      </c>
      <c r="C5" s="77">
        <v>21</v>
      </c>
      <c r="D5" s="78">
        <v>259.89999999999998</v>
      </c>
    </row>
    <row r="6" spans="1:4">
      <c r="B6" t="s">
        <v>10</v>
      </c>
      <c r="C6" s="77">
        <v>23</v>
      </c>
      <c r="D6" s="78">
        <v>39.9</v>
      </c>
    </row>
    <row r="7" spans="1:4">
      <c r="B7" t="s">
        <v>11</v>
      </c>
      <c r="C7" s="77">
        <v>2</v>
      </c>
      <c r="D7" s="78">
        <v>49.9</v>
      </c>
    </row>
    <row r="8" spans="1:4">
      <c r="B8" t="s">
        <v>12</v>
      </c>
      <c r="C8" s="77">
        <v>32</v>
      </c>
      <c r="D8" s="78">
        <v>349.9</v>
      </c>
    </row>
    <row r="9" spans="1:4">
      <c r="B9" t="s">
        <v>13</v>
      </c>
      <c r="C9" s="77">
        <v>45</v>
      </c>
      <c r="D9" s="78">
        <v>120</v>
      </c>
    </row>
    <row r="10" spans="1:4">
      <c r="A10" t="s">
        <v>14</v>
      </c>
      <c r="C10" s="77">
        <v>159</v>
      </c>
      <c r="D10" s="78">
        <v>964.59999999999991</v>
      </c>
    </row>
    <row r="11" spans="1:4">
      <c r="A11" t="s">
        <v>15</v>
      </c>
      <c r="B11" t="s">
        <v>16</v>
      </c>
      <c r="C11" s="77">
        <v>131</v>
      </c>
      <c r="D11" s="78">
        <v>269.70000000000005</v>
      </c>
    </row>
    <row r="12" spans="1:4">
      <c r="B12" t="s">
        <v>17</v>
      </c>
      <c r="C12" s="77">
        <v>108</v>
      </c>
      <c r="D12" s="78">
        <v>764.8</v>
      </c>
    </row>
    <row r="13" spans="1:4">
      <c r="B13" t="s">
        <v>18</v>
      </c>
      <c r="C13" s="77">
        <v>111</v>
      </c>
      <c r="D13" s="78">
        <v>754.9</v>
      </c>
    </row>
    <row r="14" spans="1:4">
      <c r="A14" t="s">
        <v>19</v>
      </c>
      <c r="C14" s="77">
        <v>350</v>
      </c>
      <c r="D14" s="78">
        <v>1789.4</v>
      </c>
    </row>
    <row r="15" spans="1:4">
      <c r="A15" t="s">
        <v>20</v>
      </c>
      <c r="B15" t="s">
        <v>21</v>
      </c>
      <c r="C15" s="77">
        <v>85</v>
      </c>
      <c r="D15" s="78">
        <v>206.70000000000002</v>
      </c>
    </row>
    <row r="16" spans="1:4">
      <c r="B16" t="s">
        <v>22</v>
      </c>
      <c r="C16" s="77">
        <v>110</v>
      </c>
      <c r="D16" s="78">
        <v>540</v>
      </c>
    </row>
    <row r="17" spans="1:4">
      <c r="B17" t="s">
        <v>23</v>
      </c>
      <c r="C17" s="77">
        <v>106</v>
      </c>
      <c r="D17" s="78">
        <v>268.70000000000005</v>
      </c>
    </row>
    <row r="18" spans="1:4">
      <c r="B18" t="s">
        <v>24</v>
      </c>
      <c r="C18" s="77">
        <v>119</v>
      </c>
      <c r="D18" s="78">
        <v>140.69999999999999</v>
      </c>
    </row>
    <row r="19" spans="1:4">
      <c r="B19" t="s">
        <v>25</v>
      </c>
      <c r="C19" s="77">
        <v>80</v>
      </c>
      <c r="D19" s="78">
        <v>179.8</v>
      </c>
    </row>
    <row r="20" spans="1:4">
      <c r="B20" t="s">
        <v>26</v>
      </c>
      <c r="C20" s="77">
        <v>72</v>
      </c>
      <c r="D20" s="78">
        <v>122.3</v>
      </c>
    </row>
    <row r="21" spans="1:4">
      <c r="B21" t="s">
        <v>27</v>
      </c>
      <c r="C21" s="77">
        <v>43</v>
      </c>
      <c r="D21" s="78">
        <v>25.9</v>
      </c>
    </row>
    <row r="22" spans="1:4">
      <c r="B22" t="s">
        <v>28</v>
      </c>
      <c r="C22" s="77">
        <v>86</v>
      </c>
      <c r="D22" s="78">
        <v>62.8</v>
      </c>
    </row>
    <row r="23" spans="1:4">
      <c r="B23" t="s">
        <v>29</v>
      </c>
      <c r="C23" s="77">
        <v>130</v>
      </c>
      <c r="D23" s="78">
        <v>98.699999999999989</v>
      </c>
    </row>
    <row r="24" spans="1:4">
      <c r="B24" t="s">
        <v>30</v>
      </c>
      <c r="C24" s="77">
        <v>103</v>
      </c>
      <c r="D24" s="78">
        <v>902.8</v>
      </c>
    </row>
    <row r="25" spans="1:4">
      <c r="B25" t="s">
        <v>31</v>
      </c>
      <c r="C25" s="77">
        <v>70</v>
      </c>
      <c r="D25" s="78">
        <v>869.69999999999993</v>
      </c>
    </row>
    <row r="26" spans="1:4">
      <c r="B26" t="s">
        <v>32</v>
      </c>
      <c r="C26" s="77">
        <v>106</v>
      </c>
      <c r="D26" s="78">
        <v>809.69999999999993</v>
      </c>
    </row>
    <row r="27" spans="1:4">
      <c r="B27" t="s">
        <v>33</v>
      </c>
      <c r="C27" s="77">
        <v>93</v>
      </c>
      <c r="D27" s="78">
        <v>149.69999999999999</v>
      </c>
    </row>
    <row r="28" spans="1:4">
      <c r="B28" t="s">
        <v>34</v>
      </c>
      <c r="C28" s="77">
        <v>106</v>
      </c>
      <c r="D28" s="78">
        <v>274.8</v>
      </c>
    </row>
    <row r="29" spans="1:4">
      <c r="B29" t="s">
        <v>35</v>
      </c>
      <c r="C29" s="77">
        <v>133</v>
      </c>
      <c r="D29" s="78">
        <v>217.5</v>
      </c>
    </row>
    <row r="30" spans="1:4">
      <c r="B30" t="s">
        <v>36</v>
      </c>
      <c r="C30" s="77">
        <v>131</v>
      </c>
      <c r="D30" s="78">
        <v>428.9</v>
      </c>
    </row>
    <row r="31" spans="1:4">
      <c r="A31" t="s">
        <v>37</v>
      </c>
      <c r="C31" s="77">
        <v>1573</v>
      </c>
      <c r="D31" s="78">
        <v>5298.7</v>
      </c>
    </row>
    <row r="32" spans="1:4">
      <c r="A32" t="s">
        <v>38</v>
      </c>
      <c r="C32" s="77">
        <v>2082</v>
      </c>
      <c r="D32" s="78">
        <v>8052.6999999999989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8BBF3-38DB-4D09-A319-032FA4CC8428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5D081-8938-4DC7-A2C8-38EBCF180CE1}">
  <dimension ref="A1:I68"/>
  <sheetViews>
    <sheetView workbookViewId="0">
      <selection activeCell="F10" sqref="F10"/>
    </sheetView>
  </sheetViews>
  <sheetFormatPr defaultRowHeight="15"/>
  <cols>
    <col min="1" max="1" width="9.140625" style="7"/>
    <col min="2" max="2" width="22.42578125" style="7" customWidth="1"/>
    <col min="3" max="3" width="30.28515625" style="7" customWidth="1"/>
    <col min="4" max="4" width="17" style="7" customWidth="1"/>
    <col min="5" max="5" width="17.85546875" style="7" customWidth="1"/>
    <col min="6" max="6" width="14.85546875" style="7" customWidth="1"/>
    <col min="7" max="7" width="21.5703125" style="7" customWidth="1"/>
    <col min="8" max="8" width="11.42578125" style="7" customWidth="1"/>
    <col min="9" max="16384" width="9.140625" style="7"/>
  </cols>
  <sheetData>
    <row r="1" spans="1:9" ht="44.25" customHeight="1">
      <c r="A1" s="6" t="s">
        <v>39</v>
      </c>
      <c r="B1" s="1"/>
      <c r="C1" s="1"/>
      <c r="D1" s="42" t="s">
        <v>1</v>
      </c>
      <c r="E1" s="43" t="s">
        <v>2</v>
      </c>
      <c r="F1" s="43" t="s">
        <v>3</v>
      </c>
      <c r="G1" s="2"/>
      <c r="H1" s="39" t="s">
        <v>40</v>
      </c>
      <c r="I1" s="2"/>
    </row>
    <row r="2" spans="1:9" ht="6.75" customHeight="1"/>
    <row r="3" spans="1:9" ht="6.75" customHeight="1">
      <c r="A3" s="8"/>
      <c r="B3" s="8"/>
      <c r="C3" s="8"/>
      <c r="D3" s="8"/>
      <c r="E3" s="8"/>
      <c r="F3" s="8"/>
      <c r="G3" s="8"/>
      <c r="H3" s="8"/>
      <c r="I3" s="8"/>
    </row>
    <row r="4" spans="1:9">
      <c r="A4" s="8"/>
      <c r="B4" s="8"/>
      <c r="C4" s="8"/>
      <c r="D4" s="8"/>
      <c r="E4" s="8"/>
      <c r="F4" s="8"/>
      <c r="G4" s="8"/>
      <c r="H4" s="8"/>
      <c r="I4" s="8"/>
    </row>
    <row r="5" spans="1:9" ht="6" customHeight="1">
      <c r="A5" s="8"/>
      <c r="B5" s="8"/>
      <c r="C5" s="8"/>
      <c r="D5" s="8"/>
      <c r="E5" s="8"/>
      <c r="F5" s="8"/>
      <c r="G5" s="8"/>
      <c r="H5" s="8"/>
      <c r="I5" s="8"/>
    </row>
    <row r="6" spans="1:9" ht="18.75">
      <c r="A6" s="8"/>
      <c r="B6" s="9" t="s">
        <v>41</v>
      </c>
      <c r="C6" s="9" t="s">
        <v>0</v>
      </c>
      <c r="D6" s="9" t="s">
        <v>42</v>
      </c>
      <c r="E6" s="9" t="s">
        <v>4</v>
      </c>
      <c r="F6" s="9" t="s">
        <v>43</v>
      </c>
      <c r="G6" s="9" t="s">
        <v>44</v>
      </c>
      <c r="H6" s="8"/>
      <c r="I6" s="8"/>
    </row>
    <row r="7" spans="1:9">
      <c r="A7" s="8"/>
      <c r="B7" s="20" t="s">
        <v>45</v>
      </c>
      <c r="C7" s="19" t="s">
        <v>21</v>
      </c>
      <c r="D7" s="20" t="s">
        <v>46</v>
      </c>
      <c r="E7" s="20" t="s">
        <v>20</v>
      </c>
      <c r="F7" s="20">
        <v>48</v>
      </c>
      <c r="G7" s="34">
        <v>65.900000000000006</v>
      </c>
      <c r="H7" s="8"/>
      <c r="I7" s="8"/>
    </row>
    <row r="8" spans="1:9">
      <c r="A8" s="8"/>
      <c r="B8" s="20" t="s">
        <v>47</v>
      </c>
      <c r="C8" s="19" t="s">
        <v>21</v>
      </c>
      <c r="D8" s="20" t="s">
        <v>48</v>
      </c>
      <c r="E8" s="20" t="s">
        <v>20</v>
      </c>
      <c r="F8" s="20">
        <v>0</v>
      </c>
      <c r="G8" s="34">
        <v>69.900000000000006</v>
      </c>
      <c r="H8" s="8"/>
      <c r="I8" s="8"/>
    </row>
    <row r="9" spans="1:9">
      <c r="A9" s="8"/>
      <c r="B9" s="20" t="s">
        <v>49</v>
      </c>
      <c r="C9" s="19" t="s">
        <v>21</v>
      </c>
      <c r="D9" s="20" t="s">
        <v>50</v>
      </c>
      <c r="E9" s="20" t="s">
        <v>20</v>
      </c>
      <c r="F9" s="20">
        <v>37</v>
      </c>
      <c r="G9" s="34">
        <v>70.900000000000006</v>
      </c>
      <c r="H9" s="8"/>
      <c r="I9" s="8"/>
    </row>
    <row r="10" spans="1:9">
      <c r="A10" s="8"/>
      <c r="B10" s="20" t="s">
        <v>51</v>
      </c>
      <c r="C10" s="19" t="s">
        <v>8</v>
      </c>
      <c r="D10" s="20" t="s">
        <v>52</v>
      </c>
      <c r="E10" s="20" t="s">
        <v>7</v>
      </c>
      <c r="F10" s="20">
        <v>36</v>
      </c>
      <c r="G10" s="34">
        <v>145</v>
      </c>
      <c r="H10" s="8"/>
      <c r="I10" s="8"/>
    </row>
    <row r="11" spans="1:9">
      <c r="A11" s="8"/>
      <c r="B11" s="20" t="s">
        <v>53</v>
      </c>
      <c r="C11" s="19" t="s">
        <v>9</v>
      </c>
      <c r="D11" s="20" t="s">
        <v>52</v>
      </c>
      <c r="E11" s="20" t="s">
        <v>7</v>
      </c>
      <c r="F11" s="20">
        <v>21</v>
      </c>
      <c r="G11" s="34">
        <v>259.89999999999998</v>
      </c>
      <c r="H11" s="8"/>
      <c r="I11" s="8"/>
    </row>
    <row r="12" spans="1:9">
      <c r="A12" s="8"/>
      <c r="B12" s="20" t="s">
        <v>54</v>
      </c>
      <c r="C12" s="19" t="s">
        <v>10</v>
      </c>
      <c r="D12" s="20" t="s">
        <v>52</v>
      </c>
      <c r="E12" s="20" t="s">
        <v>7</v>
      </c>
      <c r="F12" s="20">
        <v>23</v>
      </c>
      <c r="G12" s="34">
        <v>39.9</v>
      </c>
      <c r="H12" s="8"/>
      <c r="I12" s="8"/>
    </row>
    <row r="13" spans="1:9">
      <c r="A13" s="8"/>
      <c r="B13" s="20" t="s">
        <v>55</v>
      </c>
      <c r="C13" s="19" t="s">
        <v>23</v>
      </c>
      <c r="D13" s="20" t="s">
        <v>46</v>
      </c>
      <c r="E13" s="20" t="s">
        <v>20</v>
      </c>
      <c r="F13" s="20">
        <v>24</v>
      </c>
      <c r="G13" s="34">
        <v>85.9</v>
      </c>
      <c r="H13" s="8"/>
      <c r="I13" s="8"/>
    </row>
    <row r="14" spans="1:9">
      <c r="A14" s="8"/>
      <c r="B14" s="20" t="s">
        <v>56</v>
      </c>
      <c r="C14" s="19" t="s">
        <v>23</v>
      </c>
      <c r="D14" s="20" t="s">
        <v>48</v>
      </c>
      <c r="E14" s="20" t="s">
        <v>20</v>
      </c>
      <c r="F14" s="20">
        <v>35</v>
      </c>
      <c r="G14" s="34">
        <v>89.9</v>
      </c>
      <c r="H14" s="8"/>
      <c r="I14" s="8"/>
    </row>
    <row r="15" spans="1:9">
      <c r="A15" s="8"/>
      <c r="B15" s="20" t="s">
        <v>57</v>
      </c>
      <c r="C15" s="19" t="s">
        <v>23</v>
      </c>
      <c r="D15" s="20" t="s">
        <v>50</v>
      </c>
      <c r="E15" s="20" t="s">
        <v>20</v>
      </c>
      <c r="F15" s="20">
        <v>47</v>
      </c>
      <c r="G15" s="34">
        <v>92.9</v>
      </c>
      <c r="H15" s="8"/>
      <c r="I15" s="8"/>
    </row>
    <row r="16" spans="1:9">
      <c r="A16" s="8"/>
      <c r="B16" s="20" t="s">
        <v>58</v>
      </c>
      <c r="C16" s="19" t="s">
        <v>24</v>
      </c>
      <c r="D16" s="20" t="s">
        <v>46</v>
      </c>
      <c r="E16" s="20" t="s">
        <v>20</v>
      </c>
      <c r="F16" s="20">
        <v>42</v>
      </c>
      <c r="G16" s="34">
        <v>44.9</v>
      </c>
      <c r="H16" s="8"/>
      <c r="I16" s="8"/>
    </row>
    <row r="17" spans="1:9">
      <c r="A17" s="8"/>
      <c r="B17" s="20" t="s">
        <v>59</v>
      </c>
      <c r="C17" s="19" t="s">
        <v>24</v>
      </c>
      <c r="D17" s="20" t="s">
        <v>48</v>
      </c>
      <c r="E17" s="20" t="s">
        <v>20</v>
      </c>
      <c r="F17" s="20">
        <v>32</v>
      </c>
      <c r="G17" s="34">
        <v>46.9</v>
      </c>
      <c r="H17" s="8"/>
      <c r="I17" s="8"/>
    </row>
    <row r="18" spans="1:9">
      <c r="A18" s="8"/>
      <c r="B18" s="20" t="s">
        <v>60</v>
      </c>
      <c r="C18" s="19" t="s">
        <v>24</v>
      </c>
      <c r="D18" s="20" t="s">
        <v>50</v>
      </c>
      <c r="E18" s="20" t="s">
        <v>20</v>
      </c>
      <c r="F18" s="20">
        <v>45</v>
      </c>
      <c r="G18" s="34">
        <v>48.9</v>
      </c>
      <c r="H18" s="8"/>
      <c r="I18" s="8"/>
    </row>
    <row r="19" spans="1:9">
      <c r="A19" s="8"/>
      <c r="B19" s="20" t="s">
        <v>61</v>
      </c>
      <c r="C19" s="19" t="s">
        <v>26</v>
      </c>
      <c r="D19" s="20" t="s">
        <v>46</v>
      </c>
      <c r="E19" s="20" t="s">
        <v>20</v>
      </c>
      <c r="F19" s="20">
        <v>19</v>
      </c>
      <c r="G19" s="34">
        <v>39.9</v>
      </c>
      <c r="H19" s="8"/>
      <c r="I19" s="8"/>
    </row>
    <row r="20" spans="1:9">
      <c r="A20" s="8"/>
      <c r="B20" s="20" t="s">
        <v>62</v>
      </c>
      <c r="C20" s="19" t="s">
        <v>26</v>
      </c>
      <c r="D20" s="20" t="s">
        <v>48</v>
      </c>
      <c r="E20" s="20" t="s">
        <v>20</v>
      </c>
      <c r="F20" s="20">
        <v>37</v>
      </c>
      <c r="G20" s="34">
        <v>39.9</v>
      </c>
      <c r="H20" s="8"/>
      <c r="I20" s="8"/>
    </row>
    <row r="21" spans="1:9">
      <c r="A21" s="8"/>
      <c r="B21" s="20" t="s">
        <v>63</v>
      </c>
      <c r="C21" s="19" t="s">
        <v>26</v>
      </c>
      <c r="D21" s="20" t="s">
        <v>50</v>
      </c>
      <c r="E21" s="20" t="s">
        <v>20</v>
      </c>
      <c r="F21" s="20">
        <v>16</v>
      </c>
      <c r="G21" s="34">
        <v>42.5</v>
      </c>
      <c r="H21" s="8"/>
      <c r="I21" s="8"/>
    </row>
    <row r="22" spans="1:9">
      <c r="A22" s="8"/>
      <c r="B22" s="20" t="s">
        <v>64</v>
      </c>
      <c r="C22" s="19" t="s">
        <v>27</v>
      </c>
      <c r="D22" s="20" t="s">
        <v>46</v>
      </c>
      <c r="E22" s="20" t="s">
        <v>20</v>
      </c>
      <c r="F22" s="20">
        <v>43</v>
      </c>
      <c r="G22" s="34">
        <v>25.9</v>
      </c>
      <c r="H22" s="8"/>
      <c r="I22" s="8"/>
    </row>
    <row r="23" spans="1:9">
      <c r="A23" s="8"/>
      <c r="B23" s="20" t="s">
        <v>65</v>
      </c>
      <c r="C23" s="19" t="s">
        <v>28</v>
      </c>
      <c r="D23" s="20" t="s">
        <v>48</v>
      </c>
      <c r="E23" s="20" t="s">
        <v>20</v>
      </c>
      <c r="F23" s="20">
        <v>46</v>
      </c>
      <c r="G23" s="34">
        <v>29.9</v>
      </c>
      <c r="H23" s="8"/>
      <c r="I23" s="8"/>
    </row>
    <row r="24" spans="1:9">
      <c r="A24" s="8"/>
      <c r="B24" s="20" t="s">
        <v>66</v>
      </c>
      <c r="C24" s="19" t="s">
        <v>28</v>
      </c>
      <c r="D24" s="20" t="s">
        <v>50</v>
      </c>
      <c r="E24" s="20" t="s">
        <v>20</v>
      </c>
      <c r="F24" s="20">
        <v>40</v>
      </c>
      <c r="G24" s="34">
        <v>32.9</v>
      </c>
      <c r="H24" s="8"/>
      <c r="I24" s="8"/>
    </row>
    <row r="25" spans="1:9">
      <c r="A25" s="8"/>
      <c r="B25" s="20" t="s">
        <v>67</v>
      </c>
      <c r="C25" s="19" t="s">
        <v>11</v>
      </c>
      <c r="D25" s="20" t="s">
        <v>52</v>
      </c>
      <c r="E25" s="20" t="s">
        <v>7</v>
      </c>
      <c r="F25" s="20">
        <v>2</v>
      </c>
      <c r="G25" s="34">
        <v>49.9</v>
      </c>
      <c r="H25" s="8"/>
      <c r="I25" s="8"/>
    </row>
    <row r="26" spans="1:9">
      <c r="A26" s="8"/>
      <c r="B26" s="20" t="s">
        <v>68</v>
      </c>
      <c r="C26" s="19" t="s">
        <v>30</v>
      </c>
      <c r="D26" s="20" t="s">
        <v>46</v>
      </c>
      <c r="E26" s="20" t="s">
        <v>20</v>
      </c>
      <c r="F26" s="20">
        <v>34</v>
      </c>
      <c r="G26" s="34">
        <v>299.89999999999998</v>
      </c>
      <c r="H26" s="8"/>
      <c r="I26" s="8"/>
    </row>
    <row r="27" spans="1:9">
      <c r="A27" s="8"/>
      <c r="B27" s="20" t="s">
        <v>69</v>
      </c>
      <c r="C27" s="19" t="s">
        <v>30</v>
      </c>
      <c r="D27" s="20" t="s">
        <v>48</v>
      </c>
      <c r="E27" s="20" t="s">
        <v>20</v>
      </c>
      <c r="F27" s="20">
        <v>34</v>
      </c>
      <c r="G27" s="34">
        <v>302.89999999999998</v>
      </c>
      <c r="H27" s="8"/>
      <c r="I27" s="8"/>
    </row>
    <row r="28" spans="1:9">
      <c r="A28" s="8"/>
      <c r="B28" s="20" t="s">
        <v>70</v>
      </c>
      <c r="C28" s="19" t="s">
        <v>30</v>
      </c>
      <c r="D28" s="20" t="s">
        <v>50</v>
      </c>
      <c r="E28" s="20" t="s">
        <v>20</v>
      </c>
      <c r="F28" s="20">
        <v>35</v>
      </c>
      <c r="G28" s="34">
        <v>300</v>
      </c>
      <c r="H28" s="8"/>
      <c r="I28" s="8"/>
    </row>
    <row r="29" spans="1:9">
      <c r="A29" s="8"/>
      <c r="B29" s="20" t="s">
        <v>71</v>
      </c>
      <c r="C29" s="19" t="s">
        <v>32</v>
      </c>
      <c r="D29" s="20" t="s">
        <v>46</v>
      </c>
      <c r="E29" s="20" t="s">
        <v>20</v>
      </c>
      <c r="F29" s="20">
        <v>49</v>
      </c>
      <c r="G29" s="34">
        <v>249.9</v>
      </c>
      <c r="H29" s="8"/>
      <c r="I29" s="8"/>
    </row>
    <row r="30" spans="1:9">
      <c r="A30" s="8"/>
      <c r="B30" s="20" t="s">
        <v>72</v>
      </c>
      <c r="C30" s="19" t="s">
        <v>32</v>
      </c>
      <c r="D30" s="20" t="s">
        <v>48</v>
      </c>
      <c r="E30" s="20" t="s">
        <v>20</v>
      </c>
      <c r="F30" s="20">
        <v>16</v>
      </c>
      <c r="G30" s="34">
        <v>259.89999999999998</v>
      </c>
      <c r="H30" s="8"/>
      <c r="I30" s="8"/>
    </row>
    <row r="31" spans="1:9">
      <c r="A31" s="8"/>
      <c r="B31" s="20" t="s">
        <v>73</v>
      </c>
      <c r="C31" s="19" t="s">
        <v>32</v>
      </c>
      <c r="D31" s="20" t="s">
        <v>50</v>
      </c>
      <c r="E31" s="20" t="s">
        <v>20</v>
      </c>
      <c r="F31" s="20">
        <v>41</v>
      </c>
      <c r="G31" s="34">
        <v>299.89999999999998</v>
      </c>
      <c r="H31" s="8"/>
      <c r="I31" s="8"/>
    </row>
    <row r="32" spans="1:9">
      <c r="A32" s="8"/>
      <c r="B32" s="20" t="s">
        <v>74</v>
      </c>
      <c r="C32" s="19" t="s">
        <v>12</v>
      </c>
      <c r="D32" s="20" t="s">
        <v>52</v>
      </c>
      <c r="E32" s="20" t="s">
        <v>7</v>
      </c>
      <c r="F32" s="20">
        <v>32</v>
      </c>
      <c r="G32" s="34">
        <v>349.9</v>
      </c>
      <c r="H32" s="8"/>
      <c r="I32" s="8"/>
    </row>
    <row r="33" spans="1:9">
      <c r="A33" s="8"/>
      <c r="B33" s="20" t="s">
        <v>75</v>
      </c>
      <c r="C33" s="19" t="s">
        <v>13</v>
      </c>
      <c r="D33" s="20" t="s">
        <v>52</v>
      </c>
      <c r="E33" s="20" t="s">
        <v>7</v>
      </c>
      <c r="F33" s="20">
        <v>45</v>
      </c>
      <c r="G33" s="34">
        <v>120</v>
      </c>
      <c r="H33" s="8"/>
      <c r="I33" s="8"/>
    </row>
    <row r="34" spans="1:9">
      <c r="A34" s="8"/>
      <c r="B34" s="20" t="s">
        <v>76</v>
      </c>
      <c r="C34" s="19" t="s">
        <v>17</v>
      </c>
      <c r="D34" s="20">
        <v>36</v>
      </c>
      <c r="E34" s="20" t="s">
        <v>15</v>
      </c>
      <c r="F34" s="20">
        <v>37</v>
      </c>
      <c r="G34" s="34">
        <v>249.9</v>
      </c>
      <c r="H34" s="8"/>
      <c r="I34" s="8"/>
    </row>
    <row r="35" spans="1:9">
      <c r="A35" s="8"/>
      <c r="B35" s="20" t="s">
        <v>77</v>
      </c>
      <c r="C35" s="19" t="s">
        <v>17</v>
      </c>
      <c r="D35" s="20">
        <v>37</v>
      </c>
      <c r="E35" s="20" t="s">
        <v>15</v>
      </c>
      <c r="F35" s="20">
        <v>41</v>
      </c>
      <c r="G35" s="34">
        <v>255</v>
      </c>
      <c r="H35" s="8"/>
      <c r="I35" s="8"/>
    </row>
    <row r="36" spans="1:9">
      <c r="A36" s="8"/>
      <c r="B36" s="20" t="s">
        <v>78</v>
      </c>
      <c r="C36" s="19" t="s">
        <v>17</v>
      </c>
      <c r="D36" s="20">
        <v>38</v>
      </c>
      <c r="E36" s="20" t="s">
        <v>15</v>
      </c>
      <c r="F36" s="20">
        <v>30</v>
      </c>
      <c r="G36" s="34">
        <v>259.89999999999998</v>
      </c>
      <c r="H36" s="8"/>
      <c r="I36" s="8"/>
    </row>
    <row r="37" spans="1:9">
      <c r="A37" s="8"/>
      <c r="B37" s="20" t="s">
        <v>79</v>
      </c>
      <c r="C37" s="19" t="s">
        <v>18</v>
      </c>
      <c r="D37" s="20">
        <v>36</v>
      </c>
      <c r="E37" s="20" t="s">
        <v>15</v>
      </c>
      <c r="F37" s="20">
        <v>27</v>
      </c>
      <c r="G37" s="34">
        <v>245</v>
      </c>
      <c r="H37" s="8"/>
      <c r="I37" s="8"/>
    </row>
    <row r="38" spans="1:9">
      <c r="A38" s="8"/>
      <c r="B38" s="20" t="s">
        <v>80</v>
      </c>
      <c r="C38" s="19" t="s">
        <v>18</v>
      </c>
      <c r="D38" s="20">
        <v>37</v>
      </c>
      <c r="E38" s="20" t="s">
        <v>15</v>
      </c>
      <c r="F38" s="20">
        <v>41</v>
      </c>
      <c r="G38" s="34">
        <v>250</v>
      </c>
      <c r="H38" s="8"/>
      <c r="I38" s="8"/>
    </row>
    <row r="39" spans="1:9">
      <c r="A39" s="8"/>
      <c r="B39" s="20" t="s">
        <v>81</v>
      </c>
      <c r="C39" s="19" t="s">
        <v>18</v>
      </c>
      <c r="D39" s="20">
        <v>38</v>
      </c>
      <c r="E39" s="20" t="s">
        <v>15</v>
      </c>
      <c r="F39" s="20">
        <v>43</v>
      </c>
      <c r="G39" s="34">
        <v>259.89999999999998</v>
      </c>
      <c r="H39" s="8"/>
      <c r="I39" s="8"/>
    </row>
    <row r="40" spans="1:9">
      <c r="A40" s="8"/>
      <c r="B40" s="20" t="s">
        <v>82</v>
      </c>
      <c r="C40" s="19" t="s">
        <v>34</v>
      </c>
      <c r="D40" s="20" t="s">
        <v>46</v>
      </c>
      <c r="E40" s="20" t="s">
        <v>20</v>
      </c>
      <c r="F40" s="20">
        <v>43</v>
      </c>
      <c r="G40" s="34">
        <v>89.9</v>
      </c>
      <c r="H40" s="8"/>
      <c r="I40" s="8"/>
    </row>
    <row r="41" spans="1:9">
      <c r="A41" s="8"/>
      <c r="B41" s="20" t="s">
        <v>83</v>
      </c>
      <c r="C41" s="19" t="s">
        <v>34</v>
      </c>
      <c r="D41" s="20" t="s">
        <v>48</v>
      </c>
      <c r="E41" s="20" t="s">
        <v>20</v>
      </c>
      <c r="F41" s="20">
        <v>18</v>
      </c>
      <c r="G41" s="34">
        <v>91.4</v>
      </c>
      <c r="H41" s="8"/>
      <c r="I41" s="8"/>
    </row>
    <row r="42" spans="1:9">
      <c r="A42" s="8"/>
      <c r="B42" s="20" t="s">
        <v>84</v>
      </c>
      <c r="C42" s="19" t="s">
        <v>34</v>
      </c>
      <c r="D42" s="20" t="s">
        <v>50</v>
      </c>
      <c r="E42" s="20" t="s">
        <v>20</v>
      </c>
      <c r="F42" s="20">
        <v>45</v>
      </c>
      <c r="G42" s="34">
        <v>93.5</v>
      </c>
      <c r="H42" s="8"/>
      <c r="I42" s="8"/>
    </row>
    <row r="43" spans="1:9">
      <c r="A43" s="8"/>
      <c r="B43" s="20" t="s">
        <v>85</v>
      </c>
      <c r="C43" s="19" t="s">
        <v>36</v>
      </c>
      <c r="D43" s="20" t="s">
        <v>46</v>
      </c>
      <c r="E43" s="20" t="s">
        <v>20</v>
      </c>
      <c r="F43" s="20">
        <v>34</v>
      </c>
      <c r="G43" s="34">
        <v>140</v>
      </c>
      <c r="H43" s="8"/>
      <c r="I43" s="8"/>
    </row>
    <row r="44" spans="1:9">
      <c r="A44" s="8"/>
      <c r="B44" s="20" t="s">
        <v>86</v>
      </c>
      <c r="C44" s="19" t="s">
        <v>36</v>
      </c>
      <c r="D44" s="20" t="s">
        <v>48</v>
      </c>
      <c r="E44" s="20" t="s">
        <v>20</v>
      </c>
      <c r="F44" s="20">
        <v>47</v>
      </c>
      <c r="G44" s="34">
        <v>142.9</v>
      </c>
      <c r="H44" s="8"/>
      <c r="I44" s="8"/>
    </row>
    <row r="45" spans="1:9">
      <c r="A45" s="8"/>
      <c r="B45" s="20" t="s">
        <v>87</v>
      </c>
      <c r="C45" s="19" t="s">
        <v>36</v>
      </c>
      <c r="D45" s="20" t="s">
        <v>50</v>
      </c>
      <c r="E45" s="20" t="s">
        <v>20</v>
      </c>
      <c r="F45" s="20">
        <v>50</v>
      </c>
      <c r="G45" s="34">
        <v>146</v>
      </c>
      <c r="H45" s="8"/>
      <c r="I45" s="8"/>
    </row>
    <row r="46" spans="1:9">
      <c r="A46" s="8"/>
      <c r="B46" s="20" t="s">
        <v>88</v>
      </c>
      <c r="C46" s="19" t="s">
        <v>25</v>
      </c>
      <c r="D46" s="20" t="s">
        <v>46</v>
      </c>
      <c r="E46" s="20" t="s">
        <v>20</v>
      </c>
      <c r="F46" s="20">
        <v>16</v>
      </c>
      <c r="G46" s="34">
        <v>70</v>
      </c>
      <c r="H46" s="8"/>
      <c r="I46" s="8"/>
    </row>
    <row r="47" spans="1:9">
      <c r="A47" s="8"/>
      <c r="B47" s="20" t="s">
        <v>89</v>
      </c>
      <c r="C47" s="19" t="s">
        <v>25</v>
      </c>
      <c r="D47" s="20" t="s">
        <v>48</v>
      </c>
      <c r="E47" s="20" t="s">
        <v>20</v>
      </c>
      <c r="F47" s="20">
        <v>21</v>
      </c>
      <c r="G47" s="34">
        <v>54.9</v>
      </c>
      <c r="H47" s="8"/>
      <c r="I47" s="8"/>
    </row>
    <row r="48" spans="1:9">
      <c r="A48" s="8"/>
      <c r="B48" s="20" t="s">
        <v>90</v>
      </c>
      <c r="C48" s="19" t="s">
        <v>25</v>
      </c>
      <c r="D48" s="20" t="s">
        <v>50</v>
      </c>
      <c r="E48" s="20" t="s">
        <v>20</v>
      </c>
      <c r="F48" s="20">
        <v>43</v>
      </c>
      <c r="G48" s="34">
        <v>54.9</v>
      </c>
      <c r="H48" s="8"/>
      <c r="I48" s="8"/>
    </row>
    <row r="49" spans="1:9">
      <c r="A49" s="8"/>
      <c r="B49" s="20" t="s">
        <v>91</v>
      </c>
      <c r="C49" s="19" t="s">
        <v>35</v>
      </c>
      <c r="D49" s="20" t="s">
        <v>46</v>
      </c>
      <c r="E49" s="20" t="s">
        <v>20</v>
      </c>
      <c r="F49" s="20">
        <v>43</v>
      </c>
      <c r="G49" s="34">
        <v>72.5</v>
      </c>
      <c r="H49" s="8"/>
      <c r="I49" s="8"/>
    </row>
    <row r="50" spans="1:9">
      <c r="A50" s="8"/>
      <c r="B50" s="20" t="s">
        <v>92</v>
      </c>
      <c r="C50" s="19" t="s">
        <v>35</v>
      </c>
      <c r="D50" s="20" t="s">
        <v>48</v>
      </c>
      <c r="E50" s="20" t="s">
        <v>20</v>
      </c>
      <c r="F50" s="20">
        <v>41</v>
      </c>
      <c r="G50" s="34">
        <v>72.5</v>
      </c>
      <c r="H50" s="8"/>
      <c r="I50" s="8"/>
    </row>
    <row r="51" spans="1:9">
      <c r="A51" s="8"/>
      <c r="B51" s="20" t="s">
        <v>93</v>
      </c>
      <c r="C51" s="19" t="s">
        <v>35</v>
      </c>
      <c r="D51" s="20" t="s">
        <v>50</v>
      </c>
      <c r="E51" s="20" t="s">
        <v>20</v>
      </c>
      <c r="F51" s="20">
        <v>49</v>
      </c>
      <c r="G51" s="34">
        <v>72.5</v>
      </c>
      <c r="H51" s="8"/>
      <c r="I51" s="8"/>
    </row>
    <row r="52" spans="1:9">
      <c r="A52" s="8"/>
      <c r="B52" s="20" t="s">
        <v>94</v>
      </c>
      <c r="C52" s="19" t="s">
        <v>31</v>
      </c>
      <c r="D52" s="20" t="s">
        <v>46</v>
      </c>
      <c r="E52" s="20" t="s">
        <v>20</v>
      </c>
      <c r="F52" s="20">
        <v>15</v>
      </c>
      <c r="G52" s="34">
        <v>289.89999999999998</v>
      </c>
      <c r="H52" s="8"/>
      <c r="I52" s="8"/>
    </row>
    <row r="53" spans="1:9">
      <c r="A53" s="8"/>
      <c r="B53" s="20" t="s">
        <v>95</v>
      </c>
      <c r="C53" s="19" t="s">
        <v>31</v>
      </c>
      <c r="D53" s="20" t="s">
        <v>48</v>
      </c>
      <c r="E53" s="20" t="s">
        <v>20</v>
      </c>
      <c r="F53" s="20">
        <v>34</v>
      </c>
      <c r="G53" s="34">
        <v>289.89999999999998</v>
      </c>
      <c r="H53" s="8"/>
      <c r="I53" s="8"/>
    </row>
    <row r="54" spans="1:9">
      <c r="A54" s="8"/>
      <c r="B54" s="20" t="s">
        <v>96</v>
      </c>
      <c r="C54" s="19" t="s">
        <v>31</v>
      </c>
      <c r="D54" s="20" t="s">
        <v>50</v>
      </c>
      <c r="E54" s="20" t="s">
        <v>20</v>
      </c>
      <c r="F54" s="20">
        <v>21</v>
      </c>
      <c r="G54" s="34">
        <v>289.89999999999998</v>
      </c>
      <c r="H54" s="8"/>
      <c r="I54" s="8"/>
    </row>
    <row r="55" spans="1:9">
      <c r="A55" s="8"/>
      <c r="B55" s="20" t="s">
        <v>97</v>
      </c>
      <c r="C55" s="19" t="s">
        <v>29</v>
      </c>
      <c r="D55" s="20" t="s">
        <v>46</v>
      </c>
      <c r="E55" s="20" t="s">
        <v>20</v>
      </c>
      <c r="F55" s="20">
        <v>40</v>
      </c>
      <c r="G55" s="34">
        <v>32.9</v>
      </c>
      <c r="H55" s="8"/>
      <c r="I55" s="8"/>
    </row>
    <row r="56" spans="1:9">
      <c r="A56" s="8"/>
      <c r="B56" s="20" t="s">
        <v>98</v>
      </c>
      <c r="C56" s="19" t="s">
        <v>29</v>
      </c>
      <c r="D56" s="20" t="s">
        <v>48</v>
      </c>
      <c r="E56" s="20" t="s">
        <v>20</v>
      </c>
      <c r="F56" s="20">
        <v>42</v>
      </c>
      <c r="G56" s="34">
        <v>32.9</v>
      </c>
      <c r="H56" s="8"/>
      <c r="I56" s="8"/>
    </row>
    <row r="57" spans="1:9">
      <c r="A57" s="8"/>
      <c r="B57" s="20" t="s">
        <v>99</v>
      </c>
      <c r="C57" s="19" t="s">
        <v>29</v>
      </c>
      <c r="D57" s="20" t="s">
        <v>50</v>
      </c>
      <c r="E57" s="20" t="s">
        <v>20</v>
      </c>
      <c r="F57" s="20">
        <v>48</v>
      </c>
      <c r="G57" s="34">
        <v>32.9</v>
      </c>
      <c r="H57" s="8"/>
      <c r="I57" s="8"/>
    </row>
    <row r="58" spans="1:9">
      <c r="A58" s="8"/>
      <c r="B58" s="20" t="s">
        <v>100</v>
      </c>
      <c r="C58" s="19" t="s">
        <v>33</v>
      </c>
      <c r="D58" s="20" t="s">
        <v>46</v>
      </c>
      <c r="E58" s="20" t="s">
        <v>20</v>
      </c>
      <c r="F58" s="20">
        <v>35</v>
      </c>
      <c r="G58" s="34">
        <v>49.9</v>
      </c>
      <c r="H58" s="8"/>
      <c r="I58" s="8"/>
    </row>
    <row r="59" spans="1:9">
      <c r="A59" s="8"/>
      <c r="B59" s="20" t="s">
        <v>101</v>
      </c>
      <c r="C59" s="19" t="s">
        <v>33</v>
      </c>
      <c r="D59" s="20" t="s">
        <v>48</v>
      </c>
      <c r="E59" s="20" t="s">
        <v>20</v>
      </c>
      <c r="F59" s="20">
        <v>40</v>
      </c>
      <c r="G59" s="34">
        <v>49.9</v>
      </c>
      <c r="H59" s="8"/>
      <c r="I59" s="8"/>
    </row>
    <row r="60" spans="1:9">
      <c r="A60" s="8"/>
      <c r="B60" s="20" t="s">
        <v>102</v>
      </c>
      <c r="C60" s="19" t="s">
        <v>33</v>
      </c>
      <c r="D60" s="20" t="s">
        <v>50</v>
      </c>
      <c r="E60" s="20" t="s">
        <v>20</v>
      </c>
      <c r="F60" s="20">
        <v>18</v>
      </c>
      <c r="G60" s="34">
        <v>49.9</v>
      </c>
      <c r="H60" s="8"/>
      <c r="I60" s="8"/>
    </row>
    <row r="61" spans="1:9">
      <c r="A61" s="8"/>
      <c r="B61" s="20" t="s">
        <v>103</v>
      </c>
      <c r="C61" s="19" t="s">
        <v>16</v>
      </c>
      <c r="D61" s="20">
        <v>35</v>
      </c>
      <c r="E61" s="20" t="s">
        <v>15</v>
      </c>
      <c r="F61" s="20">
        <v>48</v>
      </c>
      <c r="G61" s="34">
        <v>89.9</v>
      </c>
      <c r="H61" s="8"/>
      <c r="I61" s="8"/>
    </row>
    <row r="62" spans="1:9">
      <c r="A62" s="8"/>
      <c r="B62" s="20" t="s">
        <v>104</v>
      </c>
      <c r="C62" s="19" t="s">
        <v>16</v>
      </c>
      <c r="D62" s="20">
        <v>36</v>
      </c>
      <c r="E62" s="20" t="s">
        <v>15</v>
      </c>
      <c r="F62" s="20">
        <v>38</v>
      </c>
      <c r="G62" s="34">
        <v>89.9</v>
      </c>
      <c r="H62" s="8"/>
      <c r="I62" s="8"/>
    </row>
    <row r="63" spans="1:9">
      <c r="A63" s="8"/>
      <c r="B63" s="20" t="s">
        <v>105</v>
      </c>
      <c r="C63" s="19" t="s">
        <v>16</v>
      </c>
      <c r="D63" s="20">
        <v>37</v>
      </c>
      <c r="E63" s="20" t="s">
        <v>15</v>
      </c>
      <c r="F63" s="20">
        <v>45</v>
      </c>
      <c r="G63" s="34">
        <v>89.9</v>
      </c>
      <c r="H63" s="8"/>
      <c r="I63" s="8"/>
    </row>
    <row r="64" spans="1:9">
      <c r="A64" s="8"/>
      <c r="B64" s="20" t="s">
        <v>106</v>
      </c>
      <c r="C64" s="19" t="s">
        <v>22</v>
      </c>
      <c r="D64" s="20" t="s">
        <v>46</v>
      </c>
      <c r="E64" s="20" t="s">
        <v>20</v>
      </c>
      <c r="F64" s="20">
        <v>40</v>
      </c>
      <c r="G64" s="34">
        <v>180</v>
      </c>
      <c r="H64" s="8"/>
      <c r="I64" s="8"/>
    </row>
    <row r="65" spans="1:9">
      <c r="A65" s="8"/>
      <c r="B65" s="20" t="s">
        <v>107</v>
      </c>
      <c r="C65" s="19" t="s">
        <v>22</v>
      </c>
      <c r="D65" s="20" t="s">
        <v>48</v>
      </c>
      <c r="E65" s="20" t="s">
        <v>20</v>
      </c>
      <c r="F65" s="20">
        <v>35</v>
      </c>
      <c r="G65" s="34">
        <v>180</v>
      </c>
      <c r="H65" s="8"/>
      <c r="I65" s="8"/>
    </row>
    <row r="66" spans="1:9">
      <c r="A66" s="8"/>
      <c r="B66" s="20" t="s">
        <v>108</v>
      </c>
      <c r="C66" s="19" t="s">
        <v>22</v>
      </c>
      <c r="D66" s="20" t="s">
        <v>50</v>
      </c>
      <c r="E66" s="20" t="s">
        <v>20</v>
      </c>
      <c r="F66" s="20">
        <v>35</v>
      </c>
      <c r="G66" s="34">
        <v>180</v>
      </c>
      <c r="H66" s="8"/>
      <c r="I66" s="8"/>
    </row>
    <row r="67" spans="1:9">
      <c r="A67" s="8"/>
      <c r="B67" s="8"/>
      <c r="C67" s="8"/>
      <c r="D67" s="8"/>
      <c r="E67" s="8"/>
      <c r="F67" s="8"/>
      <c r="G67" s="8"/>
      <c r="H67" s="8"/>
      <c r="I67" s="8"/>
    </row>
    <row r="68" spans="1:9">
      <c r="A68" s="8"/>
      <c r="B68" s="8"/>
      <c r="C68" s="8"/>
      <c r="D68" s="8"/>
      <c r="E68" s="8"/>
      <c r="F68" s="8"/>
      <c r="G68" s="8"/>
      <c r="H68" s="8"/>
      <c r="I68" s="8"/>
    </row>
  </sheetData>
  <hyperlinks>
    <hyperlink ref="H1" location="'Menu'!A1" display="Voltar" xr:uid="{BFCCE8BA-AD2E-49DB-A8C5-DF2D403E4897}"/>
    <hyperlink ref="D1" location="'Vendedores'!A1" display="Vendedores" xr:uid="{9194B386-4C8A-4C3A-9328-86B61A24E25E}"/>
    <hyperlink ref="E1" location="TB_Vendas" display="Vendas" xr:uid="{ACB0BA07-BF15-4DC4-9EBD-ADB30E97BBF9}"/>
    <hyperlink ref="F1" location="'Consultas'!A1" display="Consultas" xr:uid="{68A8896E-30C5-4AA9-B51E-8681CF9CF303}"/>
  </hyperlinks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745D8-AF24-4576-AF83-24802E70EDC3}">
  <dimension ref="A1:G9"/>
  <sheetViews>
    <sheetView workbookViewId="0">
      <selection activeCell="G1" sqref="G1"/>
    </sheetView>
  </sheetViews>
  <sheetFormatPr defaultRowHeight="15"/>
  <cols>
    <col min="1" max="1" width="18.28515625" customWidth="1"/>
    <col min="2" max="2" width="17.140625" customWidth="1"/>
    <col min="3" max="3" width="17.5703125" customWidth="1"/>
    <col min="4" max="4" width="20.42578125" customWidth="1"/>
    <col min="5" max="5" width="17" customWidth="1"/>
  </cols>
  <sheetData>
    <row r="1" spans="1:7" s="1" customFormat="1" ht="43.5" customHeight="1">
      <c r="A1" s="6" t="s">
        <v>1</v>
      </c>
      <c r="C1" s="36" t="s">
        <v>0</v>
      </c>
      <c r="D1" s="36" t="s">
        <v>2</v>
      </c>
      <c r="E1" s="36" t="s">
        <v>3</v>
      </c>
      <c r="F1" s="36"/>
      <c r="G1" s="39" t="s">
        <v>40</v>
      </c>
    </row>
    <row r="2" spans="1:7" s="7" customFormat="1" ht="6.75" customHeight="1"/>
    <row r="3" spans="1:7" ht="7.5" customHeight="1"/>
    <row r="4" spans="1:7" ht="21.75">
      <c r="A4" s="14" t="s">
        <v>41</v>
      </c>
      <c r="B4" s="10" t="s">
        <v>109</v>
      </c>
      <c r="C4" s="10" t="s">
        <v>110</v>
      </c>
      <c r="D4" s="11" t="s">
        <v>111</v>
      </c>
    </row>
    <row r="5" spans="1:7" ht="18.75">
      <c r="A5" s="12" t="s">
        <v>112</v>
      </c>
      <c r="B5" s="15" t="s">
        <v>113</v>
      </c>
      <c r="C5" s="15" t="s">
        <v>114</v>
      </c>
      <c r="D5" s="16">
        <v>0.2</v>
      </c>
    </row>
    <row r="6" spans="1:7" ht="18.75">
      <c r="A6" s="12" t="s">
        <v>115</v>
      </c>
      <c r="B6" s="15" t="s">
        <v>116</v>
      </c>
      <c r="C6" s="15" t="s">
        <v>117</v>
      </c>
      <c r="D6" s="16">
        <v>0.25</v>
      </c>
    </row>
    <row r="7" spans="1:7" ht="18.75">
      <c r="A7" s="12" t="s">
        <v>118</v>
      </c>
      <c r="B7" s="15" t="s">
        <v>119</v>
      </c>
      <c r="C7" s="15" t="s">
        <v>120</v>
      </c>
      <c r="D7" s="16">
        <v>0.1</v>
      </c>
    </row>
    <row r="8" spans="1:7" ht="18.75">
      <c r="A8" s="12" t="s">
        <v>121</v>
      </c>
      <c r="B8" s="15" t="s">
        <v>122</v>
      </c>
      <c r="C8" s="15" t="s">
        <v>123</v>
      </c>
      <c r="D8" s="16">
        <v>0.2</v>
      </c>
    </row>
    <row r="9" spans="1:7" ht="18.75">
      <c r="A9" s="13" t="s">
        <v>124</v>
      </c>
      <c r="B9" s="17" t="s">
        <v>125</v>
      </c>
      <c r="C9" s="17" t="s">
        <v>126</v>
      </c>
      <c r="D9" s="18">
        <v>0.15</v>
      </c>
    </row>
  </sheetData>
  <hyperlinks>
    <hyperlink ref="G1" location="'Menu'!A1" display="Voltar" xr:uid="{8B263F3E-0683-4832-8287-9E74955EF3FF}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3D619-901D-40A2-BF76-88DB354BE944}">
  <dimension ref="A1:J97"/>
  <sheetViews>
    <sheetView workbookViewId="0">
      <selection activeCell="T9" sqref="T9"/>
    </sheetView>
  </sheetViews>
  <sheetFormatPr defaultRowHeight="15"/>
  <cols>
    <col min="1" max="1" width="12.28515625" customWidth="1"/>
    <col min="2" max="2" width="21.28515625" bestFit="1" customWidth="1"/>
    <col min="3" max="3" width="23.42578125" bestFit="1" customWidth="1"/>
    <col min="4" max="4" width="13.28515625" customWidth="1"/>
    <col min="5" max="5" width="29.7109375" bestFit="1" customWidth="1"/>
    <col min="6" max="6" width="13.7109375" style="51" hidden="1" customWidth="1"/>
    <col min="7" max="7" width="32.42578125" style="51" hidden="1" customWidth="1"/>
    <col min="8" max="8" width="21.140625" style="51" bestFit="1" customWidth="1"/>
    <col min="9" max="9" width="15" bestFit="1" customWidth="1"/>
    <col min="10" max="10" width="21.7109375" bestFit="1" customWidth="1"/>
  </cols>
  <sheetData>
    <row r="1" spans="1:10" s="1" customFormat="1" ht="42.75" customHeight="1">
      <c r="A1" s="6" t="s">
        <v>2</v>
      </c>
      <c r="D1" s="36" t="s">
        <v>0</v>
      </c>
      <c r="E1" s="36" t="s">
        <v>1</v>
      </c>
      <c r="F1" s="49"/>
      <c r="G1" s="49"/>
      <c r="H1" s="49" t="s">
        <v>3</v>
      </c>
      <c r="I1" s="36"/>
      <c r="J1" s="44" t="s">
        <v>40</v>
      </c>
    </row>
    <row r="2" spans="1:10" s="7" customFormat="1" ht="6" customHeight="1">
      <c r="F2" s="50"/>
      <c r="G2" s="50"/>
      <c r="H2" s="50"/>
    </row>
    <row r="3" spans="1:10" ht="6.75" customHeight="1"/>
    <row r="4" spans="1:10" s="65" customFormat="1" ht="27.75">
      <c r="A4" s="66" t="s">
        <v>127</v>
      </c>
      <c r="B4" s="67" t="s">
        <v>41</v>
      </c>
      <c r="C4" s="67" t="s">
        <v>128</v>
      </c>
      <c r="D4" s="67" t="s">
        <v>129</v>
      </c>
      <c r="E4" s="67" t="s">
        <v>44</v>
      </c>
      <c r="F4" s="68" t="s">
        <v>130</v>
      </c>
      <c r="G4" s="68" t="s">
        <v>131</v>
      </c>
      <c r="H4" s="68" t="s">
        <v>132</v>
      </c>
      <c r="I4" s="69" t="s">
        <v>133</v>
      </c>
      <c r="J4" s="67" t="s">
        <v>109</v>
      </c>
    </row>
    <row r="5" spans="1:10" s="65" customFormat="1" ht="26.25">
      <c r="A5" s="70" t="s">
        <v>134</v>
      </c>
      <c r="B5" s="71" t="s">
        <v>54</v>
      </c>
      <c r="C5" s="72">
        <v>44931</v>
      </c>
      <c r="D5" s="71">
        <v>1</v>
      </c>
      <c r="E5" s="74">
        <f>VLOOKUP(TB_Vendas[[#This Row],[Código]],TB_Produtos[#All],6,FALSE)</f>
        <v>39.9</v>
      </c>
      <c r="F5" s="73" cm="1">
        <f t="array" ref="F5">INDEX(Desc_TabelaToda,MATCH(TB_Vendas[[#This Row],[Qtd]],Desc_Quantidades,1),MATCH(_xlfn.XLOOKUP(TB_Vendas[[#This Row],[Código]],TB_Produtos[[#All],[Código]],TB_Produtos[[#All],[Categoria]]),Desc_Categorias,0))</f>
        <v>0</v>
      </c>
      <c r="G5" s="73">
        <f>_xlfn.XLOOKUP(TB_Vendas[[#This Row],[Vendedor]],Vendedores!$A$4:$A$9,Vendedores!$D$4:$D$9)</f>
        <v>0.25</v>
      </c>
      <c r="H5" s="73">
        <f>IF(TB_Vendas[[#This Row],[Desc.]]&gt;TB_Vendas[[#This Row],[Desc. Vendedor]],TB_Vendas[[#This Row],[Desc. Vendedor]],TB_Vendas[[#This Row],[Desc.]])</f>
        <v>0</v>
      </c>
      <c r="I5" s="74">
        <f>(TB_Vendas[[#This Row],[Preço Unitário]]-(TB_Vendas[[#This Row],[Preço Unitário]]*TB_Vendas[[#This Row],[Desconto]]))*TB_Vendas[[#This Row],[Qtd]]</f>
        <v>39.9</v>
      </c>
      <c r="J5" s="71" t="s">
        <v>115</v>
      </c>
    </row>
    <row r="6" spans="1:10" s="65" customFormat="1" ht="26.25">
      <c r="A6" s="70" t="s">
        <v>134</v>
      </c>
      <c r="B6" s="71" t="s">
        <v>53</v>
      </c>
      <c r="C6" s="72">
        <v>44932</v>
      </c>
      <c r="D6" s="71">
        <v>1</v>
      </c>
      <c r="E6" s="74">
        <f>VLOOKUP(TB_Vendas[[#This Row],[Código]],TB_Produtos[#All],6,FALSE)</f>
        <v>259.89999999999998</v>
      </c>
      <c r="F6" s="73" cm="1">
        <f t="array" ref="F6">INDEX(Desc_TabelaToda,MATCH(TB_Vendas[[#This Row],[Qtd]],Desc_Quantidades,1),MATCH(_xlfn.XLOOKUP(TB_Vendas[[#This Row],[Código]],TB_Produtos[[#All],[Código]],TB_Produtos[[#All],[Categoria]]),Desc_Categorias,0))</f>
        <v>0</v>
      </c>
      <c r="G6" s="73">
        <f>_xlfn.XLOOKUP(TB_Vendas[[#This Row],[Vendedor]],Vendedores!$A$4:$A$9,Vendedores!$D$4:$D$9)</f>
        <v>0.25</v>
      </c>
      <c r="H6" s="73">
        <f>IF(TB_Vendas[[#This Row],[Desc.]]&gt;TB_Vendas[[#This Row],[Desc. Vendedor]],TB_Vendas[[#This Row],[Desc. Vendedor]],TB_Vendas[[#This Row],[Desc.]])</f>
        <v>0</v>
      </c>
      <c r="I6" s="74">
        <f>(TB_Vendas[[#This Row],[Preço Unitário]]-(TB_Vendas[[#This Row],[Preço Unitário]]*TB_Vendas[[#This Row],[Desconto]]))*TB_Vendas[[#This Row],[Qtd]]</f>
        <v>259.89999999999998</v>
      </c>
      <c r="J6" s="71" t="s">
        <v>115</v>
      </c>
    </row>
    <row r="7" spans="1:10" s="65" customFormat="1" ht="26.25">
      <c r="A7" s="71" t="s">
        <v>134</v>
      </c>
      <c r="B7" s="71" t="s">
        <v>99</v>
      </c>
      <c r="C7" s="72">
        <v>44933</v>
      </c>
      <c r="D7" s="71">
        <v>2</v>
      </c>
      <c r="E7" s="74">
        <f>VLOOKUP(TB_Vendas[[#This Row],[Código]],TB_Produtos[#All],6,FALSE)</f>
        <v>32.9</v>
      </c>
      <c r="F7" s="73" cm="1">
        <f t="array" ref="F7">INDEX(Desc_TabelaToda,MATCH(TB_Vendas[[#This Row],[Qtd]],Desc_Quantidades,1),MATCH(_xlfn.XLOOKUP(TB_Vendas[[#This Row],[Código]],TB_Produtos[[#All],[Código]],TB_Produtos[[#All],[Categoria]]),Desc_Categorias,0))</f>
        <v>0.15</v>
      </c>
      <c r="G7" s="73">
        <f>_xlfn.XLOOKUP(TB_Vendas[[#This Row],[Vendedor]],Vendedores!$A$4:$A$9,Vendedores!$D$4:$D$9)</f>
        <v>0.2</v>
      </c>
      <c r="H7" s="73">
        <f>IF(TB_Vendas[[#This Row],[Desc.]]&gt;TB_Vendas[[#This Row],[Desc. Vendedor]],TB_Vendas[[#This Row],[Desc. Vendedor]],TB_Vendas[[#This Row],[Desc.]])</f>
        <v>0.15</v>
      </c>
      <c r="I7" s="74">
        <f>(TB_Vendas[[#This Row],[Preço Unitário]]-(TB_Vendas[[#This Row],[Preço Unitário]]*TB_Vendas[[#This Row],[Desconto]]))*TB_Vendas[[#This Row],[Qtd]]</f>
        <v>55.93</v>
      </c>
      <c r="J7" s="71" t="s">
        <v>112</v>
      </c>
    </row>
    <row r="8" spans="1:10" s="65" customFormat="1" ht="26.25">
      <c r="A8" s="71" t="s">
        <v>134</v>
      </c>
      <c r="B8" s="71" t="s">
        <v>59</v>
      </c>
      <c r="C8" s="72">
        <v>44938</v>
      </c>
      <c r="D8" s="71">
        <v>1</v>
      </c>
      <c r="E8" s="74">
        <f>VLOOKUP(TB_Vendas[[#This Row],[Código]],TB_Produtos[#All],6,FALSE)</f>
        <v>46.9</v>
      </c>
      <c r="F8" s="73" cm="1">
        <f t="array" ref="F8">INDEX(Desc_TabelaToda,MATCH(TB_Vendas[[#This Row],[Qtd]],Desc_Quantidades,1),MATCH(_xlfn.XLOOKUP(TB_Vendas[[#This Row],[Código]],TB_Produtos[[#All],[Código]],TB_Produtos[[#All],[Categoria]]),Desc_Categorias,0))</f>
        <v>0.1</v>
      </c>
      <c r="G8" s="73">
        <f>_xlfn.XLOOKUP(TB_Vendas[[#This Row],[Vendedor]],Vendedores!$A$4:$A$9,Vendedores!$D$4:$D$9)</f>
        <v>0.15</v>
      </c>
      <c r="H8" s="73">
        <f>IF(TB_Vendas[[#This Row],[Desc.]]&gt;TB_Vendas[[#This Row],[Desc. Vendedor]],TB_Vendas[[#This Row],[Desc. Vendedor]],TB_Vendas[[#This Row],[Desc.]])</f>
        <v>0.1</v>
      </c>
      <c r="I8" s="74">
        <f>(TB_Vendas[[#This Row],[Preço Unitário]]-(TB_Vendas[[#This Row],[Preço Unitário]]*TB_Vendas[[#This Row],[Desconto]]))*TB_Vendas[[#This Row],[Qtd]]</f>
        <v>42.21</v>
      </c>
      <c r="J8" s="71" t="s">
        <v>124</v>
      </c>
    </row>
    <row r="9" spans="1:10" s="65" customFormat="1" ht="26.25">
      <c r="A9" s="71" t="s">
        <v>134</v>
      </c>
      <c r="B9" s="71" t="s">
        <v>65</v>
      </c>
      <c r="C9" s="72">
        <v>44939</v>
      </c>
      <c r="D9" s="71">
        <v>1</v>
      </c>
      <c r="E9" s="74">
        <f>VLOOKUP(TB_Vendas[[#This Row],[Código]],TB_Produtos[#All],6,FALSE)</f>
        <v>29.9</v>
      </c>
      <c r="F9" s="73" cm="1">
        <f t="array" ref="F9">INDEX(Desc_TabelaToda,MATCH(TB_Vendas[[#This Row],[Qtd]],Desc_Quantidades,1),MATCH(_xlfn.XLOOKUP(TB_Vendas[[#This Row],[Código]],TB_Produtos[[#All],[Código]],TB_Produtos[[#All],[Categoria]]),Desc_Categorias,0))</f>
        <v>0.1</v>
      </c>
      <c r="G9" s="73">
        <f>_xlfn.XLOOKUP(TB_Vendas[[#This Row],[Vendedor]],Vendedores!$A$4:$A$9,Vendedores!$D$4:$D$9)</f>
        <v>0.25</v>
      </c>
      <c r="H9" s="73">
        <f>IF(TB_Vendas[[#This Row],[Desc.]]&gt;TB_Vendas[[#This Row],[Desc. Vendedor]],TB_Vendas[[#This Row],[Desc. Vendedor]],TB_Vendas[[#This Row],[Desc.]])</f>
        <v>0.1</v>
      </c>
      <c r="I9" s="74">
        <f>(TB_Vendas[[#This Row],[Preço Unitário]]-(TB_Vendas[[#This Row],[Preço Unitário]]*TB_Vendas[[#This Row],[Desconto]]))*TB_Vendas[[#This Row],[Qtd]]</f>
        <v>26.909999999999997</v>
      </c>
      <c r="J9" s="71" t="s">
        <v>115</v>
      </c>
    </row>
    <row r="10" spans="1:10" s="65" customFormat="1" ht="26.25">
      <c r="A10" s="71" t="s">
        <v>134</v>
      </c>
      <c r="B10" s="71" t="s">
        <v>73</v>
      </c>
      <c r="C10" s="72">
        <v>44943</v>
      </c>
      <c r="D10" s="71">
        <v>1</v>
      </c>
      <c r="E10" s="74">
        <f>VLOOKUP(TB_Vendas[[#This Row],[Código]],TB_Produtos[#All],6,FALSE)</f>
        <v>299.89999999999998</v>
      </c>
      <c r="F10" s="73" cm="1">
        <f t="array" ref="F10">INDEX(Desc_TabelaToda,MATCH(TB_Vendas[[#This Row],[Qtd]],Desc_Quantidades,1),MATCH(_xlfn.XLOOKUP(TB_Vendas[[#This Row],[Código]],TB_Produtos[[#All],[Código]],TB_Produtos[[#All],[Categoria]]),Desc_Categorias,0))</f>
        <v>0.1</v>
      </c>
      <c r="G10" s="73">
        <f>_xlfn.XLOOKUP(TB_Vendas[[#This Row],[Vendedor]],Vendedores!$A$4:$A$9,Vendedores!$D$4:$D$9)</f>
        <v>0.15</v>
      </c>
      <c r="H10" s="73">
        <f>IF(TB_Vendas[[#This Row],[Desc.]]&gt;TB_Vendas[[#This Row],[Desc. Vendedor]],TB_Vendas[[#This Row],[Desc. Vendedor]],TB_Vendas[[#This Row],[Desc.]])</f>
        <v>0.1</v>
      </c>
      <c r="I10" s="74">
        <f>(TB_Vendas[[#This Row],[Preço Unitário]]-(TB_Vendas[[#This Row],[Preço Unitário]]*TB_Vendas[[#This Row],[Desconto]]))*TB_Vendas[[#This Row],[Qtd]]</f>
        <v>269.90999999999997</v>
      </c>
      <c r="J10" s="71" t="s">
        <v>124</v>
      </c>
    </row>
    <row r="11" spans="1:10" s="65" customFormat="1" ht="26.25">
      <c r="A11" s="71" t="s">
        <v>134</v>
      </c>
      <c r="B11" s="71" t="s">
        <v>87</v>
      </c>
      <c r="C11" s="72">
        <v>44949</v>
      </c>
      <c r="D11" s="71">
        <v>1</v>
      </c>
      <c r="E11" s="74">
        <f>VLOOKUP(TB_Vendas[[#This Row],[Código]],TB_Produtos[#All],6,FALSE)</f>
        <v>146</v>
      </c>
      <c r="F11" s="73" cm="1">
        <f t="array" ref="F11">INDEX(Desc_TabelaToda,MATCH(TB_Vendas[[#This Row],[Qtd]],Desc_Quantidades,1),MATCH(_xlfn.XLOOKUP(TB_Vendas[[#This Row],[Código]],TB_Produtos[[#All],[Código]],TB_Produtos[[#All],[Categoria]]),Desc_Categorias,0))</f>
        <v>0.1</v>
      </c>
      <c r="G11" s="73">
        <f>_xlfn.XLOOKUP(TB_Vendas[[#This Row],[Vendedor]],Vendedores!$A$4:$A$9,Vendedores!$D$4:$D$9)</f>
        <v>0.1</v>
      </c>
      <c r="H11" s="73">
        <f>IF(TB_Vendas[[#This Row],[Desc.]]&gt;TB_Vendas[[#This Row],[Desc. Vendedor]],TB_Vendas[[#This Row],[Desc. Vendedor]],TB_Vendas[[#This Row],[Desc.]])</f>
        <v>0.1</v>
      </c>
      <c r="I11" s="74">
        <f>(TB_Vendas[[#This Row],[Preço Unitário]]-(TB_Vendas[[#This Row],[Preço Unitário]]*TB_Vendas[[#This Row],[Desconto]]))*TB_Vendas[[#This Row],[Qtd]]</f>
        <v>131.4</v>
      </c>
      <c r="J11" s="71" t="s">
        <v>118</v>
      </c>
    </row>
    <row r="12" spans="1:10" s="65" customFormat="1" ht="26.25">
      <c r="A12" s="71" t="s">
        <v>134</v>
      </c>
      <c r="B12" s="71" t="s">
        <v>82</v>
      </c>
      <c r="C12" s="72">
        <v>44952</v>
      </c>
      <c r="D12" s="71">
        <v>2</v>
      </c>
      <c r="E12" s="74">
        <f>VLOOKUP(TB_Vendas[[#This Row],[Código]],TB_Produtos[#All],6,FALSE)</f>
        <v>89.9</v>
      </c>
      <c r="F12" s="73" cm="1">
        <f t="array" ref="F12">INDEX(Desc_TabelaToda,MATCH(TB_Vendas[[#This Row],[Qtd]],Desc_Quantidades,1),MATCH(_xlfn.XLOOKUP(TB_Vendas[[#This Row],[Código]],TB_Produtos[[#All],[Código]],TB_Produtos[[#All],[Categoria]]),Desc_Categorias,0))</f>
        <v>0.15</v>
      </c>
      <c r="G12" s="73">
        <f>_xlfn.XLOOKUP(TB_Vendas[[#This Row],[Vendedor]],Vendedores!$A$4:$A$9,Vendedores!$D$4:$D$9)</f>
        <v>0.1</v>
      </c>
      <c r="H12" s="73">
        <f>IF(TB_Vendas[[#This Row],[Desc.]]&gt;TB_Vendas[[#This Row],[Desc. Vendedor]],TB_Vendas[[#This Row],[Desc. Vendedor]],TB_Vendas[[#This Row],[Desc.]])</f>
        <v>0.1</v>
      </c>
      <c r="I12" s="74">
        <f>(TB_Vendas[[#This Row],[Preço Unitário]]-(TB_Vendas[[#This Row],[Preço Unitário]]*TB_Vendas[[#This Row],[Desconto]]))*TB_Vendas[[#This Row],[Qtd]]</f>
        <v>161.82000000000002</v>
      </c>
      <c r="J12" s="71" t="s">
        <v>118</v>
      </c>
    </row>
    <row r="13" spans="1:10" s="65" customFormat="1" ht="26.25">
      <c r="A13" s="71" t="s">
        <v>134</v>
      </c>
      <c r="B13" s="71" t="s">
        <v>80</v>
      </c>
      <c r="C13" s="72">
        <v>44954</v>
      </c>
      <c r="D13" s="71">
        <v>2</v>
      </c>
      <c r="E13" s="74">
        <f>VLOOKUP(TB_Vendas[[#This Row],[Código]],TB_Produtos[#All],6,FALSE)</f>
        <v>250</v>
      </c>
      <c r="F13" s="73" cm="1">
        <f t="array" ref="F13">INDEX(Desc_TabelaToda,MATCH(TB_Vendas[[#This Row],[Qtd]],Desc_Quantidades,1),MATCH(_xlfn.XLOOKUP(TB_Vendas[[#This Row],[Código]],TB_Produtos[[#All],[Código]],TB_Produtos[[#All],[Categoria]]),Desc_Categorias,0))</f>
        <v>0.1</v>
      </c>
      <c r="G13" s="73">
        <f>_xlfn.XLOOKUP(TB_Vendas[[#This Row],[Vendedor]],Vendedores!$A$4:$A$9,Vendedores!$D$4:$D$9)</f>
        <v>0.25</v>
      </c>
      <c r="H13" s="73">
        <f>IF(TB_Vendas[[#This Row],[Desc.]]&gt;TB_Vendas[[#This Row],[Desc. Vendedor]],TB_Vendas[[#This Row],[Desc. Vendedor]],TB_Vendas[[#This Row],[Desc.]])</f>
        <v>0.1</v>
      </c>
      <c r="I13" s="74">
        <f>(TB_Vendas[[#This Row],[Preço Unitário]]-(TB_Vendas[[#This Row],[Preço Unitário]]*TB_Vendas[[#This Row],[Desconto]]))*TB_Vendas[[#This Row],[Qtd]]</f>
        <v>450</v>
      </c>
      <c r="J13" s="71" t="s">
        <v>115</v>
      </c>
    </row>
    <row r="14" spans="1:10" s="65" customFormat="1" ht="26.25">
      <c r="A14" s="71" t="s">
        <v>134</v>
      </c>
      <c r="B14" s="71" t="s">
        <v>61</v>
      </c>
      <c r="C14" s="72">
        <v>44955</v>
      </c>
      <c r="D14" s="71">
        <v>1</v>
      </c>
      <c r="E14" s="74">
        <f>VLOOKUP(TB_Vendas[[#This Row],[Código]],TB_Produtos[#All],6,FALSE)</f>
        <v>39.9</v>
      </c>
      <c r="F14" s="73" cm="1">
        <f t="array" ref="F14">INDEX(Desc_TabelaToda,MATCH(TB_Vendas[[#This Row],[Qtd]],Desc_Quantidades,1),MATCH(_xlfn.XLOOKUP(TB_Vendas[[#This Row],[Código]],TB_Produtos[[#All],[Código]],TB_Produtos[[#All],[Categoria]]),Desc_Categorias,0))</f>
        <v>0.1</v>
      </c>
      <c r="G14" s="73">
        <f>_xlfn.XLOOKUP(TB_Vendas[[#This Row],[Vendedor]],Vendedores!$A$4:$A$9,Vendedores!$D$4:$D$9)</f>
        <v>0.25</v>
      </c>
      <c r="H14" s="73">
        <f>IF(TB_Vendas[[#This Row],[Desc.]]&gt;TB_Vendas[[#This Row],[Desc. Vendedor]],TB_Vendas[[#This Row],[Desc. Vendedor]],TB_Vendas[[#This Row],[Desc.]])</f>
        <v>0.1</v>
      </c>
      <c r="I14" s="74">
        <f>(TB_Vendas[[#This Row],[Preço Unitário]]-(TB_Vendas[[#This Row],[Preço Unitário]]*TB_Vendas[[#This Row],[Desconto]]))*TB_Vendas[[#This Row],[Qtd]]</f>
        <v>35.909999999999997</v>
      </c>
      <c r="J14" s="71" t="s">
        <v>115</v>
      </c>
    </row>
    <row r="15" spans="1:10" s="65" customFormat="1" ht="26.25">
      <c r="A15" s="71" t="s">
        <v>134</v>
      </c>
      <c r="B15" s="71" t="s">
        <v>86</v>
      </c>
      <c r="C15" s="72">
        <v>44956</v>
      </c>
      <c r="D15" s="71">
        <v>1</v>
      </c>
      <c r="E15" s="74">
        <f>VLOOKUP(TB_Vendas[[#This Row],[Código]],TB_Produtos[#All],6,FALSE)</f>
        <v>142.9</v>
      </c>
      <c r="F15" s="73" cm="1">
        <f t="array" ref="F15">INDEX(Desc_TabelaToda,MATCH(TB_Vendas[[#This Row],[Qtd]],Desc_Quantidades,1),MATCH(_xlfn.XLOOKUP(TB_Vendas[[#This Row],[Código]],TB_Produtos[[#All],[Código]],TB_Produtos[[#All],[Categoria]]),Desc_Categorias,0))</f>
        <v>0.1</v>
      </c>
      <c r="G15" s="73">
        <f>_xlfn.XLOOKUP(TB_Vendas[[#This Row],[Vendedor]],Vendedores!$A$4:$A$9,Vendedores!$D$4:$D$9)</f>
        <v>0.2</v>
      </c>
      <c r="H15" s="73">
        <f>IF(TB_Vendas[[#This Row],[Desc.]]&gt;TB_Vendas[[#This Row],[Desc. Vendedor]],TB_Vendas[[#This Row],[Desc. Vendedor]],TB_Vendas[[#This Row],[Desc.]])</f>
        <v>0.1</v>
      </c>
      <c r="I15" s="74">
        <f>(TB_Vendas[[#This Row],[Preço Unitário]]-(TB_Vendas[[#This Row],[Preço Unitário]]*TB_Vendas[[#This Row],[Desconto]]))*TB_Vendas[[#This Row],[Qtd]]</f>
        <v>128.61000000000001</v>
      </c>
      <c r="J15" s="71" t="s">
        <v>121</v>
      </c>
    </row>
    <row r="16" spans="1:10" s="65" customFormat="1" ht="26.25">
      <c r="A16" s="71" t="s">
        <v>135</v>
      </c>
      <c r="B16" s="71" t="s">
        <v>70</v>
      </c>
      <c r="C16" s="72">
        <v>44960</v>
      </c>
      <c r="D16" s="71">
        <v>1</v>
      </c>
      <c r="E16" s="74">
        <f>VLOOKUP(TB_Vendas[[#This Row],[Código]],TB_Produtos[#All],6,FALSE)</f>
        <v>300</v>
      </c>
      <c r="F16" s="73" cm="1">
        <f t="array" ref="F16">INDEX(Desc_TabelaToda,MATCH(TB_Vendas[[#This Row],[Qtd]],Desc_Quantidades,1),MATCH(_xlfn.XLOOKUP(TB_Vendas[[#This Row],[Código]],TB_Produtos[[#All],[Código]],TB_Produtos[[#All],[Categoria]]),Desc_Categorias,0))</f>
        <v>0.1</v>
      </c>
      <c r="G16" s="73">
        <f>_xlfn.XLOOKUP(TB_Vendas[[#This Row],[Vendedor]],Vendedores!$A$4:$A$9,Vendedores!$D$4:$D$9)</f>
        <v>0.1</v>
      </c>
      <c r="H16" s="73">
        <f>IF(TB_Vendas[[#This Row],[Desc.]]&gt;TB_Vendas[[#This Row],[Desc. Vendedor]],TB_Vendas[[#This Row],[Desc. Vendedor]],TB_Vendas[[#This Row],[Desc.]])</f>
        <v>0.1</v>
      </c>
      <c r="I16" s="74">
        <f>(TB_Vendas[[#This Row],[Preço Unitário]]-(TB_Vendas[[#This Row],[Preço Unitário]]*TB_Vendas[[#This Row],[Desconto]]))*TB_Vendas[[#This Row],[Qtd]]</f>
        <v>270</v>
      </c>
      <c r="J16" s="71" t="s">
        <v>118</v>
      </c>
    </row>
    <row r="17" spans="1:10" s="65" customFormat="1" ht="26.25">
      <c r="A17" s="71" t="s">
        <v>135</v>
      </c>
      <c r="B17" s="71" t="s">
        <v>96</v>
      </c>
      <c r="C17" s="72">
        <v>44962</v>
      </c>
      <c r="D17" s="71">
        <v>2</v>
      </c>
      <c r="E17" s="74">
        <f>VLOOKUP(TB_Vendas[[#This Row],[Código]],TB_Produtos[#All],6,FALSE)</f>
        <v>289.89999999999998</v>
      </c>
      <c r="F17" s="73" cm="1">
        <f t="array" ref="F17">INDEX(Desc_TabelaToda,MATCH(TB_Vendas[[#This Row],[Qtd]],Desc_Quantidades,1),MATCH(_xlfn.XLOOKUP(TB_Vendas[[#This Row],[Código]],TB_Produtos[[#All],[Código]],TB_Produtos[[#All],[Categoria]]),Desc_Categorias,0))</f>
        <v>0.15</v>
      </c>
      <c r="G17" s="73">
        <f>_xlfn.XLOOKUP(TB_Vendas[[#This Row],[Vendedor]],Vendedores!$A$4:$A$9,Vendedores!$D$4:$D$9)</f>
        <v>0.2</v>
      </c>
      <c r="H17" s="73">
        <f>IF(TB_Vendas[[#This Row],[Desc.]]&gt;TB_Vendas[[#This Row],[Desc. Vendedor]],TB_Vendas[[#This Row],[Desc. Vendedor]],TB_Vendas[[#This Row],[Desc.]])</f>
        <v>0.15</v>
      </c>
      <c r="I17" s="74">
        <f>(TB_Vendas[[#This Row],[Preço Unitário]]-(TB_Vendas[[#This Row],[Preço Unitário]]*TB_Vendas[[#This Row],[Desconto]]))*TB_Vendas[[#This Row],[Qtd]]</f>
        <v>492.83</v>
      </c>
      <c r="J17" s="71" t="s">
        <v>121</v>
      </c>
    </row>
    <row r="18" spans="1:10" s="65" customFormat="1" ht="26.25">
      <c r="A18" s="71" t="s">
        <v>135</v>
      </c>
      <c r="B18" s="71" t="s">
        <v>76</v>
      </c>
      <c r="C18" s="72">
        <v>44975</v>
      </c>
      <c r="D18" s="71">
        <v>1</v>
      </c>
      <c r="E18" s="74">
        <f>VLOOKUP(TB_Vendas[[#This Row],[Código]],TB_Produtos[#All],6,FALSE)</f>
        <v>249.9</v>
      </c>
      <c r="F18" s="73" cm="1">
        <f t="array" ref="F18">INDEX(Desc_TabelaToda,MATCH(TB_Vendas[[#This Row],[Qtd]],Desc_Quantidades,1),MATCH(_xlfn.XLOOKUP(TB_Vendas[[#This Row],[Código]],TB_Produtos[[#All],[Código]],TB_Produtos[[#All],[Categoria]]),Desc_Categorias,0))</f>
        <v>0</v>
      </c>
      <c r="G18" s="73">
        <f>_xlfn.XLOOKUP(TB_Vendas[[#This Row],[Vendedor]],Vendedores!$A$4:$A$9,Vendedores!$D$4:$D$9)</f>
        <v>0.2</v>
      </c>
      <c r="H18" s="73">
        <f>IF(TB_Vendas[[#This Row],[Desc.]]&gt;TB_Vendas[[#This Row],[Desc. Vendedor]],TB_Vendas[[#This Row],[Desc. Vendedor]],TB_Vendas[[#This Row],[Desc.]])</f>
        <v>0</v>
      </c>
      <c r="I18" s="74">
        <f>(TB_Vendas[[#This Row],[Preço Unitário]]-(TB_Vendas[[#This Row],[Preço Unitário]]*TB_Vendas[[#This Row],[Desconto]]))*TB_Vendas[[#This Row],[Qtd]]</f>
        <v>249.9</v>
      </c>
      <c r="J18" s="71" t="s">
        <v>121</v>
      </c>
    </row>
    <row r="19" spans="1:10" s="65" customFormat="1" ht="26.25">
      <c r="A19" s="71" t="s">
        <v>135</v>
      </c>
      <c r="B19" s="71" t="s">
        <v>61</v>
      </c>
      <c r="C19" s="72">
        <v>44978</v>
      </c>
      <c r="D19" s="71">
        <v>2</v>
      </c>
      <c r="E19" s="74">
        <f>VLOOKUP(TB_Vendas[[#This Row],[Código]],TB_Produtos[#All],6,FALSE)</f>
        <v>39.9</v>
      </c>
      <c r="F19" s="73" cm="1">
        <f t="array" ref="F19">INDEX(Desc_TabelaToda,MATCH(TB_Vendas[[#This Row],[Qtd]],Desc_Quantidades,1),MATCH(_xlfn.XLOOKUP(TB_Vendas[[#This Row],[Código]],TB_Produtos[[#All],[Código]],TB_Produtos[[#All],[Categoria]]),Desc_Categorias,0))</f>
        <v>0.15</v>
      </c>
      <c r="G19" s="73">
        <f>_xlfn.XLOOKUP(TB_Vendas[[#This Row],[Vendedor]],Vendedores!$A$4:$A$9,Vendedores!$D$4:$D$9)</f>
        <v>0.2</v>
      </c>
      <c r="H19" s="73">
        <f>IF(TB_Vendas[[#This Row],[Desc.]]&gt;TB_Vendas[[#This Row],[Desc. Vendedor]],TB_Vendas[[#This Row],[Desc. Vendedor]],TB_Vendas[[#This Row],[Desc.]])</f>
        <v>0.15</v>
      </c>
      <c r="I19" s="74">
        <f>(TB_Vendas[[#This Row],[Preço Unitário]]-(TB_Vendas[[#This Row],[Preço Unitário]]*TB_Vendas[[#This Row],[Desconto]]))*TB_Vendas[[#This Row],[Qtd]]</f>
        <v>67.83</v>
      </c>
      <c r="J19" s="71" t="s">
        <v>121</v>
      </c>
    </row>
    <row r="20" spans="1:10" s="65" customFormat="1" ht="26.25">
      <c r="A20" s="71" t="s">
        <v>135</v>
      </c>
      <c r="B20" s="71" t="s">
        <v>94</v>
      </c>
      <c r="C20" s="72">
        <v>44981</v>
      </c>
      <c r="D20" s="71">
        <v>4</v>
      </c>
      <c r="E20" s="74">
        <f>VLOOKUP(TB_Vendas[[#This Row],[Código]],TB_Produtos[#All],6,FALSE)</f>
        <v>289.89999999999998</v>
      </c>
      <c r="F20" s="73" cm="1">
        <f t="array" ref="F20">INDEX(Desc_TabelaToda,MATCH(TB_Vendas[[#This Row],[Qtd]],Desc_Quantidades,1),MATCH(_xlfn.XLOOKUP(TB_Vendas[[#This Row],[Código]],TB_Produtos[[#All],[Código]],TB_Produtos[[#All],[Categoria]]),Desc_Categorias,0))</f>
        <v>0.2</v>
      </c>
      <c r="G20" s="73">
        <f>_xlfn.XLOOKUP(TB_Vendas[[#This Row],[Vendedor]],Vendedores!$A$4:$A$9,Vendedores!$D$4:$D$9)</f>
        <v>0.2</v>
      </c>
      <c r="H20" s="73">
        <f>IF(TB_Vendas[[#This Row],[Desc.]]&gt;TB_Vendas[[#This Row],[Desc. Vendedor]],TB_Vendas[[#This Row],[Desc. Vendedor]],TB_Vendas[[#This Row],[Desc.]])</f>
        <v>0.2</v>
      </c>
      <c r="I20" s="74">
        <f>(TB_Vendas[[#This Row],[Preço Unitário]]-(TB_Vendas[[#This Row],[Preço Unitário]]*TB_Vendas[[#This Row],[Desconto]]))*TB_Vendas[[#This Row],[Qtd]]</f>
        <v>927.68</v>
      </c>
      <c r="J20" s="71" t="s">
        <v>121</v>
      </c>
    </row>
    <row r="21" spans="1:10" s="65" customFormat="1" ht="26.25">
      <c r="A21" s="71" t="s">
        <v>135</v>
      </c>
      <c r="B21" s="71" t="s">
        <v>108</v>
      </c>
      <c r="C21" s="72">
        <v>44982</v>
      </c>
      <c r="D21" s="71">
        <v>3</v>
      </c>
      <c r="E21" s="74">
        <f>VLOOKUP(TB_Vendas[[#This Row],[Código]],TB_Produtos[#All],6,FALSE)</f>
        <v>180</v>
      </c>
      <c r="F21" s="73" cm="1">
        <f t="array" ref="F21">INDEX(Desc_TabelaToda,MATCH(TB_Vendas[[#This Row],[Qtd]],Desc_Quantidades,1),MATCH(_xlfn.XLOOKUP(TB_Vendas[[#This Row],[Código]],TB_Produtos[[#All],[Código]],TB_Produtos[[#All],[Categoria]]),Desc_Categorias,0))</f>
        <v>0.2</v>
      </c>
      <c r="G21" s="73">
        <f>_xlfn.XLOOKUP(TB_Vendas[[#This Row],[Vendedor]],Vendedores!$A$4:$A$9,Vendedores!$D$4:$D$9)</f>
        <v>0.25</v>
      </c>
      <c r="H21" s="73">
        <f>IF(TB_Vendas[[#This Row],[Desc.]]&gt;TB_Vendas[[#This Row],[Desc. Vendedor]],TB_Vendas[[#This Row],[Desc. Vendedor]],TB_Vendas[[#This Row],[Desc.]])</f>
        <v>0.2</v>
      </c>
      <c r="I21" s="74">
        <f>(TB_Vendas[[#This Row],[Preço Unitário]]-(TB_Vendas[[#This Row],[Preço Unitário]]*TB_Vendas[[#This Row],[Desconto]]))*TB_Vendas[[#This Row],[Qtd]]</f>
        <v>432</v>
      </c>
      <c r="J21" s="71" t="s">
        <v>115</v>
      </c>
    </row>
    <row r="22" spans="1:10" s="65" customFormat="1" ht="26.25">
      <c r="A22" s="71" t="s">
        <v>135</v>
      </c>
      <c r="B22" s="71" t="s">
        <v>98</v>
      </c>
      <c r="C22" s="72">
        <v>44983</v>
      </c>
      <c r="D22" s="71">
        <v>2</v>
      </c>
      <c r="E22" s="74">
        <f>VLOOKUP(TB_Vendas[[#This Row],[Código]],TB_Produtos[#All],6,FALSE)</f>
        <v>32.9</v>
      </c>
      <c r="F22" s="73" cm="1">
        <f t="array" ref="F22">INDEX(Desc_TabelaToda,MATCH(TB_Vendas[[#This Row],[Qtd]],Desc_Quantidades,1),MATCH(_xlfn.XLOOKUP(TB_Vendas[[#This Row],[Código]],TB_Produtos[[#All],[Código]],TB_Produtos[[#All],[Categoria]]),Desc_Categorias,0))</f>
        <v>0.15</v>
      </c>
      <c r="G22" s="73">
        <f>_xlfn.XLOOKUP(TB_Vendas[[#This Row],[Vendedor]],Vendedores!$A$4:$A$9,Vendedores!$D$4:$D$9)</f>
        <v>0.2</v>
      </c>
      <c r="H22" s="73">
        <f>IF(TB_Vendas[[#This Row],[Desc.]]&gt;TB_Vendas[[#This Row],[Desc. Vendedor]],TB_Vendas[[#This Row],[Desc. Vendedor]],TB_Vendas[[#This Row],[Desc.]])</f>
        <v>0.15</v>
      </c>
      <c r="I22" s="74">
        <f>(TB_Vendas[[#This Row],[Preço Unitário]]-(TB_Vendas[[#This Row],[Preço Unitário]]*TB_Vendas[[#This Row],[Desconto]]))*TB_Vendas[[#This Row],[Qtd]]</f>
        <v>55.93</v>
      </c>
      <c r="J22" s="71" t="s">
        <v>112</v>
      </c>
    </row>
    <row r="23" spans="1:10" s="65" customFormat="1" ht="26.25">
      <c r="A23" s="71" t="s">
        <v>136</v>
      </c>
      <c r="B23" s="71" t="s">
        <v>77</v>
      </c>
      <c r="C23" s="72">
        <v>44986</v>
      </c>
      <c r="D23" s="71">
        <v>3</v>
      </c>
      <c r="E23" s="74">
        <f>VLOOKUP(TB_Vendas[[#This Row],[Código]],TB_Produtos[#All],6,FALSE)</f>
        <v>255</v>
      </c>
      <c r="F23" s="73" cm="1">
        <f t="array" ref="F23">INDEX(Desc_TabelaToda,MATCH(TB_Vendas[[#This Row],[Qtd]],Desc_Quantidades,1),MATCH(_xlfn.XLOOKUP(TB_Vendas[[#This Row],[Código]],TB_Produtos[[#All],[Código]],TB_Produtos[[#All],[Categoria]]),Desc_Categorias,0))</f>
        <v>0.15</v>
      </c>
      <c r="G23" s="73">
        <f>_xlfn.XLOOKUP(TB_Vendas[[#This Row],[Vendedor]],Vendedores!$A$4:$A$9,Vendedores!$D$4:$D$9)</f>
        <v>0.2</v>
      </c>
      <c r="H23" s="73">
        <f>IF(TB_Vendas[[#This Row],[Desc.]]&gt;TB_Vendas[[#This Row],[Desc. Vendedor]],TB_Vendas[[#This Row],[Desc. Vendedor]],TB_Vendas[[#This Row],[Desc.]])</f>
        <v>0.15</v>
      </c>
      <c r="I23" s="74">
        <f>(TB_Vendas[[#This Row],[Preço Unitário]]-(TB_Vendas[[#This Row],[Preço Unitário]]*TB_Vendas[[#This Row],[Desconto]]))*TB_Vendas[[#This Row],[Qtd]]</f>
        <v>650.25</v>
      </c>
      <c r="J23" s="71" t="s">
        <v>121</v>
      </c>
    </row>
    <row r="24" spans="1:10" s="65" customFormat="1" ht="26.25">
      <c r="A24" s="71" t="s">
        <v>136</v>
      </c>
      <c r="B24" s="71" t="s">
        <v>86</v>
      </c>
      <c r="C24" s="72">
        <v>44986</v>
      </c>
      <c r="D24" s="71">
        <v>1</v>
      </c>
      <c r="E24" s="74">
        <f>VLOOKUP(TB_Vendas[[#This Row],[Código]],TB_Produtos[#All],6,FALSE)</f>
        <v>142.9</v>
      </c>
      <c r="F24" s="73" cm="1">
        <f t="array" ref="F24">INDEX(Desc_TabelaToda,MATCH(TB_Vendas[[#This Row],[Qtd]],Desc_Quantidades,1),MATCH(_xlfn.XLOOKUP(TB_Vendas[[#This Row],[Código]],TB_Produtos[[#All],[Código]],TB_Produtos[[#All],[Categoria]]),Desc_Categorias,0))</f>
        <v>0.1</v>
      </c>
      <c r="G24" s="73">
        <f>_xlfn.XLOOKUP(TB_Vendas[[#This Row],[Vendedor]],Vendedores!$A$4:$A$9,Vendedores!$D$4:$D$9)</f>
        <v>0.2</v>
      </c>
      <c r="H24" s="73">
        <f>IF(TB_Vendas[[#This Row],[Desc.]]&gt;TB_Vendas[[#This Row],[Desc. Vendedor]],TB_Vendas[[#This Row],[Desc. Vendedor]],TB_Vendas[[#This Row],[Desc.]])</f>
        <v>0.1</v>
      </c>
      <c r="I24" s="74">
        <f>(TB_Vendas[[#This Row],[Preço Unitário]]-(TB_Vendas[[#This Row],[Preço Unitário]]*TB_Vendas[[#This Row],[Desconto]]))*TB_Vendas[[#This Row],[Qtd]]</f>
        <v>128.61000000000001</v>
      </c>
      <c r="J24" s="71" t="s">
        <v>112</v>
      </c>
    </row>
    <row r="25" spans="1:10" s="65" customFormat="1" ht="26.25">
      <c r="A25" s="71" t="s">
        <v>136</v>
      </c>
      <c r="B25" s="71" t="s">
        <v>57</v>
      </c>
      <c r="C25" s="72">
        <v>44987</v>
      </c>
      <c r="D25" s="71">
        <v>4</v>
      </c>
      <c r="E25" s="74">
        <f>VLOOKUP(TB_Vendas[[#This Row],[Código]],TB_Produtos[#All],6,FALSE)</f>
        <v>92.9</v>
      </c>
      <c r="F25" s="73" cm="1">
        <f t="array" ref="F25">INDEX(Desc_TabelaToda,MATCH(TB_Vendas[[#This Row],[Qtd]],Desc_Quantidades,1),MATCH(_xlfn.XLOOKUP(TB_Vendas[[#This Row],[Código]],TB_Produtos[[#All],[Código]],TB_Produtos[[#All],[Categoria]]),Desc_Categorias,0))</f>
        <v>0.2</v>
      </c>
      <c r="G25" s="73">
        <f>_xlfn.XLOOKUP(TB_Vendas[[#This Row],[Vendedor]],Vendedores!$A$4:$A$9,Vendedores!$D$4:$D$9)</f>
        <v>0.1</v>
      </c>
      <c r="H25" s="73">
        <f>IF(TB_Vendas[[#This Row],[Desc.]]&gt;TB_Vendas[[#This Row],[Desc. Vendedor]],TB_Vendas[[#This Row],[Desc. Vendedor]],TB_Vendas[[#This Row],[Desc.]])</f>
        <v>0.1</v>
      </c>
      <c r="I25" s="74">
        <f>(TB_Vendas[[#This Row],[Preço Unitário]]-(TB_Vendas[[#This Row],[Preço Unitário]]*TB_Vendas[[#This Row],[Desconto]]))*TB_Vendas[[#This Row],[Qtd]]</f>
        <v>334.44</v>
      </c>
      <c r="J25" s="71" t="s">
        <v>118</v>
      </c>
    </row>
    <row r="26" spans="1:10" s="65" customFormat="1" ht="26.25">
      <c r="A26" s="71" t="s">
        <v>136</v>
      </c>
      <c r="B26" s="71" t="s">
        <v>90</v>
      </c>
      <c r="C26" s="72">
        <v>44988</v>
      </c>
      <c r="D26" s="71">
        <v>2</v>
      </c>
      <c r="E26" s="74">
        <f>VLOOKUP(TB_Vendas[[#This Row],[Código]],TB_Produtos[#All],6,FALSE)</f>
        <v>54.9</v>
      </c>
      <c r="F26" s="73" cm="1">
        <f t="array" ref="F26">INDEX(Desc_TabelaToda,MATCH(TB_Vendas[[#This Row],[Qtd]],Desc_Quantidades,1),MATCH(_xlfn.XLOOKUP(TB_Vendas[[#This Row],[Código]],TB_Produtos[[#All],[Código]],TB_Produtos[[#All],[Categoria]]),Desc_Categorias,0))</f>
        <v>0.15</v>
      </c>
      <c r="G26" s="73">
        <f>_xlfn.XLOOKUP(TB_Vendas[[#This Row],[Vendedor]],Vendedores!$A$4:$A$9,Vendedores!$D$4:$D$9)</f>
        <v>0.2</v>
      </c>
      <c r="H26" s="73">
        <f>IF(TB_Vendas[[#This Row],[Desc.]]&gt;TB_Vendas[[#This Row],[Desc. Vendedor]],TB_Vendas[[#This Row],[Desc. Vendedor]],TB_Vendas[[#This Row],[Desc.]])</f>
        <v>0.15</v>
      </c>
      <c r="I26" s="74">
        <f>(TB_Vendas[[#This Row],[Preço Unitário]]-(TB_Vendas[[#This Row],[Preço Unitário]]*TB_Vendas[[#This Row],[Desconto]]))*TB_Vendas[[#This Row],[Qtd]]</f>
        <v>93.33</v>
      </c>
      <c r="J26" s="71" t="s">
        <v>112</v>
      </c>
    </row>
    <row r="27" spans="1:10" s="65" customFormat="1" ht="26.25">
      <c r="A27" s="71" t="s">
        <v>136</v>
      </c>
      <c r="B27" s="71" t="s">
        <v>86</v>
      </c>
      <c r="C27" s="72">
        <v>44989</v>
      </c>
      <c r="D27" s="71">
        <v>3</v>
      </c>
      <c r="E27" s="74">
        <f>VLOOKUP(TB_Vendas[[#This Row],[Código]],TB_Produtos[#All],6,FALSE)</f>
        <v>142.9</v>
      </c>
      <c r="F27" s="73" cm="1">
        <f t="array" ref="F27">INDEX(Desc_TabelaToda,MATCH(TB_Vendas[[#This Row],[Qtd]],Desc_Quantidades,1),MATCH(_xlfn.XLOOKUP(TB_Vendas[[#This Row],[Código]],TB_Produtos[[#All],[Código]],TB_Produtos[[#All],[Categoria]]),Desc_Categorias,0))</f>
        <v>0.2</v>
      </c>
      <c r="G27" s="73">
        <f>_xlfn.XLOOKUP(TB_Vendas[[#This Row],[Vendedor]],Vendedores!$A$4:$A$9,Vendedores!$D$4:$D$9)</f>
        <v>0.25</v>
      </c>
      <c r="H27" s="73">
        <f>IF(TB_Vendas[[#This Row],[Desc.]]&gt;TB_Vendas[[#This Row],[Desc. Vendedor]],TB_Vendas[[#This Row],[Desc. Vendedor]],TB_Vendas[[#This Row],[Desc.]])</f>
        <v>0.2</v>
      </c>
      <c r="I27" s="74">
        <f>(TB_Vendas[[#This Row],[Preço Unitário]]-(TB_Vendas[[#This Row],[Preço Unitário]]*TB_Vendas[[#This Row],[Desconto]]))*TB_Vendas[[#This Row],[Qtd]]</f>
        <v>342.96000000000004</v>
      </c>
      <c r="J27" s="71" t="s">
        <v>115</v>
      </c>
    </row>
    <row r="28" spans="1:10" s="65" customFormat="1" ht="26.25">
      <c r="A28" s="71" t="s">
        <v>136</v>
      </c>
      <c r="B28" s="71" t="s">
        <v>75</v>
      </c>
      <c r="C28" s="72">
        <v>44994</v>
      </c>
      <c r="D28" s="71">
        <v>2</v>
      </c>
      <c r="E28" s="74">
        <f>VLOOKUP(TB_Vendas[[#This Row],[Código]],TB_Produtos[#All],6,FALSE)</f>
        <v>120</v>
      </c>
      <c r="F28" s="73" cm="1">
        <f t="array" ref="F28">INDEX(Desc_TabelaToda,MATCH(TB_Vendas[[#This Row],[Qtd]],Desc_Quantidades,1),MATCH(_xlfn.XLOOKUP(TB_Vendas[[#This Row],[Código]],TB_Produtos[[#All],[Código]],TB_Produtos[[#All],[Categoria]]),Desc_Categorias,0))</f>
        <v>0.05</v>
      </c>
      <c r="G28" s="73">
        <f>_xlfn.XLOOKUP(TB_Vendas[[#This Row],[Vendedor]],Vendedores!$A$4:$A$9,Vendedores!$D$4:$D$9)</f>
        <v>0.25</v>
      </c>
      <c r="H28" s="73">
        <f>IF(TB_Vendas[[#This Row],[Desc.]]&gt;TB_Vendas[[#This Row],[Desc. Vendedor]],TB_Vendas[[#This Row],[Desc. Vendedor]],TB_Vendas[[#This Row],[Desc.]])</f>
        <v>0.05</v>
      </c>
      <c r="I28" s="74">
        <f>(TB_Vendas[[#This Row],[Preço Unitário]]-(TB_Vendas[[#This Row],[Preço Unitário]]*TB_Vendas[[#This Row],[Desconto]]))*TB_Vendas[[#This Row],[Qtd]]</f>
        <v>228</v>
      </c>
      <c r="J28" s="71" t="s">
        <v>115</v>
      </c>
    </row>
    <row r="29" spans="1:10" s="65" customFormat="1" ht="26.25">
      <c r="A29" s="71" t="s">
        <v>136</v>
      </c>
      <c r="B29" s="71" t="s">
        <v>45</v>
      </c>
      <c r="C29" s="72">
        <v>44999</v>
      </c>
      <c r="D29" s="71">
        <v>1</v>
      </c>
      <c r="E29" s="74">
        <f>VLOOKUP(TB_Vendas[[#This Row],[Código]],TB_Produtos[#All],6,FALSE)</f>
        <v>65.900000000000006</v>
      </c>
      <c r="F29" s="73" cm="1">
        <f t="array" ref="F29">INDEX(Desc_TabelaToda,MATCH(TB_Vendas[[#This Row],[Qtd]],Desc_Quantidades,1),MATCH(_xlfn.XLOOKUP(TB_Vendas[[#This Row],[Código]],TB_Produtos[[#All],[Código]],TB_Produtos[[#All],[Categoria]]),Desc_Categorias,0))</f>
        <v>0.1</v>
      </c>
      <c r="G29" s="73">
        <f>_xlfn.XLOOKUP(TB_Vendas[[#This Row],[Vendedor]],Vendedores!$A$4:$A$9,Vendedores!$D$4:$D$9)</f>
        <v>0.2</v>
      </c>
      <c r="H29" s="73">
        <f>IF(TB_Vendas[[#This Row],[Desc.]]&gt;TB_Vendas[[#This Row],[Desc. Vendedor]],TB_Vendas[[#This Row],[Desc. Vendedor]],TB_Vendas[[#This Row],[Desc.]])</f>
        <v>0.1</v>
      </c>
      <c r="I29" s="74">
        <f>(TB_Vendas[[#This Row],[Preço Unitário]]-(TB_Vendas[[#This Row],[Preço Unitário]]*TB_Vendas[[#This Row],[Desconto]]))*TB_Vendas[[#This Row],[Qtd]]</f>
        <v>59.31</v>
      </c>
      <c r="J29" s="71" t="s">
        <v>121</v>
      </c>
    </row>
    <row r="30" spans="1:10" s="65" customFormat="1" ht="26.25">
      <c r="A30" s="71" t="s">
        <v>136</v>
      </c>
      <c r="B30" s="71" t="s">
        <v>97</v>
      </c>
      <c r="C30" s="72">
        <v>45004</v>
      </c>
      <c r="D30" s="71">
        <v>5</v>
      </c>
      <c r="E30" s="74">
        <f>VLOOKUP(TB_Vendas[[#This Row],[Código]],TB_Produtos[#All],6,FALSE)</f>
        <v>32.9</v>
      </c>
      <c r="F30" s="73" cm="1">
        <f t="array" ref="F30">INDEX(Desc_TabelaToda,MATCH(TB_Vendas[[#This Row],[Qtd]],Desc_Quantidades,1),MATCH(_xlfn.XLOOKUP(TB_Vendas[[#This Row],[Código]],TB_Produtos[[#All],[Código]],TB_Produtos[[#All],[Categoria]]),Desc_Categorias,0))</f>
        <v>0.25</v>
      </c>
      <c r="G30" s="73">
        <f>_xlfn.XLOOKUP(TB_Vendas[[#This Row],[Vendedor]],Vendedores!$A$4:$A$9,Vendedores!$D$4:$D$9)</f>
        <v>0.15</v>
      </c>
      <c r="H30" s="73">
        <f>IF(TB_Vendas[[#This Row],[Desc.]]&gt;TB_Vendas[[#This Row],[Desc. Vendedor]],TB_Vendas[[#This Row],[Desc. Vendedor]],TB_Vendas[[#This Row],[Desc.]])</f>
        <v>0.15</v>
      </c>
      <c r="I30" s="74">
        <f>(TB_Vendas[[#This Row],[Preço Unitário]]-(TB_Vendas[[#This Row],[Preço Unitário]]*TB_Vendas[[#This Row],[Desconto]]))*TB_Vendas[[#This Row],[Qtd]]</f>
        <v>139.82499999999999</v>
      </c>
      <c r="J30" s="71" t="s">
        <v>124</v>
      </c>
    </row>
    <row r="31" spans="1:10" s="65" customFormat="1" ht="26.25">
      <c r="A31" s="71" t="s">
        <v>136</v>
      </c>
      <c r="B31" s="71" t="s">
        <v>107</v>
      </c>
      <c r="C31" s="72">
        <v>45006</v>
      </c>
      <c r="D31" s="71">
        <v>2</v>
      </c>
      <c r="E31" s="74">
        <f>VLOOKUP(TB_Vendas[[#This Row],[Código]],TB_Produtos[#All],6,FALSE)</f>
        <v>180</v>
      </c>
      <c r="F31" s="73" cm="1">
        <f t="array" ref="F31">INDEX(Desc_TabelaToda,MATCH(TB_Vendas[[#This Row],[Qtd]],Desc_Quantidades,1),MATCH(_xlfn.XLOOKUP(TB_Vendas[[#This Row],[Código]],TB_Produtos[[#All],[Código]],TB_Produtos[[#All],[Categoria]]),Desc_Categorias,0))</f>
        <v>0.15</v>
      </c>
      <c r="G31" s="73">
        <f>_xlfn.XLOOKUP(TB_Vendas[[#This Row],[Vendedor]],Vendedores!$A$4:$A$9,Vendedores!$D$4:$D$9)</f>
        <v>0.25</v>
      </c>
      <c r="H31" s="73">
        <f>IF(TB_Vendas[[#This Row],[Desc.]]&gt;TB_Vendas[[#This Row],[Desc. Vendedor]],TB_Vendas[[#This Row],[Desc. Vendedor]],TB_Vendas[[#This Row],[Desc.]])</f>
        <v>0.15</v>
      </c>
      <c r="I31" s="74">
        <f>(TB_Vendas[[#This Row],[Preço Unitário]]-(TB_Vendas[[#This Row],[Preço Unitário]]*TB_Vendas[[#This Row],[Desconto]]))*TB_Vendas[[#This Row],[Qtd]]</f>
        <v>306</v>
      </c>
      <c r="J31" s="71" t="s">
        <v>115</v>
      </c>
    </row>
    <row r="32" spans="1:10" s="65" customFormat="1" ht="26.25">
      <c r="A32" s="71" t="s">
        <v>136</v>
      </c>
      <c r="B32" s="71" t="s">
        <v>74</v>
      </c>
      <c r="C32" s="72">
        <v>45010</v>
      </c>
      <c r="D32" s="71">
        <v>3</v>
      </c>
      <c r="E32" s="74">
        <f>VLOOKUP(TB_Vendas[[#This Row],[Código]],TB_Produtos[#All],6,FALSE)</f>
        <v>349.9</v>
      </c>
      <c r="F32" s="73" cm="1">
        <f t="array" ref="F32">INDEX(Desc_TabelaToda,MATCH(TB_Vendas[[#This Row],[Qtd]],Desc_Quantidades,1),MATCH(_xlfn.XLOOKUP(TB_Vendas[[#This Row],[Código]],TB_Produtos[[#All],[Código]],TB_Produtos[[#All],[Categoria]]),Desc_Categorias,0))</f>
        <v>0.15</v>
      </c>
      <c r="G32" s="73">
        <f>_xlfn.XLOOKUP(TB_Vendas[[#This Row],[Vendedor]],Vendedores!$A$4:$A$9,Vendedores!$D$4:$D$9)</f>
        <v>0.2</v>
      </c>
      <c r="H32" s="73">
        <f>IF(TB_Vendas[[#This Row],[Desc.]]&gt;TB_Vendas[[#This Row],[Desc. Vendedor]],TB_Vendas[[#This Row],[Desc. Vendedor]],TB_Vendas[[#This Row],[Desc.]])</f>
        <v>0.15</v>
      </c>
      <c r="I32" s="74">
        <f>(TB_Vendas[[#This Row],[Preço Unitário]]-(TB_Vendas[[#This Row],[Preço Unitário]]*TB_Vendas[[#This Row],[Desconto]]))*TB_Vendas[[#This Row],[Qtd]]</f>
        <v>892.24499999999989</v>
      </c>
      <c r="J32" s="71" t="s">
        <v>112</v>
      </c>
    </row>
    <row r="33" spans="1:10" s="65" customFormat="1" ht="26.25">
      <c r="A33" s="71" t="s">
        <v>137</v>
      </c>
      <c r="B33" s="71" t="s">
        <v>92</v>
      </c>
      <c r="C33" s="72">
        <v>45018</v>
      </c>
      <c r="D33" s="71">
        <v>1</v>
      </c>
      <c r="E33" s="74">
        <f>VLOOKUP(TB_Vendas[[#This Row],[Código]],TB_Produtos[#All],6,FALSE)</f>
        <v>72.5</v>
      </c>
      <c r="F33" s="73" cm="1">
        <f t="array" ref="F33">INDEX(Desc_TabelaToda,MATCH(TB_Vendas[[#This Row],[Qtd]],Desc_Quantidades,1),MATCH(_xlfn.XLOOKUP(TB_Vendas[[#This Row],[Código]],TB_Produtos[[#All],[Código]],TB_Produtos[[#All],[Categoria]]),Desc_Categorias,0))</f>
        <v>0.1</v>
      </c>
      <c r="G33" s="73">
        <f>_xlfn.XLOOKUP(TB_Vendas[[#This Row],[Vendedor]],Vendedores!$A$4:$A$9,Vendedores!$D$4:$D$9)</f>
        <v>0.1</v>
      </c>
      <c r="H33" s="73">
        <f>IF(TB_Vendas[[#This Row],[Desc.]]&gt;TB_Vendas[[#This Row],[Desc. Vendedor]],TB_Vendas[[#This Row],[Desc. Vendedor]],TB_Vendas[[#This Row],[Desc.]])</f>
        <v>0.1</v>
      </c>
      <c r="I33" s="74">
        <f>(TB_Vendas[[#This Row],[Preço Unitário]]-(TB_Vendas[[#This Row],[Preço Unitário]]*TB_Vendas[[#This Row],[Desconto]]))*TB_Vendas[[#This Row],[Qtd]]</f>
        <v>65.25</v>
      </c>
      <c r="J33" s="71" t="s">
        <v>118</v>
      </c>
    </row>
    <row r="34" spans="1:10" s="65" customFormat="1" ht="26.25">
      <c r="A34" s="71" t="s">
        <v>137</v>
      </c>
      <c r="B34" s="71" t="s">
        <v>72</v>
      </c>
      <c r="C34" s="72">
        <v>45020</v>
      </c>
      <c r="D34" s="71">
        <v>4</v>
      </c>
      <c r="E34" s="74">
        <f>VLOOKUP(TB_Vendas[[#This Row],[Código]],TB_Produtos[#All],6,FALSE)</f>
        <v>259.89999999999998</v>
      </c>
      <c r="F34" s="73" cm="1">
        <f t="array" ref="F34">INDEX(Desc_TabelaToda,MATCH(TB_Vendas[[#This Row],[Qtd]],Desc_Quantidades,1),MATCH(_xlfn.XLOOKUP(TB_Vendas[[#This Row],[Código]],TB_Produtos[[#All],[Código]],TB_Produtos[[#All],[Categoria]]),Desc_Categorias,0))</f>
        <v>0.2</v>
      </c>
      <c r="G34" s="73">
        <f>_xlfn.XLOOKUP(TB_Vendas[[#This Row],[Vendedor]],Vendedores!$A$4:$A$9,Vendedores!$D$4:$D$9)</f>
        <v>0.2</v>
      </c>
      <c r="H34" s="73">
        <f>IF(TB_Vendas[[#This Row],[Desc.]]&gt;TB_Vendas[[#This Row],[Desc. Vendedor]],TB_Vendas[[#This Row],[Desc. Vendedor]],TB_Vendas[[#This Row],[Desc.]])</f>
        <v>0.2</v>
      </c>
      <c r="I34" s="74">
        <f>(TB_Vendas[[#This Row],[Preço Unitário]]-(TB_Vendas[[#This Row],[Preço Unitário]]*TB_Vendas[[#This Row],[Desconto]]))*TB_Vendas[[#This Row],[Qtd]]</f>
        <v>831.68</v>
      </c>
      <c r="J34" s="71" t="s">
        <v>112</v>
      </c>
    </row>
    <row r="35" spans="1:10" s="65" customFormat="1" ht="26.25">
      <c r="A35" s="71" t="s">
        <v>137</v>
      </c>
      <c r="B35" s="71" t="s">
        <v>64</v>
      </c>
      <c r="C35" s="72">
        <v>45024</v>
      </c>
      <c r="D35" s="71">
        <v>3</v>
      </c>
      <c r="E35" s="74">
        <f>VLOOKUP(TB_Vendas[[#This Row],[Código]],TB_Produtos[#All],6,FALSE)</f>
        <v>25.9</v>
      </c>
      <c r="F35" s="73" cm="1">
        <f t="array" ref="F35">INDEX(Desc_TabelaToda,MATCH(TB_Vendas[[#This Row],[Qtd]],Desc_Quantidades,1),MATCH(_xlfn.XLOOKUP(TB_Vendas[[#This Row],[Código]],TB_Produtos[[#All],[Código]],TB_Produtos[[#All],[Categoria]]),Desc_Categorias,0))</f>
        <v>0.2</v>
      </c>
      <c r="G35" s="73">
        <f>_xlfn.XLOOKUP(TB_Vendas[[#This Row],[Vendedor]],Vendedores!$A$4:$A$9,Vendedores!$D$4:$D$9)</f>
        <v>0.25</v>
      </c>
      <c r="H35" s="73">
        <f>IF(TB_Vendas[[#This Row],[Desc.]]&gt;TB_Vendas[[#This Row],[Desc. Vendedor]],TB_Vendas[[#This Row],[Desc. Vendedor]],TB_Vendas[[#This Row],[Desc.]])</f>
        <v>0.2</v>
      </c>
      <c r="I35" s="74">
        <f>(TB_Vendas[[#This Row],[Preço Unitário]]-(TB_Vendas[[#This Row],[Preço Unitário]]*TB_Vendas[[#This Row],[Desconto]]))*TB_Vendas[[#This Row],[Qtd]]</f>
        <v>62.16</v>
      </c>
      <c r="J35" s="71" t="s">
        <v>115</v>
      </c>
    </row>
    <row r="36" spans="1:10" s="65" customFormat="1" ht="26.25">
      <c r="A36" s="71" t="s">
        <v>137</v>
      </c>
      <c r="B36" s="71" t="s">
        <v>51</v>
      </c>
      <c r="C36" s="72">
        <v>45027</v>
      </c>
      <c r="D36" s="71">
        <v>2</v>
      </c>
      <c r="E36" s="74">
        <f>VLOOKUP(TB_Vendas[[#This Row],[Código]],TB_Produtos[#All],6,FALSE)</f>
        <v>145</v>
      </c>
      <c r="F36" s="73" cm="1">
        <f t="array" ref="F36">INDEX(Desc_TabelaToda,MATCH(TB_Vendas[[#This Row],[Qtd]],Desc_Quantidades,1),MATCH(_xlfn.XLOOKUP(TB_Vendas[[#This Row],[Código]],TB_Produtos[[#All],[Código]],TB_Produtos[[#All],[Categoria]]),Desc_Categorias,0))</f>
        <v>0.05</v>
      </c>
      <c r="G36" s="73">
        <f>_xlfn.XLOOKUP(TB_Vendas[[#This Row],[Vendedor]],Vendedores!$A$4:$A$9,Vendedores!$D$4:$D$9)</f>
        <v>0.2</v>
      </c>
      <c r="H36" s="73">
        <f>IF(TB_Vendas[[#This Row],[Desc.]]&gt;TB_Vendas[[#This Row],[Desc. Vendedor]],TB_Vendas[[#This Row],[Desc. Vendedor]],TB_Vendas[[#This Row],[Desc.]])</f>
        <v>0.05</v>
      </c>
      <c r="I36" s="74">
        <f>(TB_Vendas[[#This Row],[Preço Unitário]]-(TB_Vendas[[#This Row],[Preço Unitário]]*TB_Vendas[[#This Row],[Desconto]]))*TB_Vendas[[#This Row],[Qtd]]</f>
        <v>275.5</v>
      </c>
      <c r="J36" s="71" t="s">
        <v>112</v>
      </c>
    </row>
    <row r="37" spans="1:10" s="65" customFormat="1" ht="26.25">
      <c r="A37" s="71" t="s">
        <v>137</v>
      </c>
      <c r="B37" s="71" t="s">
        <v>54</v>
      </c>
      <c r="C37" s="72">
        <v>45028</v>
      </c>
      <c r="D37" s="71">
        <v>1</v>
      </c>
      <c r="E37" s="74">
        <f>VLOOKUP(TB_Vendas[[#This Row],[Código]],TB_Produtos[#All],6,FALSE)</f>
        <v>39.9</v>
      </c>
      <c r="F37" s="73" cm="1">
        <f t="array" ref="F37">INDEX(Desc_TabelaToda,MATCH(TB_Vendas[[#This Row],[Qtd]],Desc_Quantidades,1),MATCH(_xlfn.XLOOKUP(TB_Vendas[[#This Row],[Código]],TB_Produtos[[#All],[Código]],TB_Produtos[[#All],[Categoria]]),Desc_Categorias,0))</f>
        <v>0</v>
      </c>
      <c r="G37" s="73">
        <f>_xlfn.XLOOKUP(TB_Vendas[[#This Row],[Vendedor]],Vendedores!$A$4:$A$9,Vendedores!$D$4:$D$9)</f>
        <v>0.25</v>
      </c>
      <c r="H37" s="73">
        <f>IF(TB_Vendas[[#This Row],[Desc.]]&gt;TB_Vendas[[#This Row],[Desc. Vendedor]],TB_Vendas[[#This Row],[Desc. Vendedor]],TB_Vendas[[#This Row],[Desc.]])</f>
        <v>0</v>
      </c>
      <c r="I37" s="74">
        <f>(TB_Vendas[[#This Row],[Preço Unitário]]-(TB_Vendas[[#This Row],[Preço Unitário]]*TB_Vendas[[#This Row],[Desconto]]))*TB_Vendas[[#This Row],[Qtd]]</f>
        <v>39.9</v>
      </c>
      <c r="J37" s="71" t="s">
        <v>115</v>
      </c>
    </row>
    <row r="38" spans="1:10" s="65" customFormat="1" ht="26.25">
      <c r="A38" s="71" t="s">
        <v>137</v>
      </c>
      <c r="B38" s="71" t="s">
        <v>74</v>
      </c>
      <c r="C38" s="72">
        <v>45029</v>
      </c>
      <c r="D38" s="71">
        <v>3</v>
      </c>
      <c r="E38" s="74">
        <f>VLOOKUP(TB_Vendas[[#This Row],[Código]],TB_Produtos[#All],6,FALSE)</f>
        <v>349.9</v>
      </c>
      <c r="F38" s="73" cm="1">
        <f t="array" ref="F38">INDEX(Desc_TabelaToda,MATCH(TB_Vendas[[#This Row],[Qtd]],Desc_Quantidades,1),MATCH(_xlfn.XLOOKUP(TB_Vendas[[#This Row],[Código]],TB_Produtos[[#All],[Código]],TB_Produtos[[#All],[Categoria]]),Desc_Categorias,0))</f>
        <v>0.15</v>
      </c>
      <c r="G38" s="73">
        <f>_xlfn.XLOOKUP(TB_Vendas[[#This Row],[Vendedor]],Vendedores!$A$4:$A$9,Vendedores!$D$4:$D$9)</f>
        <v>0.2</v>
      </c>
      <c r="H38" s="73">
        <f>IF(TB_Vendas[[#This Row],[Desc.]]&gt;TB_Vendas[[#This Row],[Desc. Vendedor]],TB_Vendas[[#This Row],[Desc. Vendedor]],TB_Vendas[[#This Row],[Desc.]])</f>
        <v>0.15</v>
      </c>
      <c r="I38" s="74">
        <f>(TB_Vendas[[#This Row],[Preço Unitário]]-(TB_Vendas[[#This Row],[Preço Unitário]]*TB_Vendas[[#This Row],[Desconto]]))*TB_Vendas[[#This Row],[Qtd]]</f>
        <v>892.24499999999989</v>
      </c>
      <c r="J38" s="71" t="s">
        <v>121</v>
      </c>
    </row>
    <row r="39" spans="1:10" s="65" customFormat="1" ht="26.25">
      <c r="A39" s="71" t="s">
        <v>137</v>
      </c>
      <c r="B39" s="71" t="s">
        <v>105</v>
      </c>
      <c r="C39" s="72">
        <v>45031</v>
      </c>
      <c r="D39" s="71">
        <v>4</v>
      </c>
      <c r="E39" s="74">
        <f>VLOOKUP(TB_Vendas[[#This Row],[Código]],TB_Produtos[#All],6,FALSE)</f>
        <v>89.9</v>
      </c>
      <c r="F39" s="73" cm="1">
        <f t="array" ref="F39">INDEX(Desc_TabelaToda,MATCH(TB_Vendas[[#This Row],[Qtd]],Desc_Quantidades,1),MATCH(_xlfn.XLOOKUP(TB_Vendas[[#This Row],[Código]],TB_Produtos[[#All],[Código]],TB_Produtos[[#All],[Categoria]]),Desc_Categorias,0))</f>
        <v>0.15</v>
      </c>
      <c r="G39" s="73">
        <f>_xlfn.XLOOKUP(TB_Vendas[[#This Row],[Vendedor]],Vendedores!$A$4:$A$9,Vendedores!$D$4:$D$9)</f>
        <v>0.2</v>
      </c>
      <c r="H39" s="73">
        <f>IF(TB_Vendas[[#This Row],[Desc.]]&gt;TB_Vendas[[#This Row],[Desc. Vendedor]],TB_Vendas[[#This Row],[Desc. Vendedor]],TB_Vendas[[#This Row],[Desc.]])</f>
        <v>0.15</v>
      </c>
      <c r="I39" s="74">
        <f>(TB_Vendas[[#This Row],[Preço Unitário]]-(TB_Vendas[[#This Row],[Preço Unitário]]*TB_Vendas[[#This Row],[Desconto]]))*TB_Vendas[[#This Row],[Qtd]]</f>
        <v>305.66000000000003</v>
      </c>
      <c r="J39" s="71" t="s">
        <v>112</v>
      </c>
    </row>
    <row r="40" spans="1:10" s="65" customFormat="1" ht="26.25">
      <c r="A40" s="70" t="s">
        <v>137</v>
      </c>
      <c r="B40" s="71" t="s">
        <v>103</v>
      </c>
      <c r="C40" s="72">
        <v>45038</v>
      </c>
      <c r="D40" s="71">
        <v>2</v>
      </c>
      <c r="E40" s="74">
        <f>VLOOKUP(TB_Vendas[[#This Row],[Código]],TB_Produtos[#All],6,FALSE)</f>
        <v>89.9</v>
      </c>
      <c r="F40" s="73" cm="1">
        <f t="array" ref="F40">INDEX(Desc_TabelaToda,MATCH(TB_Vendas[[#This Row],[Qtd]],Desc_Quantidades,1),MATCH(_xlfn.XLOOKUP(TB_Vendas[[#This Row],[Código]],TB_Produtos[[#All],[Código]],TB_Produtos[[#All],[Categoria]]),Desc_Categorias,0))</f>
        <v>0.1</v>
      </c>
      <c r="G40" s="73">
        <f>_xlfn.XLOOKUP(TB_Vendas[[#This Row],[Vendedor]],Vendedores!$A$4:$A$9,Vendedores!$D$4:$D$9)</f>
        <v>0.2</v>
      </c>
      <c r="H40" s="73">
        <f>IF(TB_Vendas[[#This Row],[Desc.]]&gt;TB_Vendas[[#This Row],[Desc. Vendedor]],TB_Vendas[[#This Row],[Desc. Vendedor]],TB_Vendas[[#This Row],[Desc.]])</f>
        <v>0.1</v>
      </c>
      <c r="I40" s="74">
        <f>(TB_Vendas[[#This Row],[Preço Unitário]]-(TB_Vendas[[#This Row],[Preço Unitário]]*TB_Vendas[[#This Row],[Desconto]]))*TB_Vendas[[#This Row],[Qtd]]</f>
        <v>161.82000000000002</v>
      </c>
      <c r="J40" s="71" t="s">
        <v>121</v>
      </c>
    </row>
    <row r="41" spans="1:10" s="65" customFormat="1" ht="26.25">
      <c r="A41" s="70" t="s">
        <v>137</v>
      </c>
      <c r="B41" s="71" t="s">
        <v>47</v>
      </c>
      <c r="C41" s="72">
        <v>45039</v>
      </c>
      <c r="D41" s="71">
        <v>3</v>
      </c>
      <c r="E41" s="74">
        <f>VLOOKUP(TB_Vendas[[#This Row],[Código]],TB_Produtos[#All],6,FALSE)</f>
        <v>69.900000000000006</v>
      </c>
      <c r="F41" s="73" cm="1">
        <f t="array" ref="F41">INDEX(Desc_TabelaToda,MATCH(TB_Vendas[[#This Row],[Qtd]],Desc_Quantidades,1),MATCH(_xlfn.XLOOKUP(TB_Vendas[[#This Row],[Código]],TB_Produtos[[#All],[Código]],TB_Produtos[[#All],[Categoria]]),Desc_Categorias,0))</f>
        <v>0.2</v>
      </c>
      <c r="G41" s="73">
        <f>_xlfn.XLOOKUP(TB_Vendas[[#This Row],[Vendedor]],Vendedores!$A$4:$A$9,Vendedores!$D$4:$D$9)</f>
        <v>0.2</v>
      </c>
      <c r="H41" s="73">
        <f>IF(TB_Vendas[[#This Row],[Desc.]]&gt;TB_Vendas[[#This Row],[Desc. Vendedor]],TB_Vendas[[#This Row],[Desc. Vendedor]],TB_Vendas[[#This Row],[Desc.]])</f>
        <v>0.2</v>
      </c>
      <c r="I41" s="74">
        <f>(TB_Vendas[[#This Row],[Preço Unitário]]-(TB_Vendas[[#This Row],[Preço Unitário]]*TB_Vendas[[#This Row],[Desconto]]))*TB_Vendas[[#This Row],[Qtd]]</f>
        <v>167.76</v>
      </c>
      <c r="J41" s="71" t="s">
        <v>112</v>
      </c>
    </row>
    <row r="42" spans="1:10" s="65" customFormat="1" ht="26.25">
      <c r="A42" s="71" t="s">
        <v>137</v>
      </c>
      <c r="B42" s="71" t="s">
        <v>51</v>
      </c>
      <c r="C42" s="72">
        <v>45042</v>
      </c>
      <c r="D42" s="71">
        <v>1</v>
      </c>
      <c r="E42" s="74">
        <f>VLOOKUP(TB_Vendas[[#This Row],[Código]],TB_Produtos[#All],6,FALSE)</f>
        <v>145</v>
      </c>
      <c r="F42" s="73" cm="1">
        <f t="array" ref="F42">INDEX(Desc_TabelaToda,MATCH(TB_Vendas[[#This Row],[Qtd]],Desc_Quantidades,1),MATCH(_xlfn.XLOOKUP(TB_Vendas[[#This Row],[Código]],TB_Produtos[[#All],[Código]],TB_Produtos[[#All],[Categoria]]),Desc_Categorias,0))</f>
        <v>0</v>
      </c>
      <c r="G42" s="73">
        <f>_xlfn.XLOOKUP(TB_Vendas[[#This Row],[Vendedor]],Vendedores!$A$4:$A$9,Vendedores!$D$4:$D$9)</f>
        <v>0.15</v>
      </c>
      <c r="H42" s="73">
        <f>IF(TB_Vendas[[#This Row],[Desc.]]&gt;TB_Vendas[[#This Row],[Desc. Vendedor]],TB_Vendas[[#This Row],[Desc. Vendedor]],TB_Vendas[[#This Row],[Desc.]])</f>
        <v>0</v>
      </c>
      <c r="I42" s="74">
        <f>(TB_Vendas[[#This Row],[Preço Unitário]]-(TB_Vendas[[#This Row],[Preço Unitário]]*TB_Vendas[[#This Row],[Desconto]]))*TB_Vendas[[#This Row],[Qtd]]</f>
        <v>145</v>
      </c>
      <c r="J42" s="71" t="s">
        <v>124</v>
      </c>
    </row>
    <row r="43" spans="1:10" s="65" customFormat="1" ht="26.25">
      <c r="A43" s="71" t="s">
        <v>137</v>
      </c>
      <c r="B43" s="71" t="s">
        <v>59</v>
      </c>
      <c r="C43" s="72">
        <v>45043</v>
      </c>
      <c r="D43" s="71">
        <v>4</v>
      </c>
      <c r="E43" s="74">
        <f>VLOOKUP(TB_Vendas[[#This Row],[Código]],TB_Produtos[#All],6,FALSE)</f>
        <v>46.9</v>
      </c>
      <c r="F43" s="73" cm="1">
        <f t="array" ref="F43">INDEX(Desc_TabelaToda,MATCH(TB_Vendas[[#This Row],[Qtd]],Desc_Quantidades,1),MATCH(_xlfn.XLOOKUP(TB_Vendas[[#This Row],[Código]],TB_Produtos[[#All],[Código]],TB_Produtos[[#All],[Categoria]]),Desc_Categorias,0))</f>
        <v>0.2</v>
      </c>
      <c r="G43" s="73">
        <f>_xlfn.XLOOKUP(TB_Vendas[[#This Row],[Vendedor]],Vendedores!$A$4:$A$9,Vendedores!$D$4:$D$9)</f>
        <v>0.2</v>
      </c>
      <c r="H43" s="73">
        <f>IF(TB_Vendas[[#This Row],[Desc.]]&gt;TB_Vendas[[#This Row],[Desc. Vendedor]],TB_Vendas[[#This Row],[Desc. Vendedor]],TB_Vendas[[#This Row],[Desc.]])</f>
        <v>0.2</v>
      </c>
      <c r="I43" s="74">
        <f>(TB_Vendas[[#This Row],[Preço Unitário]]-(TB_Vendas[[#This Row],[Preço Unitário]]*TB_Vendas[[#This Row],[Desconto]]))*TB_Vendas[[#This Row],[Qtd]]</f>
        <v>150.07999999999998</v>
      </c>
      <c r="J43" s="71" t="s">
        <v>112</v>
      </c>
    </row>
    <row r="44" spans="1:10" s="65" customFormat="1" ht="26.25">
      <c r="A44" s="71" t="s">
        <v>138</v>
      </c>
      <c r="B44" s="71" t="s">
        <v>91</v>
      </c>
      <c r="C44" s="72">
        <v>45054</v>
      </c>
      <c r="D44" s="71">
        <v>2</v>
      </c>
      <c r="E44" s="74">
        <f>VLOOKUP(TB_Vendas[[#This Row],[Código]],TB_Produtos[#All],6,FALSE)</f>
        <v>72.5</v>
      </c>
      <c r="F44" s="73" cm="1">
        <f t="array" ref="F44">INDEX(Desc_TabelaToda,MATCH(TB_Vendas[[#This Row],[Qtd]],Desc_Quantidades,1),MATCH(_xlfn.XLOOKUP(TB_Vendas[[#This Row],[Código]],TB_Produtos[[#All],[Código]],TB_Produtos[[#All],[Categoria]]),Desc_Categorias,0))</f>
        <v>0.15</v>
      </c>
      <c r="G44" s="73">
        <f>_xlfn.XLOOKUP(TB_Vendas[[#This Row],[Vendedor]],Vendedores!$A$4:$A$9,Vendedores!$D$4:$D$9)</f>
        <v>0.15</v>
      </c>
      <c r="H44" s="73">
        <f>IF(TB_Vendas[[#This Row],[Desc.]]&gt;TB_Vendas[[#This Row],[Desc. Vendedor]],TB_Vendas[[#This Row],[Desc. Vendedor]],TB_Vendas[[#This Row],[Desc.]])</f>
        <v>0.15</v>
      </c>
      <c r="I44" s="74">
        <f>(TB_Vendas[[#This Row],[Preço Unitário]]-(TB_Vendas[[#This Row],[Preço Unitário]]*TB_Vendas[[#This Row],[Desconto]]))*TB_Vendas[[#This Row],[Qtd]]</f>
        <v>123.25</v>
      </c>
      <c r="J44" s="71" t="s">
        <v>124</v>
      </c>
    </row>
    <row r="45" spans="1:10" s="65" customFormat="1" ht="26.25">
      <c r="A45" s="71" t="s">
        <v>138</v>
      </c>
      <c r="B45" s="71" t="s">
        <v>85</v>
      </c>
      <c r="C45" s="72">
        <v>45055</v>
      </c>
      <c r="D45" s="71">
        <v>3</v>
      </c>
      <c r="E45" s="74">
        <f>VLOOKUP(TB_Vendas[[#This Row],[Código]],TB_Produtos[#All],6,FALSE)</f>
        <v>140</v>
      </c>
      <c r="F45" s="73" cm="1">
        <f t="array" ref="F45">INDEX(Desc_TabelaToda,MATCH(TB_Vendas[[#This Row],[Qtd]],Desc_Quantidades,1),MATCH(_xlfn.XLOOKUP(TB_Vendas[[#This Row],[Código]],TB_Produtos[[#All],[Código]],TB_Produtos[[#All],[Categoria]]),Desc_Categorias,0))</f>
        <v>0.2</v>
      </c>
      <c r="G45" s="73">
        <f>_xlfn.XLOOKUP(TB_Vendas[[#This Row],[Vendedor]],Vendedores!$A$4:$A$9,Vendedores!$D$4:$D$9)</f>
        <v>0.2</v>
      </c>
      <c r="H45" s="73">
        <f>IF(TB_Vendas[[#This Row],[Desc.]]&gt;TB_Vendas[[#This Row],[Desc. Vendedor]],TB_Vendas[[#This Row],[Desc. Vendedor]],TB_Vendas[[#This Row],[Desc.]])</f>
        <v>0.2</v>
      </c>
      <c r="I45" s="74">
        <f>(TB_Vendas[[#This Row],[Preço Unitário]]-(TB_Vendas[[#This Row],[Preço Unitário]]*TB_Vendas[[#This Row],[Desconto]]))*TB_Vendas[[#This Row],[Qtd]]</f>
        <v>336</v>
      </c>
      <c r="J45" s="71" t="s">
        <v>121</v>
      </c>
    </row>
    <row r="46" spans="1:10" s="65" customFormat="1" ht="26.25">
      <c r="A46" s="71" t="s">
        <v>138</v>
      </c>
      <c r="B46" s="71" t="s">
        <v>83</v>
      </c>
      <c r="C46" s="72">
        <v>45056</v>
      </c>
      <c r="D46" s="71">
        <v>1</v>
      </c>
      <c r="E46" s="74">
        <f>VLOOKUP(TB_Vendas[[#This Row],[Código]],TB_Produtos[#All],6,FALSE)</f>
        <v>91.4</v>
      </c>
      <c r="F46" s="73" cm="1">
        <f t="array" ref="F46">INDEX(Desc_TabelaToda,MATCH(TB_Vendas[[#This Row],[Qtd]],Desc_Quantidades,1),MATCH(_xlfn.XLOOKUP(TB_Vendas[[#This Row],[Código]],TB_Produtos[[#All],[Código]],TB_Produtos[[#All],[Categoria]]),Desc_Categorias,0))</f>
        <v>0.1</v>
      </c>
      <c r="G46" s="73">
        <f>_xlfn.XLOOKUP(TB_Vendas[[#This Row],[Vendedor]],Vendedores!$A$4:$A$9,Vendedores!$D$4:$D$9)</f>
        <v>0.25</v>
      </c>
      <c r="H46" s="73">
        <f>IF(TB_Vendas[[#This Row],[Desc.]]&gt;TB_Vendas[[#This Row],[Desc. Vendedor]],TB_Vendas[[#This Row],[Desc. Vendedor]],TB_Vendas[[#This Row],[Desc.]])</f>
        <v>0.1</v>
      </c>
      <c r="I46" s="74">
        <f>(TB_Vendas[[#This Row],[Preço Unitário]]-(TB_Vendas[[#This Row],[Preço Unitário]]*TB_Vendas[[#This Row],[Desconto]]))*TB_Vendas[[#This Row],[Qtd]]</f>
        <v>82.26</v>
      </c>
      <c r="J46" s="71" t="s">
        <v>115</v>
      </c>
    </row>
    <row r="47" spans="1:10" s="65" customFormat="1" ht="26.25">
      <c r="A47" s="71" t="s">
        <v>138</v>
      </c>
      <c r="B47" s="71" t="s">
        <v>74</v>
      </c>
      <c r="C47" s="72">
        <v>45057</v>
      </c>
      <c r="D47" s="71">
        <v>2</v>
      </c>
      <c r="E47" s="74">
        <f>VLOOKUP(TB_Vendas[[#This Row],[Código]],TB_Produtos[#All],6,FALSE)</f>
        <v>349.9</v>
      </c>
      <c r="F47" s="73" cm="1">
        <f t="array" ref="F47">INDEX(Desc_TabelaToda,MATCH(TB_Vendas[[#This Row],[Qtd]],Desc_Quantidades,1),MATCH(_xlfn.XLOOKUP(TB_Vendas[[#This Row],[Código]],TB_Produtos[[#All],[Código]],TB_Produtos[[#All],[Categoria]]),Desc_Categorias,0))</f>
        <v>0.05</v>
      </c>
      <c r="G47" s="73">
        <f>_xlfn.XLOOKUP(TB_Vendas[[#This Row],[Vendedor]],Vendedores!$A$4:$A$9,Vendedores!$D$4:$D$9)</f>
        <v>0.2</v>
      </c>
      <c r="H47" s="73">
        <f>IF(TB_Vendas[[#This Row],[Desc.]]&gt;TB_Vendas[[#This Row],[Desc. Vendedor]],TB_Vendas[[#This Row],[Desc. Vendedor]],TB_Vendas[[#This Row],[Desc.]])</f>
        <v>0.05</v>
      </c>
      <c r="I47" s="74">
        <f>(TB_Vendas[[#This Row],[Preço Unitário]]-(TB_Vendas[[#This Row],[Preço Unitário]]*TB_Vendas[[#This Row],[Desconto]]))*TB_Vendas[[#This Row],[Qtd]]</f>
        <v>664.81</v>
      </c>
      <c r="J47" s="71" t="s">
        <v>121</v>
      </c>
    </row>
    <row r="48" spans="1:10" s="65" customFormat="1" ht="26.25">
      <c r="A48" s="71" t="s">
        <v>138</v>
      </c>
      <c r="B48" s="71" t="s">
        <v>45</v>
      </c>
      <c r="C48" s="72">
        <v>45058</v>
      </c>
      <c r="D48" s="71">
        <v>3</v>
      </c>
      <c r="E48" s="74">
        <f>VLOOKUP(TB_Vendas[[#This Row],[Código]],TB_Produtos[#All],6,FALSE)</f>
        <v>65.900000000000006</v>
      </c>
      <c r="F48" s="73" cm="1">
        <f t="array" ref="F48">INDEX(Desc_TabelaToda,MATCH(TB_Vendas[[#This Row],[Qtd]],Desc_Quantidades,1),MATCH(_xlfn.XLOOKUP(TB_Vendas[[#This Row],[Código]],TB_Produtos[[#All],[Código]],TB_Produtos[[#All],[Categoria]]),Desc_Categorias,0))</f>
        <v>0.2</v>
      </c>
      <c r="G48" s="73">
        <f>_xlfn.XLOOKUP(TB_Vendas[[#This Row],[Vendedor]],Vendedores!$A$4:$A$9,Vendedores!$D$4:$D$9)</f>
        <v>0.25</v>
      </c>
      <c r="H48" s="73">
        <f>IF(TB_Vendas[[#This Row],[Desc.]]&gt;TB_Vendas[[#This Row],[Desc. Vendedor]],TB_Vendas[[#This Row],[Desc. Vendedor]],TB_Vendas[[#This Row],[Desc.]])</f>
        <v>0.2</v>
      </c>
      <c r="I48" s="74">
        <f>(TB_Vendas[[#This Row],[Preço Unitário]]-(TB_Vendas[[#This Row],[Preço Unitário]]*TB_Vendas[[#This Row],[Desconto]]))*TB_Vendas[[#This Row],[Qtd]]</f>
        <v>158.16000000000003</v>
      </c>
      <c r="J48" s="71" t="s">
        <v>115</v>
      </c>
    </row>
    <row r="49" spans="1:10" s="65" customFormat="1" ht="26.25">
      <c r="A49" s="71" t="s">
        <v>138</v>
      </c>
      <c r="B49" s="71" t="s">
        <v>83</v>
      </c>
      <c r="C49" s="72">
        <v>45061</v>
      </c>
      <c r="D49" s="71">
        <v>2</v>
      </c>
      <c r="E49" s="74">
        <f>VLOOKUP(TB_Vendas[[#This Row],[Código]],TB_Produtos[#All],6,FALSE)</f>
        <v>91.4</v>
      </c>
      <c r="F49" s="73" cm="1">
        <f t="array" ref="F49">INDEX(Desc_TabelaToda,MATCH(TB_Vendas[[#This Row],[Qtd]],Desc_Quantidades,1),MATCH(_xlfn.XLOOKUP(TB_Vendas[[#This Row],[Código]],TB_Produtos[[#All],[Código]],TB_Produtos[[#All],[Categoria]]),Desc_Categorias,0))</f>
        <v>0.15</v>
      </c>
      <c r="G49" s="73">
        <f>_xlfn.XLOOKUP(TB_Vendas[[#This Row],[Vendedor]],Vendedores!$A$4:$A$9,Vendedores!$D$4:$D$9)</f>
        <v>0.2</v>
      </c>
      <c r="H49" s="73">
        <f>IF(TB_Vendas[[#This Row],[Desc.]]&gt;TB_Vendas[[#This Row],[Desc. Vendedor]],TB_Vendas[[#This Row],[Desc. Vendedor]],TB_Vendas[[#This Row],[Desc.]])</f>
        <v>0.15</v>
      </c>
      <c r="I49" s="74">
        <f>(TB_Vendas[[#This Row],[Preço Unitário]]-(TB_Vendas[[#This Row],[Preço Unitário]]*TB_Vendas[[#This Row],[Desconto]]))*TB_Vendas[[#This Row],[Qtd]]</f>
        <v>155.38</v>
      </c>
      <c r="J49" s="71" t="s">
        <v>112</v>
      </c>
    </row>
    <row r="50" spans="1:10" s="65" customFormat="1" ht="26.25">
      <c r="A50" s="70" t="s">
        <v>138</v>
      </c>
      <c r="B50" s="71" t="s">
        <v>53</v>
      </c>
      <c r="C50" s="72">
        <v>45064</v>
      </c>
      <c r="D50" s="71">
        <v>4</v>
      </c>
      <c r="E50" s="74">
        <f>VLOOKUP(TB_Vendas[[#This Row],[Código]],TB_Produtos[#All],6,FALSE)</f>
        <v>259.89999999999998</v>
      </c>
      <c r="F50" s="73" cm="1">
        <f t="array" ref="F50">INDEX(Desc_TabelaToda,MATCH(TB_Vendas[[#This Row],[Qtd]],Desc_Quantidades,1),MATCH(_xlfn.XLOOKUP(TB_Vendas[[#This Row],[Código]],TB_Produtos[[#All],[Código]],TB_Produtos[[#All],[Categoria]]),Desc_Categorias,0))</f>
        <v>0.15</v>
      </c>
      <c r="G50" s="73">
        <f>_xlfn.XLOOKUP(TB_Vendas[[#This Row],[Vendedor]],Vendedores!$A$4:$A$9,Vendedores!$D$4:$D$9)</f>
        <v>0.25</v>
      </c>
      <c r="H50" s="73">
        <f>IF(TB_Vendas[[#This Row],[Desc.]]&gt;TB_Vendas[[#This Row],[Desc. Vendedor]],TB_Vendas[[#This Row],[Desc. Vendedor]],TB_Vendas[[#This Row],[Desc.]])</f>
        <v>0.15</v>
      </c>
      <c r="I50" s="74">
        <f>(TB_Vendas[[#This Row],[Preço Unitário]]-(TB_Vendas[[#This Row],[Preço Unitário]]*TB_Vendas[[#This Row],[Desconto]]))*TB_Vendas[[#This Row],[Qtd]]</f>
        <v>883.66</v>
      </c>
      <c r="J50" s="71" t="s">
        <v>115</v>
      </c>
    </row>
    <row r="51" spans="1:10" s="65" customFormat="1" ht="26.25">
      <c r="A51" s="70" t="s">
        <v>139</v>
      </c>
      <c r="B51" s="71" t="s">
        <v>51</v>
      </c>
      <c r="C51" s="72">
        <v>45084</v>
      </c>
      <c r="D51" s="71">
        <v>3</v>
      </c>
      <c r="E51" s="74">
        <f>VLOOKUP(TB_Vendas[[#This Row],[Código]],TB_Produtos[#All],6,FALSE)</f>
        <v>145</v>
      </c>
      <c r="F51" s="73" cm="1">
        <f t="array" ref="F51">INDEX(Desc_TabelaToda,MATCH(TB_Vendas[[#This Row],[Qtd]],Desc_Quantidades,1),MATCH(_xlfn.XLOOKUP(TB_Vendas[[#This Row],[Código]],TB_Produtos[[#All],[Código]],TB_Produtos[[#All],[Categoria]]),Desc_Categorias,0))</f>
        <v>0.15</v>
      </c>
      <c r="G51" s="73">
        <f>_xlfn.XLOOKUP(TB_Vendas[[#This Row],[Vendedor]],Vendedores!$A$4:$A$9,Vendedores!$D$4:$D$9)</f>
        <v>0.2</v>
      </c>
      <c r="H51" s="73">
        <f>IF(TB_Vendas[[#This Row],[Desc.]]&gt;TB_Vendas[[#This Row],[Desc. Vendedor]],TB_Vendas[[#This Row],[Desc. Vendedor]],TB_Vendas[[#This Row],[Desc.]])</f>
        <v>0.15</v>
      </c>
      <c r="I51" s="74">
        <f>(TB_Vendas[[#This Row],[Preço Unitário]]-(TB_Vendas[[#This Row],[Preço Unitário]]*TB_Vendas[[#This Row],[Desconto]]))*TB_Vendas[[#This Row],[Qtd]]</f>
        <v>369.75</v>
      </c>
      <c r="J51" s="71" t="s">
        <v>112</v>
      </c>
    </row>
    <row r="52" spans="1:10" s="65" customFormat="1" ht="26.25">
      <c r="A52" s="71" t="s">
        <v>139</v>
      </c>
      <c r="B52" s="71" t="s">
        <v>86</v>
      </c>
      <c r="C52" s="72">
        <v>45084</v>
      </c>
      <c r="D52" s="71">
        <v>2</v>
      </c>
      <c r="E52" s="74">
        <f>VLOOKUP(TB_Vendas[[#This Row],[Código]],TB_Produtos[#All],6,FALSE)</f>
        <v>142.9</v>
      </c>
      <c r="F52" s="73" cm="1">
        <f t="array" ref="F52">INDEX(Desc_TabelaToda,MATCH(TB_Vendas[[#This Row],[Qtd]],Desc_Quantidades,1),MATCH(_xlfn.XLOOKUP(TB_Vendas[[#This Row],[Código]],TB_Produtos[[#All],[Código]],TB_Produtos[[#All],[Categoria]]),Desc_Categorias,0))</f>
        <v>0.15</v>
      </c>
      <c r="G52" s="73">
        <f>_xlfn.XLOOKUP(TB_Vendas[[#This Row],[Vendedor]],Vendedores!$A$4:$A$9,Vendedores!$D$4:$D$9)</f>
        <v>0.1</v>
      </c>
      <c r="H52" s="73">
        <f>IF(TB_Vendas[[#This Row],[Desc.]]&gt;TB_Vendas[[#This Row],[Desc. Vendedor]],TB_Vendas[[#This Row],[Desc. Vendedor]],TB_Vendas[[#This Row],[Desc.]])</f>
        <v>0.1</v>
      </c>
      <c r="I52" s="74">
        <f>(TB_Vendas[[#This Row],[Preço Unitário]]-(TB_Vendas[[#This Row],[Preço Unitário]]*TB_Vendas[[#This Row],[Desconto]]))*TB_Vendas[[#This Row],[Qtd]]</f>
        <v>257.22000000000003</v>
      </c>
      <c r="J52" s="71" t="s">
        <v>118</v>
      </c>
    </row>
    <row r="53" spans="1:10" s="65" customFormat="1" ht="26.25">
      <c r="A53" s="70" t="s">
        <v>139</v>
      </c>
      <c r="B53" s="71" t="s">
        <v>107</v>
      </c>
      <c r="C53" s="72">
        <v>45086</v>
      </c>
      <c r="D53" s="71">
        <v>2</v>
      </c>
      <c r="E53" s="74">
        <f>VLOOKUP(TB_Vendas[[#This Row],[Código]],TB_Produtos[#All],6,FALSE)</f>
        <v>180</v>
      </c>
      <c r="F53" s="73" cm="1">
        <f t="array" ref="F53">INDEX(Desc_TabelaToda,MATCH(TB_Vendas[[#This Row],[Qtd]],Desc_Quantidades,1),MATCH(_xlfn.XLOOKUP(TB_Vendas[[#This Row],[Código]],TB_Produtos[[#All],[Código]],TB_Produtos[[#All],[Categoria]]),Desc_Categorias,0))</f>
        <v>0.15</v>
      </c>
      <c r="G53" s="73">
        <f>_xlfn.XLOOKUP(TB_Vendas[[#This Row],[Vendedor]],Vendedores!$A$4:$A$9,Vendedores!$D$4:$D$9)</f>
        <v>0.2</v>
      </c>
      <c r="H53" s="73">
        <f>IF(TB_Vendas[[#This Row],[Desc.]]&gt;TB_Vendas[[#This Row],[Desc. Vendedor]],TB_Vendas[[#This Row],[Desc. Vendedor]],TB_Vendas[[#This Row],[Desc.]])</f>
        <v>0.15</v>
      </c>
      <c r="I53" s="74">
        <f>(TB_Vendas[[#This Row],[Preço Unitário]]-(TB_Vendas[[#This Row],[Preço Unitário]]*TB_Vendas[[#This Row],[Desconto]]))*TB_Vendas[[#This Row],[Qtd]]</f>
        <v>306</v>
      </c>
      <c r="J53" s="71" t="s">
        <v>112</v>
      </c>
    </row>
    <row r="54" spans="1:10" s="65" customFormat="1" ht="26.25">
      <c r="A54" s="70" t="s">
        <v>139</v>
      </c>
      <c r="B54" s="71" t="s">
        <v>63</v>
      </c>
      <c r="C54" s="72">
        <v>45086</v>
      </c>
      <c r="D54" s="71">
        <v>2</v>
      </c>
      <c r="E54" s="74">
        <f>VLOOKUP(TB_Vendas[[#This Row],[Código]],TB_Produtos[#All],6,FALSE)</f>
        <v>42.5</v>
      </c>
      <c r="F54" s="73" cm="1">
        <f t="array" ref="F54">INDEX(Desc_TabelaToda,MATCH(TB_Vendas[[#This Row],[Qtd]],Desc_Quantidades,1),MATCH(_xlfn.XLOOKUP(TB_Vendas[[#This Row],[Código]],TB_Produtos[[#All],[Código]],TB_Produtos[[#All],[Categoria]]),Desc_Categorias,0))</f>
        <v>0.15</v>
      </c>
      <c r="G54" s="73">
        <f>_xlfn.XLOOKUP(TB_Vendas[[#This Row],[Vendedor]],Vendedores!$A$4:$A$9,Vendedores!$D$4:$D$9)</f>
        <v>0.1</v>
      </c>
      <c r="H54" s="73">
        <f>IF(TB_Vendas[[#This Row],[Desc.]]&gt;TB_Vendas[[#This Row],[Desc. Vendedor]],TB_Vendas[[#This Row],[Desc. Vendedor]],TB_Vendas[[#This Row],[Desc.]])</f>
        <v>0.1</v>
      </c>
      <c r="I54" s="74">
        <f>(TB_Vendas[[#This Row],[Preço Unitário]]-(TB_Vendas[[#This Row],[Preço Unitário]]*TB_Vendas[[#This Row],[Desconto]]))*TB_Vendas[[#This Row],[Qtd]]</f>
        <v>76.5</v>
      </c>
      <c r="J54" s="71" t="s">
        <v>118</v>
      </c>
    </row>
    <row r="55" spans="1:10" s="65" customFormat="1" ht="26.25">
      <c r="A55" s="71" t="s">
        <v>139</v>
      </c>
      <c r="B55" s="71" t="s">
        <v>45</v>
      </c>
      <c r="C55" s="72">
        <v>45088</v>
      </c>
      <c r="D55" s="71">
        <v>1</v>
      </c>
      <c r="E55" s="74">
        <f>VLOOKUP(TB_Vendas[[#This Row],[Código]],TB_Produtos[#All],6,FALSE)</f>
        <v>65.900000000000006</v>
      </c>
      <c r="F55" s="73" cm="1">
        <f t="array" ref="F55">INDEX(Desc_TabelaToda,MATCH(TB_Vendas[[#This Row],[Qtd]],Desc_Quantidades,1),MATCH(_xlfn.XLOOKUP(TB_Vendas[[#This Row],[Código]],TB_Produtos[[#All],[Código]],TB_Produtos[[#All],[Categoria]]),Desc_Categorias,0))</f>
        <v>0.1</v>
      </c>
      <c r="G55" s="73">
        <f>_xlfn.XLOOKUP(TB_Vendas[[#This Row],[Vendedor]],Vendedores!$A$4:$A$9,Vendedores!$D$4:$D$9)</f>
        <v>0.25</v>
      </c>
      <c r="H55" s="73">
        <f>IF(TB_Vendas[[#This Row],[Desc.]]&gt;TB_Vendas[[#This Row],[Desc. Vendedor]],TB_Vendas[[#This Row],[Desc. Vendedor]],TB_Vendas[[#This Row],[Desc.]])</f>
        <v>0.1</v>
      </c>
      <c r="I55" s="74">
        <f>(TB_Vendas[[#This Row],[Preço Unitário]]-(TB_Vendas[[#This Row],[Preço Unitário]]*TB_Vendas[[#This Row],[Desconto]]))*TB_Vendas[[#This Row],[Qtd]]</f>
        <v>59.31</v>
      </c>
      <c r="J55" s="71" t="s">
        <v>115</v>
      </c>
    </row>
    <row r="56" spans="1:10" s="65" customFormat="1" ht="26.25">
      <c r="A56" s="70" t="s">
        <v>139</v>
      </c>
      <c r="B56" s="71" t="s">
        <v>106</v>
      </c>
      <c r="C56" s="72">
        <v>45090</v>
      </c>
      <c r="D56" s="71">
        <v>1</v>
      </c>
      <c r="E56" s="74">
        <f>VLOOKUP(TB_Vendas[[#This Row],[Código]],TB_Produtos[#All],6,FALSE)</f>
        <v>180</v>
      </c>
      <c r="F56" s="73" cm="1">
        <f t="array" ref="F56">INDEX(Desc_TabelaToda,MATCH(TB_Vendas[[#This Row],[Qtd]],Desc_Quantidades,1),MATCH(_xlfn.XLOOKUP(TB_Vendas[[#This Row],[Código]],TB_Produtos[[#All],[Código]],TB_Produtos[[#All],[Categoria]]),Desc_Categorias,0))</f>
        <v>0.1</v>
      </c>
      <c r="G56" s="73">
        <f>_xlfn.XLOOKUP(TB_Vendas[[#This Row],[Vendedor]],Vendedores!$A$4:$A$9,Vendedores!$D$4:$D$9)</f>
        <v>0.1</v>
      </c>
      <c r="H56" s="73">
        <f>IF(TB_Vendas[[#This Row],[Desc.]]&gt;TB_Vendas[[#This Row],[Desc. Vendedor]],TB_Vendas[[#This Row],[Desc. Vendedor]],TB_Vendas[[#This Row],[Desc.]])</f>
        <v>0.1</v>
      </c>
      <c r="I56" s="74">
        <f>(TB_Vendas[[#This Row],[Preço Unitário]]-(TB_Vendas[[#This Row],[Preço Unitário]]*TB_Vendas[[#This Row],[Desconto]]))*TB_Vendas[[#This Row],[Qtd]]</f>
        <v>162</v>
      </c>
      <c r="J56" s="71" t="s">
        <v>118</v>
      </c>
    </row>
    <row r="57" spans="1:10" s="65" customFormat="1" ht="26.25">
      <c r="A57" s="70" t="s">
        <v>139</v>
      </c>
      <c r="B57" s="71" t="s">
        <v>98</v>
      </c>
      <c r="C57" s="72">
        <v>45093</v>
      </c>
      <c r="D57" s="71">
        <v>3</v>
      </c>
      <c r="E57" s="74">
        <f>VLOOKUP(TB_Vendas[[#This Row],[Código]],TB_Produtos[#All],6,FALSE)</f>
        <v>32.9</v>
      </c>
      <c r="F57" s="73" cm="1">
        <f t="array" ref="F57">INDEX(Desc_TabelaToda,MATCH(TB_Vendas[[#This Row],[Qtd]],Desc_Quantidades,1),MATCH(_xlfn.XLOOKUP(TB_Vendas[[#This Row],[Código]],TB_Produtos[[#All],[Código]],TB_Produtos[[#All],[Categoria]]),Desc_Categorias,0))</f>
        <v>0.2</v>
      </c>
      <c r="G57" s="73">
        <f>_xlfn.XLOOKUP(TB_Vendas[[#This Row],[Vendedor]],Vendedores!$A$4:$A$9,Vendedores!$D$4:$D$9)</f>
        <v>0.25</v>
      </c>
      <c r="H57" s="73">
        <f>IF(TB_Vendas[[#This Row],[Desc.]]&gt;TB_Vendas[[#This Row],[Desc. Vendedor]],TB_Vendas[[#This Row],[Desc. Vendedor]],TB_Vendas[[#This Row],[Desc.]])</f>
        <v>0.2</v>
      </c>
      <c r="I57" s="74">
        <f>(TB_Vendas[[#This Row],[Preço Unitário]]-(TB_Vendas[[#This Row],[Preço Unitário]]*TB_Vendas[[#This Row],[Desconto]]))*TB_Vendas[[#This Row],[Qtd]]</f>
        <v>78.960000000000008</v>
      </c>
      <c r="J57" s="71" t="s">
        <v>115</v>
      </c>
    </row>
    <row r="58" spans="1:10" s="65" customFormat="1" ht="26.25">
      <c r="A58" s="71" t="s">
        <v>139</v>
      </c>
      <c r="B58" s="71" t="s">
        <v>57</v>
      </c>
      <c r="C58" s="72">
        <v>45093</v>
      </c>
      <c r="D58" s="71">
        <v>4</v>
      </c>
      <c r="E58" s="74">
        <f>VLOOKUP(TB_Vendas[[#This Row],[Código]],TB_Produtos[#All],6,FALSE)</f>
        <v>92.9</v>
      </c>
      <c r="F58" s="73" cm="1">
        <f t="array" ref="F58">INDEX(Desc_TabelaToda,MATCH(TB_Vendas[[#This Row],[Qtd]],Desc_Quantidades,1),MATCH(_xlfn.XLOOKUP(TB_Vendas[[#This Row],[Código]],TB_Produtos[[#All],[Código]],TB_Produtos[[#All],[Categoria]]),Desc_Categorias,0))</f>
        <v>0.2</v>
      </c>
      <c r="G58" s="73">
        <f>_xlfn.XLOOKUP(TB_Vendas[[#This Row],[Vendedor]],Vendedores!$A$4:$A$9,Vendedores!$D$4:$D$9)</f>
        <v>0.2</v>
      </c>
      <c r="H58" s="73">
        <f>IF(TB_Vendas[[#This Row],[Desc.]]&gt;TB_Vendas[[#This Row],[Desc. Vendedor]],TB_Vendas[[#This Row],[Desc. Vendedor]],TB_Vendas[[#This Row],[Desc.]])</f>
        <v>0.2</v>
      </c>
      <c r="I58" s="74">
        <f>(TB_Vendas[[#This Row],[Preço Unitário]]-(TB_Vendas[[#This Row],[Preço Unitário]]*TB_Vendas[[#This Row],[Desconto]]))*TB_Vendas[[#This Row],[Qtd]]</f>
        <v>297.28000000000003</v>
      </c>
      <c r="J58" s="71" t="s">
        <v>112</v>
      </c>
    </row>
    <row r="59" spans="1:10" s="65" customFormat="1" ht="26.25">
      <c r="A59" s="70" t="s">
        <v>139</v>
      </c>
      <c r="B59" s="71" t="s">
        <v>81</v>
      </c>
      <c r="C59" s="72">
        <v>45094</v>
      </c>
      <c r="D59" s="71">
        <v>2</v>
      </c>
      <c r="E59" s="74">
        <f>VLOOKUP(TB_Vendas[[#This Row],[Código]],TB_Produtos[#All],6,FALSE)</f>
        <v>259.89999999999998</v>
      </c>
      <c r="F59" s="73" cm="1">
        <f t="array" ref="F59">INDEX(Desc_TabelaToda,MATCH(TB_Vendas[[#This Row],[Qtd]],Desc_Quantidades,1),MATCH(_xlfn.XLOOKUP(TB_Vendas[[#This Row],[Código]],TB_Produtos[[#All],[Código]],TB_Produtos[[#All],[Categoria]]),Desc_Categorias,0))</f>
        <v>0.1</v>
      </c>
      <c r="G59" s="73">
        <f>_xlfn.XLOOKUP(TB_Vendas[[#This Row],[Vendedor]],Vendedores!$A$4:$A$9,Vendedores!$D$4:$D$9)</f>
        <v>0.1</v>
      </c>
      <c r="H59" s="73">
        <f>IF(TB_Vendas[[#This Row],[Desc.]]&gt;TB_Vendas[[#This Row],[Desc. Vendedor]],TB_Vendas[[#This Row],[Desc. Vendedor]],TB_Vendas[[#This Row],[Desc.]])</f>
        <v>0.1</v>
      </c>
      <c r="I59" s="74">
        <f>(TB_Vendas[[#This Row],[Preço Unitário]]-(TB_Vendas[[#This Row],[Preço Unitário]]*TB_Vendas[[#This Row],[Desconto]]))*TB_Vendas[[#This Row],[Qtd]]</f>
        <v>467.81999999999994</v>
      </c>
      <c r="J59" s="71" t="s">
        <v>118</v>
      </c>
    </row>
    <row r="60" spans="1:10" s="65" customFormat="1" ht="26.25">
      <c r="A60" s="70" t="s">
        <v>139</v>
      </c>
      <c r="B60" s="71" t="s">
        <v>72</v>
      </c>
      <c r="C60" s="72">
        <v>45097</v>
      </c>
      <c r="D60" s="71">
        <v>1</v>
      </c>
      <c r="E60" s="74">
        <f>VLOOKUP(TB_Vendas[[#This Row],[Código]],TB_Produtos[#All],6,FALSE)</f>
        <v>259.89999999999998</v>
      </c>
      <c r="F60" s="73" cm="1">
        <f t="array" ref="F60">INDEX(Desc_TabelaToda,MATCH(TB_Vendas[[#This Row],[Qtd]],Desc_Quantidades,1),MATCH(_xlfn.XLOOKUP(TB_Vendas[[#This Row],[Código]],TB_Produtos[[#All],[Código]],TB_Produtos[[#All],[Categoria]]),Desc_Categorias,0))</f>
        <v>0.1</v>
      </c>
      <c r="G60" s="73">
        <f>_xlfn.XLOOKUP(TB_Vendas[[#This Row],[Vendedor]],Vendedores!$A$4:$A$9,Vendedores!$D$4:$D$9)</f>
        <v>0.15</v>
      </c>
      <c r="H60" s="73">
        <f>IF(TB_Vendas[[#This Row],[Desc.]]&gt;TB_Vendas[[#This Row],[Desc. Vendedor]],TB_Vendas[[#This Row],[Desc. Vendedor]],TB_Vendas[[#This Row],[Desc.]])</f>
        <v>0.1</v>
      </c>
      <c r="I60" s="74">
        <f>(TB_Vendas[[#This Row],[Preço Unitário]]-(TB_Vendas[[#This Row],[Preço Unitário]]*TB_Vendas[[#This Row],[Desconto]]))*TB_Vendas[[#This Row],[Qtd]]</f>
        <v>233.90999999999997</v>
      </c>
      <c r="J60" s="71" t="s">
        <v>124</v>
      </c>
    </row>
    <row r="61" spans="1:10" s="65" customFormat="1" ht="26.25">
      <c r="A61" s="71" t="s">
        <v>139</v>
      </c>
      <c r="B61" s="71" t="s">
        <v>63</v>
      </c>
      <c r="C61" s="72">
        <v>45105</v>
      </c>
      <c r="D61" s="71">
        <v>5</v>
      </c>
      <c r="E61" s="74">
        <f>VLOOKUP(TB_Vendas[[#This Row],[Código]],TB_Produtos[#All],6,FALSE)</f>
        <v>42.5</v>
      </c>
      <c r="F61" s="73" cm="1">
        <f t="array" ref="F61">INDEX(Desc_TabelaToda,MATCH(TB_Vendas[[#This Row],[Qtd]],Desc_Quantidades,1),MATCH(_xlfn.XLOOKUP(TB_Vendas[[#This Row],[Código]],TB_Produtos[[#All],[Código]],TB_Produtos[[#All],[Categoria]]),Desc_Categorias,0))</f>
        <v>0.25</v>
      </c>
      <c r="G61" s="73">
        <f>_xlfn.XLOOKUP(TB_Vendas[[#This Row],[Vendedor]],Vendedores!$A$4:$A$9,Vendedores!$D$4:$D$9)</f>
        <v>0.15</v>
      </c>
      <c r="H61" s="73">
        <f>IF(TB_Vendas[[#This Row],[Desc.]]&gt;TB_Vendas[[#This Row],[Desc. Vendedor]],TB_Vendas[[#This Row],[Desc. Vendedor]],TB_Vendas[[#This Row],[Desc.]])</f>
        <v>0.15</v>
      </c>
      <c r="I61" s="74">
        <f>(TB_Vendas[[#This Row],[Preço Unitário]]-(TB_Vendas[[#This Row],[Preço Unitário]]*TB_Vendas[[#This Row],[Desconto]]))*TB_Vendas[[#This Row],[Qtd]]</f>
        <v>180.625</v>
      </c>
      <c r="J61" s="71" t="s">
        <v>124</v>
      </c>
    </row>
    <row r="62" spans="1:10" s="65" customFormat="1" ht="26.25">
      <c r="A62" s="70" t="s">
        <v>139</v>
      </c>
      <c r="B62" s="71" t="s">
        <v>98</v>
      </c>
      <c r="C62" s="72">
        <v>45105</v>
      </c>
      <c r="D62" s="71">
        <v>2</v>
      </c>
      <c r="E62" s="74">
        <f>VLOOKUP(TB_Vendas[[#This Row],[Código]],TB_Produtos[#All],6,FALSE)</f>
        <v>32.9</v>
      </c>
      <c r="F62" s="73" cm="1">
        <f t="array" ref="F62">INDEX(Desc_TabelaToda,MATCH(TB_Vendas[[#This Row],[Qtd]],Desc_Quantidades,1),MATCH(_xlfn.XLOOKUP(TB_Vendas[[#This Row],[Código]],TB_Produtos[[#All],[Código]],TB_Produtos[[#All],[Categoria]]),Desc_Categorias,0))</f>
        <v>0.15</v>
      </c>
      <c r="G62" s="73">
        <f>_xlfn.XLOOKUP(TB_Vendas[[#This Row],[Vendedor]],Vendedores!$A$4:$A$9,Vendedores!$D$4:$D$9)</f>
        <v>0.15</v>
      </c>
      <c r="H62" s="73">
        <f>IF(TB_Vendas[[#This Row],[Desc.]]&gt;TB_Vendas[[#This Row],[Desc. Vendedor]],TB_Vendas[[#This Row],[Desc. Vendedor]],TB_Vendas[[#This Row],[Desc.]])</f>
        <v>0.15</v>
      </c>
      <c r="I62" s="74">
        <f>(TB_Vendas[[#This Row],[Preço Unitário]]-(TB_Vendas[[#This Row],[Preço Unitário]]*TB_Vendas[[#This Row],[Desconto]]))*TB_Vendas[[#This Row],[Qtd]]</f>
        <v>55.93</v>
      </c>
      <c r="J62" s="71" t="s">
        <v>124</v>
      </c>
    </row>
    <row r="63" spans="1:10" s="65" customFormat="1" ht="26.25">
      <c r="A63" s="70" t="s">
        <v>139</v>
      </c>
      <c r="B63" s="71" t="s">
        <v>57</v>
      </c>
      <c r="C63" s="72">
        <v>45106</v>
      </c>
      <c r="D63" s="71">
        <v>3</v>
      </c>
      <c r="E63" s="74">
        <f>VLOOKUP(TB_Vendas[[#This Row],[Código]],TB_Produtos[#All],6,FALSE)</f>
        <v>92.9</v>
      </c>
      <c r="F63" s="73" cm="1">
        <f t="array" ref="F63">INDEX(Desc_TabelaToda,MATCH(TB_Vendas[[#This Row],[Qtd]],Desc_Quantidades,1),MATCH(_xlfn.XLOOKUP(TB_Vendas[[#This Row],[Código]],TB_Produtos[[#All],[Código]],TB_Produtos[[#All],[Categoria]]),Desc_Categorias,0))</f>
        <v>0.2</v>
      </c>
      <c r="G63" s="73">
        <f>_xlfn.XLOOKUP(TB_Vendas[[#This Row],[Vendedor]],Vendedores!$A$4:$A$9,Vendedores!$D$4:$D$9)</f>
        <v>0.2</v>
      </c>
      <c r="H63" s="73">
        <f>IF(TB_Vendas[[#This Row],[Desc.]]&gt;TB_Vendas[[#This Row],[Desc. Vendedor]],TB_Vendas[[#This Row],[Desc. Vendedor]],TB_Vendas[[#This Row],[Desc.]])</f>
        <v>0.2</v>
      </c>
      <c r="I63" s="74">
        <f>(TB_Vendas[[#This Row],[Preço Unitário]]-(TB_Vendas[[#This Row],[Preço Unitário]]*TB_Vendas[[#This Row],[Desconto]]))*TB_Vendas[[#This Row],[Qtd]]</f>
        <v>222.96000000000004</v>
      </c>
      <c r="J63" s="71" t="s">
        <v>112</v>
      </c>
    </row>
    <row r="64" spans="1:10" s="65" customFormat="1" ht="26.25">
      <c r="A64" s="71" t="s">
        <v>139</v>
      </c>
      <c r="B64" s="71" t="s">
        <v>64</v>
      </c>
      <c r="C64" s="72">
        <v>45107</v>
      </c>
      <c r="D64" s="71">
        <v>10</v>
      </c>
      <c r="E64" s="74">
        <f>VLOOKUP(TB_Vendas[[#This Row],[Código]],TB_Produtos[#All],6,FALSE)</f>
        <v>25.9</v>
      </c>
      <c r="F64" s="73" cm="1">
        <f t="array" ref="F64">INDEX(Desc_TabelaToda,MATCH(TB_Vendas[[#This Row],[Qtd]],Desc_Quantidades,1),MATCH(_xlfn.XLOOKUP(TB_Vendas[[#This Row],[Código]],TB_Produtos[[#All],[Código]],TB_Produtos[[#All],[Categoria]]),Desc_Categorias,0))</f>
        <v>0.3</v>
      </c>
      <c r="G64" s="73">
        <f>_xlfn.XLOOKUP(TB_Vendas[[#This Row],[Vendedor]],Vendedores!$A$4:$A$9,Vendedores!$D$4:$D$9)</f>
        <v>0.2</v>
      </c>
      <c r="H64" s="73">
        <f>IF(TB_Vendas[[#This Row],[Desc.]]&gt;TB_Vendas[[#This Row],[Desc. Vendedor]],TB_Vendas[[#This Row],[Desc. Vendedor]],TB_Vendas[[#This Row],[Desc.]])</f>
        <v>0.2</v>
      </c>
      <c r="I64" s="74">
        <f>(TB_Vendas[[#This Row],[Preço Unitário]]-(TB_Vendas[[#This Row],[Preço Unitário]]*TB_Vendas[[#This Row],[Desconto]]))*TB_Vendas[[#This Row],[Qtd]]</f>
        <v>207.2</v>
      </c>
      <c r="J64" s="71" t="s">
        <v>112</v>
      </c>
    </row>
    <row r="65" spans="1:10" s="65" customFormat="1" ht="26.25">
      <c r="A65" s="71" t="s">
        <v>140</v>
      </c>
      <c r="B65" s="71" t="s">
        <v>92</v>
      </c>
      <c r="C65" s="72">
        <v>45112</v>
      </c>
      <c r="D65" s="71">
        <v>1</v>
      </c>
      <c r="E65" s="74">
        <f>VLOOKUP(TB_Vendas[[#This Row],[Código]],TB_Produtos[#All],6,FALSE)</f>
        <v>72.5</v>
      </c>
      <c r="F65" s="73" cm="1">
        <f t="array" ref="F65">INDEX(Desc_TabelaToda,MATCH(TB_Vendas[[#This Row],[Qtd]],Desc_Quantidades,1),MATCH(_xlfn.XLOOKUP(TB_Vendas[[#This Row],[Código]],TB_Produtos[[#All],[Código]],TB_Produtos[[#All],[Categoria]]),Desc_Categorias,0))</f>
        <v>0.1</v>
      </c>
      <c r="G65" s="73">
        <f>_xlfn.XLOOKUP(TB_Vendas[[#This Row],[Vendedor]],Vendedores!$A$4:$A$9,Vendedores!$D$4:$D$9)</f>
        <v>0.25</v>
      </c>
      <c r="H65" s="73">
        <f>IF(TB_Vendas[[#This Row],[Desc.]]&gt;TB_Vendas[[#This Row],[Desc. Vendedor]],TB_Vendas[[#This Row],[Desc. Vendedor]],TB_Vendas[[#This Row],[Desc.]])</f>
        <v>0.1</v>
      </c>
      <c r="I65" s="74">
        <f>(TB_Vendas[[#This Row],[Preço Unitário]]-(TB_Vendas[[#This Row],[Preço Unitário]]*TB_Vendas[[#This Row],[Desconto]]))*TB_Vendas[[#This Row],[Qtd]]</f>
        <v>65.25</v>
      </c>
      <c r="J65" s="71" t="s">
        <v>115</v>
      </c>
    </row>
    <row r="66" spans="1:10" s="65" customFormat="1" ht="26.25">
      <c r="A66" s="71" t="s">
        <v>140</v>
      </c>
      <c r="B66" s="71" t="s">
        <v>69</v>
      </c>
      <c r="C66" s="72">
        <v>45113</v>
      </c>
      <c r="D66" s="71">
        <v>4</v>
      </c>
      <c r="E66" s="74">
        <f>VLOOKUP(TB_Vendas[[#This Row],[Código]],TB_Produtos[#All],6,FALSE)</f>
        <v>302.89999999999998</v>
      </c>
      <c r="F66" s="73" cm="1">
        <f t="array" ref="F66">INDEX(Desc_TabelaToda,MATCH(TB_Vendas[[#This Row],[Qtd]],Desc_Quantidades,1),MATCH(_xlfn.XLOOKUP(TB_Vendas[[#This Row],[Código]],TB_Produtos[[#All],[Código]],TB_Produtos[[#All],[Categoria]]),Desc_Categorias,0))</f>
        <v>0.2</v>
      </c>
      <c r="G66" s="73">
        <f>_xlfn.XLOOKUP(TB_Vendas[[#This Row],[Vendedor]],Vendedores!$A$4:$A$9,Vendedores!$D$4:$D$9)</f>
        <v>0.15</v>
      </c>
      <c r="H66" s="73">
        <f>IF(TB_Vendas[[#This Row],[Desc.]]&gt;TB_Vendas[[#This Row],[Desc. Vendedor]],TB_Vendas[[#This Row],[Desc. Vendedor]],TB_Vendas[[#This Row],[Desc.]])</f>
        <v>0.15</v>
      </c>
      <c r="I66" s="74">
        <f>(TB_Vendas[[#This Row],[Preço Unitário]]-(TB_Vendas[[#This Row],[Preço Unitário]]*TB_Vendas[[#This Row],[Desconto]]))*TB_Vendas[[#This Row],[Qtd]]</f>
        <v>1029.8599999999999</v>
      </c>
      <c r="J66" s="71" t="s">
        <v>124</v>
      </c>
    </row>
    <row r="67" spans="1:10" s="65" customFormat="1" ht="26.25">
      <c r="A67" s="71" t="s">
        <v>140</v>
      </c>
      <c r="B67" s="71" t="s">
        <v>96</v>
      </c>
      <c r="C67" s="72">
        <v>45114</v>
      </c>
      <c r="D67" s="71">
        <v>8</v>
      </c>
      <c r="E67" s="74">
        <f>VLOOKUP(TB_Vendas[[#This Row],[Código]],TB_Produtos[#All],6,FALSE)</f>
        <v>289.89999999999998</v>
      </c>
      <c r="F67" s="73" cm="1">
        <f t="array" ref="F67">INDEX(Desc_TabelaToda,MATCH(TB_Vendas[[#This Row],[Qtd]],Desc_Quantidades,1),MATCH(_xlfn.XLOOKUP(TB_Vendas[[#This Row],[Código]],TB_Produtos[[#All],[Código]],TB_Produtos[[#All],[Categoria]]),Desc_Categorias,0))</f>
        <v>0.25</v>
      </c>
      <c r="G67" s="73">
        <f>_xlfn.XLOOKUP(TB_Vendas[[#This Row],[Vendedor]],Vendedores!$A$4:$A$9,Vendedores!$D$4:$D$9)</f>
        <v>0.2</v>
      </c>
      <c r="H67" s="73">
        <f>IF(TB_Vendas[[#This Row],[Desc.]]&gt;TB_Vendas[[#This Row],[Desc. Vendedor]],TB_Vendas[[#This Row],[Desc. Vendedor]],TB_Vendas[[#This Row],[Desc.]])</f>
        <v>0.2</v>
      </c>
      <c r="I67" s="74">
        <f>(TB_Vendas[[#This Row],[Preço Unitário]]-(TB_Vendas[[#This Row],[Preço Unitário]]*TB_Vendas[[#This Row],[Desconto]]))*TB_Vendas[[#This Row],[Qtd]]</f>
        <v>1855.36</v>
      </c>
      <c r="J67" s="71" t="s">
        <v>112</v>
      </c>
    </row>
    <row r="68" spans="1:10" s="65" customFormat="1" ht="26.25">
      <c r="A68" s="71" t="s">
        <v>140</v>
      </c>
      <c r="B68" s="71" t="s">
        <v>89</v>
      </c>
      <c r="C68" s="72">
        <v>45119</v>
      </c>
      <c r="D68" s="71">
        <v>2</v>
      </c>
      <c r="E68" s="74">
        <f>VLOOKUP(TB_Vendas[[#This Row],[Código]],TB_Produtos[#All],6,FALSE)</f>
        <v>54.9</v>
      </c>
      <c r="F68" s="73" cm="1">
        <f t="array" ref="F68">INDEX(Desc_TabelaToda,MATCH(TB_Vendas[[#This Row],[Qtd]],Desc_Quantidades,1),MATCH(_xlfn.XLOOKUP(TB_Vendas[[#This Row],[Código]],TB_Produtos[[#All],[Código]],TB_Produtos[[#All],[Categoria]]),Desc_Categorias,0))</f>
        <v>0.15</v>
      </c>
      <c r="G68" s="73">
        <f>_xlfn.XLOOKUP(TB_Vendas[[#This Row],[Vendedor]],Vendedores!$A$4:$A$9,Vendedores!$D$4:$D$9)</f>
        <v>0.2</v>
      </c>
      <c r="H68" s="73">
        <f>IF(TB_Vendas[[#This Row],[Desc.]]&gt;TB_Vendas[[#This Row],[Desc. Vendedor]],TB_Vendas[[#This Row],[Desc. Vendedor]],TB_Vendas[[#This Row],[Desc.]])</f>
        <v>0.15</v>
      </c>
      <c r="I68" s="74">
        <f>(TB_Vendas[[#This Row],[Preço Unitário]]-(TB_Vendas[[#This Row],[Preço Unitário]]*TB_Vendas[[#This Row],[Desconto]]))*TB_Vendas[[#This Row],[Qtd]]</f>
        <v>93.33</v>
      </c>
      <c r="J68" s="71" t="s">
        <v>112</v>
      </c>
    </row>
    <row r="69" spans="1:10" s="65" customFormat="1" ht="26.25">
      <c r="A69" s="71" t="s">
        <v>140</v>
      </c>
      <c r="B69" s="71" t="s">
        <v>62</v>
      </c>
      <c r="C69" s="72">
        <v>45120</v>
      </c>
      <c r="D69" s="71">
        <v>2</v>
      </c>
      <c r="E69" s="74">
        <f>VLOOKUP(TB_Vendas[[#This Row],[Código]],TB_Produtos[#All],6,FALSE)</f>
        <v>39.9</v>
      </c>
      <c r="F69" s="73" cm="1">
        <f t="array" ref="F69">INDEX(Desc_TabelaToda,MATCH(TB_Vendas[[#This Row],[Qtd]],Desc_Quantidades,1),MATCH(_xlfn.XLOOKUP(TB_Vendas[[#This Row],[Código]],TB_Produtos[[#All],[Código]],TB_Produtos[[#All],[Categoria]]),Desc_Categorias,0))</f>
        <v>0.15</v>
      </c>
      <c r="G69" s="73">
        <f>_xlfn.XLOOKUP(TB_Vendas[[#This Row],[Vendedor]],Vendedores!$A$4:$A$9,Vendedores!$D$4:$D$9)</f>
        <v>0.15</v>
      </c>
      <c r="H69" s="73">
        <f>IF(TB_Vendas[[#This Row],[Desc.]]&gt;TB_Vendas[[#This Row],[Desc. Vendedor]],TB_Vendas[[#This Row],[Desc. Vendedor]],TB_Vendas[[#This Row],[Desc.]])</f>
        <v>0.15</v>
      </c>
      <c r="I69" s="74">
        <f>(TB_Vendas[[#This Row],[Preço Unitário]]-(TB_Vendas[[#This Row],[Preço Unitário]]*TB_Vendas[[#This Row],[Desconto]]))*TB_Vendas[[#This Row],[Qtd]]</f>
        <v>67.83</v>
      </c>
      <c r="J69" s="71" t="s">
        <v>124</v>
      </c>
    </row>
    <row r="70" spans="1:10" s="65" customFormat="1" ht="26.25">
      <c r="A70" s="71" t="s">
        <v>140</v>
      </c>
      <c r="B70" s="71" t="s">
        <v>90</v>
      </c>
      <c r="C70" s="72">
        <v>45124</v>
      </c>
      <c r="D70" s="71">
        <v>7</v>
      </c>
      <c r="E70" s="74">
        <f>VLOOKUP(TB_Vendas[[#This Row],[Código]],TB_Produtos[#All],6,FALSE)</f>
        <v>54.9</v>
      </c>
      <c r="F70" s="73" cm="1">
        <f t="array" ref="F70">INDEX(Desc_TabelaToda,MATCH(TB_Vendas[[#This Row],[Qtd]],Desc_Quantidades,1),MATCH(_xlfn.XLOOKUP(TB_Vendas[[#This Row],[Código]],TB_Produtos[[#All],[Código]],TB_Produtos[[#All],[Categoria]]),Desc_Categorias,0))</f>
        <v>0.25</v>
      </c>
      <c r="G70" s="73">
        <f>_xlfn.XLOOKUP(TB_Vendas[[#This Row],[Vendedor]],Vendedores!$A$4:$A$9,Vendedores!$D$4:$D$9)</f>
        <v>0.2</v>
      </c>
      <c r="H70" s="73">
        <f>IF(TB_Vendas[[#This Row],[Desc.]]&gt;TB_Vendas[[#This Row],[Desc. Vendedor]],TB_Vendas[[#This Row],[Desc. Vendedor]],TB_Vendas[[#This Row],[Desc.]])</f>
        <v>0.2</v>
      </c>
      <c r="I70" s="74">
        <f>(TB_Vendas[[#This Row],[Preço Unitário]]-(TB_Vendas[[#This Row],[Preço Unitário]]*TB_Vendas[[#This Row],[Desconto]]))*TB_Vendas[[#This Row],[Qtd]]</f>
        <v>307.44</v>
      </c>
      <c r="J70" s="71" t="s">
        <v>121</v>
      </c>
    </row>
    <row r="71" spans="1:10" s="65" customFormat="1" ht="26.25">
      <c r="A71" s="70" t="s">
        <v>140</v>
      </c>
      <c r="B71" s="71" t="s">
        <v>68</v>
      </c>
      <c r="C71" s="72">
        <v>45130</v>
      </c>
      <c r="D71" s="71">
        <v>4</v>
      </c>
      <c r="E71" s="74">
        <f>VLOOKUP(TB_Vendas[[#This Row],[Código]],TB_Produtos[#All],6,FALSE)</f>
        <v>299.89999999999998</v>
      </c>
      <c r="F71" s="73" cm="1">
        <f t="array" ref="F71">INDEX(Desc_TabelaToda,MATCH(TB_Vendas[[#This Row],[Qtd]],Desc_Quantidades,1),MATCH(_xlfn.XLOOKUP(TB_Vendas[[#This Row],[Código]],TB_Produtos[[#All],[Código]],TB_Produtos[[#All],[Categoria]]),Desc_Categorias,0))</f>
        <v>0.2</v>
      </c>
      <c r="G71" s="73">
        <f>_xlfn.XLOOKUP(TB_Vendas[[#This Row],[Vendedor]],Vendedores!$A$4:$A$9,Vendedores!$D$4:$D$9)</f>
        <v>0.15</v>
      </c>
      <c r="H71" s="73">
        <f>IF(TB_Vendas[[#This Row],[Desc.]]&gt;TB_Vendas[[#This Row],[Desc. Vendedor]],TB_Vendas[[#This Row],[Desc. Vendedor]],TB_Vendas[[#This Row],[Desc.]])</f>
        <v>0.15</v>
      </c>
      <c r="I71" s="74">
        <f>(TB_Vendas[[#This Row],[Preço Unitário]]-(TB_Vendas[[#This Row],[Preço Unitário]]*TB_Vendas[[#This Row],[Desconto]]))*TB_Vendas[[#This Row],[Qtd]]</f>
        <v>1019.66</v>
      </c>
      <c r="J71" s="71" t="s">
        <v>124</v>
      </c>
    </row>
    <row r="72" spans="1:10" s="65" customFormat="1" ht="26.25">
      <c r="A72" s="70" t="s">
        <v>140</v>
      </c>
      <c r="B72" s="71" t="s">
        <v>72</v>
      </c>
      <c r="C72" s="72">
        <v>45133</v>
      </c>
      <c r="D72" s="71">
        <v>3</v>
      </c>
      <c r="E72" s="74">
        <f>VLOOKUP(TB_Vendas[[#This Row],[Código]],TB_Produtos[#All],6,FALSE)</f>
        <v>259.89999999999998</v>
      </c>
      <c r="F72" s="73" cm="1">
        <f t="array" ref="F72">INDEX(Desc_TabelaToda,MATCH(TB_Vendas[[#This Row],[Qtd]],Desc_Quantidades,1),MATCH(_xlfn.XLOOKUP(TB_Vendas[[#This Row],[Código]],TB_Produtos[[#All],[Código]],TB_Produtos[[#All],[Categoria]]),Desc_Categorias,0))</f>
        <v>0.2</v>
      </c>
      <c r="G72" s="73">
        <f>_xlfn.XLOOKUP(TB_Vendas[[#This Row],[Vendedor]],Vendedores!$A$4:$A$9,Vendedores!$D$4:$D$9)</f>
        <v>0.2</v>
      </c>
      <c r="H72" s="73">
        <f>IF(TB_Vendas[[#This Row],[Desc.]]&gt;TB_Vendas[[#This Row],[Desc. Vendedor]],TB_Vendas[[#This Row],[Desc. Vendedor]],TB_Vendas[[#This Row],[Desc.]])</f>
        <v>0.2</v>
      </c>
      <c r="I72" s="74">
        <f>(TB_Vendas[[#This Row],[Preço Unitário]]-(TB_Vendas[[#This Row],[Preço Unitário]]*TB_Vendas[[#This Row],[Desconto]]))*TB_Vendas[[#This Row],[Qtd]]</f>
        <v>623.76</v>
      </c>
      <c r="J72" s="71" t="s">
        <v>121</v>
      </c>
    </row>
    <row r="73" spans="1:10" s="65" customFormat="1" ht="26.25">
      <c r="A73" s="71" t="s">
        <v>140</v>
      </c>
      <c r="B73" s="71" t="s">
        <v>92</v>
      </c>
      <c r="C73" s="72">
        <v>45135</v>
      </c>
      <c r="D73" s="71">
        <v>9</v>
      </c>
      <c r="E73" s="74">
        <f>VLOOKUP(TB_Vendas[[#This Row],[Código]],TB_Produtos[#All],6,FALSE)</f>
        <v>72.5</v>
      </c>
      <c r="F73" s="73" cm="1">
        <f t="array" ref="F73">INDEX(Desc_TabelaToda,MATCH(TB_Vendas[[#This Row],[Qtd]],Desc_Quantidades,1),MATCH(_xlfn.XLOOKUP(TB_Vendas[[#This Row],[Código]],TB_Produtos[[#All],[Código]],TB_Produtos[[#All],[Categoria]]),Desc_Categorias,0))</f>
        <v>0.25</v>
      </c>
      <c r="G73" s="73">
        <f>_xlfn.XLOOKUP(TB_Vendas[[#This Row],[Vendedor]],Vendedores!$A$4:$A$9,Vendedores!$D$4:$D$9)</f>
        <v>0.1</v>
      </c>
      <c r="H73" s="73">
        <f>IF(TB_Vendas[[#This Row],[Desc.]]&gt;TB_Vendas[[#This Row],[Desc. Vendedor]],TB_Vendas[[#This Row],[Desc. Vendedor]],TB_Vendas[[#This Row],[Desc.]])</f>
        <v>0.1</v>
      </c>
      <c r="I73" s="74">
        <f>(TB_Vendas[[#This Row],[Preço Unitário]]-(TB_Vendas[[#This Row],[Preço Unitário]]*TB_Vendas[[#This Row],[Desconto]]))*TB_Vendas[[#This Row],[Qtd]]</f>
        <v>587.25</v>
      </c>
      <c r="J73" s="71" t="s">
        <v>118</v>
      </c>
    </row>
    <row r="74" spans="1:10" s="65" customFormat="1" ht="26.25">
      <c r="A74" s="70" t="s">
        <v>140</v>
      </c>
      <c r="B74" s="71" t="s">
        <v>70</v>
      </c>
      <c r="C74" s="72">
        <v>45136</v>
      </c>
      <c r="D74" s="71">
        <v>4</v>
      </c>
      <c r="E74" s="74">
        <f>VLOOKUP(TB_Vendas[[#This Row],[Código]],TB_Produtos[#All],6,FALSE)</f>
        <v>300</v>
      </c>
      <c r="F74" s="73" cm="1">
        <f t="array" ref="F74">INDEX(Desc_TabelaToda,MATCH(TB_Vendas[[#This Row],[Qtd]],Desc_Quantidades,1),MATCH(_xlfn.XLOOKUP(TB_Vendas[[#This Row],[Código]],TB_Produtos[[#All],[Código]],TB_Produtos[[#All],[Categoria]]),Desc_Categorias,0))</f>
        <v>0.2</v>
      </c>
      <c r="G74" s="73">
        <f>_xlfn.XLOOKUP(TB_Vendas[[#This Row],[Vendedor]],Vendedores!$A$4:$A$9,Vendedores!$D$4:$D$9)</f>
        <v>0.15</v>
      </c>
      <c r="H74" s="73">
        <f>IF(TB_Vendas[[#This Row],[Desc.]]&gt;TB_Vendas[[#This Row],[Desc. Vendedor]],TB_Vendas[[#This Row],[Desc. Vendedor]],TB_Vendas[[#This Row],[Desc.]])</f>
        <v>0.15</v>
      </c>
      <c r="I74" s="74">
        <f>(TB_Vendas[[#This Row],[Preço Unitário]]-(TB_Vendas[[#This Row],[Preço Unitário]]*TB_Vendas[[#This Row],[Desconto]]))*TB_Vendas[[#This Row],[Qtd]]</f>
        <v>1020</v>
      </c>
      <c r="J74" s="71" t="s">
        <v>124</v>
      </c>
    </row>
    <row r="75" spans="1:10" s="65" customFormat="1" ht="26.25">
      <c r="A75" s="70" t="s">
        <v>140</v>
      </c>
      <c r="B75" s="71" t="s">
        <v>45</v>
      </c>
      <c r="C75" s="72">
        <v>45137</v>
      </c>
      <c r="D75" s="71">
        <v>9</v>
      </c>
      <c r="E75" s="74">
        <f>VLOOKUP(TB_Vendas[[#This Row],[Código]],TB_Produtos[#All],6,FALSE)</f>
        <v>65.900000000000006</v>
      </c>
      <c r="F75" s="73" cm="1">
        <f t="array" ref="F75">INDEX(Desc_TabelaToda,MATCH(TB_Vendas[[#This Row],[Qtd]],Desc_Quantidades,1),MATCH(_xlfn.XLOOKUP(TB_Vendas[[#This Row],[Código]],TB_Produtos[[#All],[Código]],TB_Produtos[[#All],[Categoria]]),Desc_Categorias,0))</f>
        <v>0.25</v>
      </c>
      <c r="G75" s="73">
        <f>_xlfn.XLOOKUP(TB_Vendas[[#This Row],[Vendedor]],Vendedores!$A$4:$A$9,Vendedores!$D$4:$D$9)</f>
        <v>0.15</v>
      </c>
      <c r="H75" s="73">
        <f>IF(TB_Vendas[[#This Row],[Desc.]]&gt;TB_Vendas[[#This Row],[Desc. Vendedor]],TB_Vendas[[#This Row],[Desc. Vendedor]],TB_Vendas[[#This Row],[Desc.]])</f>
        <v>0.15</v>
      </c>
      <c r="I75" s="74">
        <f>(TB_Vendas[[#This Row],[Preço Unitário]]-(TB_Vendas[[#This Row],[Preço Unitário]]*TB_Vendas[[#This Row],[Desconto]]))*TB_Vendas[[#This Row],[Qtd]]</f>
        <v>504.13500000000005</v>
      </c>
      <c r="J75" s="71" t="s">
        <v>124</v>
      </c>
    </row>
    <row r="76" spans="1:10" s="65" customFormat="1" ht="26.25">
      <c r="A76" s="71" t="s">
        <v>141</v>
      </c>
      <c r="B76" s="71" t="s">
        <v>57</v>
      </c>
      <c r="C76" s="72">
        <v>45143</v>
      </c>
      <c r="D76" s="71">
        <v>10</v>
      </c>
      <c r="E76" s="74">
        <f>VLOOKUP(TB_Vendas[[#This Row],[Código]],TB_Produtos[#All],6,FALSE)</f>
        <v>92.9</v>
      </c>
      <c r="F76" s="73" cm="1">
        <f t="array" ref="F76">INDEX(Desc_TabelaToda,MATCH(TB_Vendas[[#This Row],[Qtd]],Desc_Quantidades,1),MATCH(_xlfn.XLOOKUP(TB_Vendas[[#This Row],[Código]],TB_Produtos[[#All],[Código]],TB_Produtos[[#All],[Categoria]]),Desc_Categorias,0))</f>
        <v>0.3</v>
      </c>
      <c r="G76" s="73">
        <f>_xlfn.XLOOKUP(TB_Vendas[[#This Row],[Vendedor]],Vendedores!$A$4:$A$9,Vendedores!$D$4:$D$9)</f>
        <v>0.15</v>
      </c>
      <c r="H76" s="73">
        <f>IF(TB_Vendas[[#This Row],[Desc.]]&gt;TB_Vendas[[#This Row],[Desc. Vendedor]],TB_Vendas[[#This Row],[Desc. Vendedor]],TB_Vendas[[#This Row],[Desc.]])</f>
        <v>0.15</v>
      </c>
      <c r="I76" s="74">
        <f>(TB_Vendas[[#This Row],[Preço Unitário]]-(TB_Vendas[[#This Row],[Preço Unitário]]*TB_Vendas[[#This Row],[Desconto]]))*TB_Vendas[[#This Row],[Qtd]]</f>
        <v>789.65000000000009</v>
      </c>
      <c r="J76" s="71" t="s">
        <v>124</v>
      </c>
    </row>
    <row r="77" spans="1:10" s="65" customFormat="1" ht="26.25">
      <c r="A77" s="70" t="s">
        <v>141</v>
      </c>
      <c r="B77" s="71" t="s">
        <v>105</v>
      </c>
      <c r="C77" s="72">
        <v>45144</v>
      </c>
      <c r="D77" s="71">
        <v>1</v>
      </c>
      <c r="E77" s="74">
        <f>VLOOKUP(TB_Vendas[[#This Row],[Código]],TB_Produtos[#All],6,FALSE)</f>
        <v>89.9</v>
      </c>
      <c r="F77" s="73" cm="1">
        <f t="array" ref="F77">INDEX(Desc_TabelaToda,MATCH(TB_Vendas[[#This Row],[Qtd]],Desc_Quantidades,1),MATCH(_xlfn.XLOOKUP(TB_Vendas[[#This Row],[Código]],TB_Produtos[[#All],[Código]],TB_Produtos[[#All],[Categoria]]),Desc_Categorias,0))</f>
        <v>0</v>
      </c>
      <c r="G77" s="73">
        <f>_xlfn.XLOOKUP(TB_Vendas[[#This Row],[Vendedor]],Vendedores!$A$4:$A$9,Vendedores!$D$4:$D$9)</f>
        <v>0.1</v>
      </c>
      <c r="H77" s="73">
        <f>IF(TB_Vendas[[#This Row],[Desc.]]&gt;TB_Vendas[[#This Row],[Desc. Vendedor]],TB_Vendas[[#This Row],[Desc. Vendedor]],TB_Vendas[[#This Row],[Desc.]])</f>
        <v>0</v>
      </c>
      <c r="I77" s="74">
        <f>(TB_Vendas[[#This Row],[Preço Unitário]]-(TB_Vendas[[#This Row],[Preço Unitário]]*TB_Vendas[[#This Row],[Desconto]]))*TB_Vendas[[#This Row],[Qtd]]</f>
        <v>89.9</v>
      </c>
      <c r="J77" s="71" t="s">
        <v>118</v>
      </c>
    </row>
    <row r="78" spans="1:10" s="65" customFormat="1" ht="26.25">
      <c r="A78" s="70" t="s">
        <v>141</v>
      </c>
      <c r="B78" s="71" t="s">
        <v>100</v>
      </c>
      <c r="C78" s="72">
        <v>45145</v>
      </c>
      <c r="D78" s="71">
        <v>2</v>
      </c>
      <c r="E78" s="74">
        <f>VLOOKUP(TB_Vendas[[#This Row],[Código]],TB_Produtos[#All],6,FALSE)</f>
        <v>49.9</v>
      </c>
      <c r="F78" s="73" cm="1">
        <f t="array" ref="F78">INDEX(Desc_TabelaToda,MATCH(TB_Vendas[[#This Row],[Qtd]],Desc_Quantidades,1),MATCH(_xlfn.XLOOKUP(TB_Vendas[[#This Row],[Código]],TB_Produtos[[#All],[Código]],TB_Produtos[[#All],[Categoria]]),Desc_Categorias,0))</f>
        <v>0.15</v>
      </c>
      <c r="G78" s="73">
        <f>_xlfn.XLOOKUP(TB_Vendas[[#This Row],[Vendedor]],Vendedores!$A$4:$A$9,Vendedores!$D$4:$D$9)</f>
        <v>0.1</v>
      </c>
      <c r="H78" s="73">
        <f>IF(TB_Vendas[[#This Row],[Desc.]]&gt;TB_Vendas[[#This Row],[Desc. Vendedor]],TB_Vendas[[#This Row],[Desc. Vendedor]],TB_Vendas[[#This Row],[Desc.]])</f>
        <v>0.1</v>
      </c>
      <c r="I78" s="74">
        <f>(TB_Vendas[[#This Row],[Preço Unitário]]-(TB_Vendas[[#This Row],[Preço Unitário]]*TB_Vendas[[#This Row],[Desconto]]))*TB_Vendas[[#This Row],[Qtd]]</f>
        <v>89.82</v>
      </c>
      <c r="J78" s="71" t="s">
        <v>118</v>
      </c>
    </row>
    <row r="79" spans="1:10" s="65" customFormat="1" ht="26.25">
      <c r="A79" s="71" t="s">
        <v>141</v>
      </c>
      <c r="B79" s="71" t="s">
        <v>88</v>
      </c>
      <c r="C79" s="72">
        <v>45146</v>
      </c>
      <c r="D79" s="71">
        <v>8</v>
      </c>
      <c r="E79" s="74">
        <f>VLOOKUP(TB_Vendas[[#This Row],[Código]],TB_Produtos[#All],6,FALSE)</f>
        <v>70</v>
      </c>
      <c r="F79" s="73" cm="1">
        <f t="array" ref="F79">INDEX(Desc_TabelaToda,MATCH(TB_Vendas[[#This Row],[Qtd]],Desc_Quantidades,1),MATCH(_xlfn.XLOOKUP(TB_Vendas[[#This Row],[Código]],TB_Produtos[[#All],[Código]],TB_Produtos[[#All],[Categoria]]),Desc_Categorias,0))</f>
        <v>0.25</v>
      </c>
      <c r="G79" s="73">
        <f>_xlfn.XLOOKUP(TB_Vendas[[#This Row],[Vendedor]],Vendedores!$A$4:$A$9,Vendedores!$D$4:$D$9)</f>
        <v>0.25</v>
      </c>
      <c r="H79" s="73">
        <f>IF(TB_Vendas[[#This Row],[Desc.]]&gt;TB_Vendas[[#This Row],[Desc. Vendedor]],TB_Vendas[[#This Row],[Desc. Vendedor]],TB_Vendas[[#This Row],[Desc.]])</f>
        <v>0.25</v>
      </c>
      <c r="I79" s="74">
        <f>(TB_Vendas[[#This Row],[Preço Unitário]]-(TB_Vendas[[#This Row],[Preço Unitário]]*TB_Vendas[[#This Row],[Desconto]]))*TB_Vendas[[#This Row],[Qtd]]</f>
        <v>420</v>
      </c>
      <c r="J79" s="71" t="s">
        <v>115</v>
      </c>
    </row>
    <row r="80" spans="1:10" s="65" customFormat="1" ht="26.25">
      <c r="A80" s="70" t="s">
        <v>141</v>
      </c>
      <c r="B80" s="71" t="s">
        <v>59</v>
      </c>
      <c r="C80" s="72">
        <v>45147</v>
      </c>
      <c r="D80" s="71">
        <v>5</v>
      </c>
      <c r="E80" s="74">
        <f>VLOOKUP(TB_Vendas[[#This Row],[Código]],TB_Produtos[#All],6,FALSE)</f>
        <v>46.9</v>
      </c>
      <c r="F80" s="73" cm="1">
        <f t="array" ref="F80">INDEX(Desc_TabelaToda,MATCH(TB_Vendas[[#This Row],[Qtd]],Desc_Quantidades,1),MATCH(_xlfn.XLOOKUP(TB_Vendas[[#This Row],[Código]],TB_Produtos[[#All],[Código]],TB_Produtos[[#All],[Categoria]]),Desc_Categorias,0))</f>
        <v>0.25</v>
      </c>
      <c r="G80" s="73">
        <f>_xlfn.XLOOKUP(TB_Vendas[[#This Row],[Vendedor]],Vendedores!$A$4:$A$9,Vendedores!$D$4:$D$9)</f>
        <v>0.1</v>
      </c>
      <c r="H80" s="73">
        <f>IF(TB_Vendas[[#This Row],[Desc.]]&gt;TB_Vendas[[#This Row],[Desc. Vendedor]],TB_Vendas[[#This Row],[Desc. Vendedor]],TB_Vendas[[#This Row],[Desc.]])</f>
        <v>0.1</v>
      </c>
      <c r="I80" s="74">
        <f>(TB_Vendas[[#This Row],[Preço Unitário]]-(TB_Vendas[[#This Row],[Preço Unitário]]*TB_Vendas[[#This Row],[Desconto]]))*TB_Vendas[[#This Row],[Qtd]]</f>
        <v>211.05</v>
      </c>
      <c r="J80" s="71" t="s">
        <v>118</v>
      </c>
    </row>
    <row r="81" spans="1:10" s="65" customFormat="1" ht="26.25">
      <c r="A81" s="70" t="s">
        <v>141</v>
      </c>
      <c r="B81" s="71" t="s">
        <v>95</v>
      </c>
      <c r="C81" s="72">
        <v>45148</v>
      </c>
      <c r="D81" s="71">
        <v>10</v>
      </c>
      <c r="E81" s="74">
        <f>VLOOKUP(TB_Vendas[[#This Row],[Código]],TB_Produtos[#All],6,FALSE)</f>
        <v>289.89999999999998</v>
      </c>
      <c r="F81" s="73" cm="1">
        <f t="array" ref="F81">INDEX(Desc_TabelaToda,MATCH(TB_Vendas[[#This Row],[Qtd]],Desc_Quantidades,1),MATCH(_xlfn.XLOOKUP(TB_Vendas[[#This Row],[Código]],TB_Produtos[[#All],[Código]],TB_Produtos[[#All],[Categoria]]),Desc_Categorias,0))</f>
        <v>0.3</v>
      </c>
      <c r="G81" s="73">
        <f>_xlfn.XLOOKUP(TB_Vendas[[#This Row],[Vendedor]],Vendedores!$A$4:$A$9,Vendedores!$D$4:$D$9)</f>
        <v>0.25</v>
      </c>
      <c r="H81" s="73">
        <f>IF(TB_Vendas[[#This Row],[Desc.]]&gt;TB_Vendas[[#This Row],[Desc. Vendedor]],TB_Vendas[[#This Row],[Desc. Vendedor]],TB_Vendas[[#This Row],[Desc.]])</f>
        <v>0.25</v>
      </c>
      <c r="I81" s="74">
        <f>(TB_Vendas[[#This Row],[Preço Unitário]]-(TB_Vendas[[#This Row],[Preço Unitário]]*TB_Vendas[[#This Row],[Desconto]]))*TB_Vendas[[#This Row],[Qtd]]</f>
        <v>2174.25</v>
      </c>
      <c r="J81" s="71" t="s">
        <v>115</v>
      </c>
    </row>
    <row r="82" spans="1:10" s="65" customFormat="1" ht="26.25">
      <c r="A82" s="71" t="s">
        <v>141</v>
      </c>
      <c r="B82" s="71" t="s">
        <v>63</v>
      </c>
      <c r="C82" s="72">
        <v>45149</v>
      </c>
      <c r="D82" s="71">
        <v>1</v>
      </c>
      <c r="E82" s="74">
        <f>VLOOKUP(TB_Vendas[[#This Row],[Código]],TB_Produtos[#All],6,FALSE)</f>
        <v>42.5</v>
      </c>
      <c r="F82" s="73" cm="1">
        <f t="array" ref="F82">INDEX(Desc_TabelaToda,MATCH(TB_Vendas[[#This Row],[Qtd]],Desc_Quantidades,1),MATCH(_xlfn.XLOOKUP(TB_Vendas[[#This Row],[Código]],TB_Produtos[[#All],[Código]],TB_Produtos[[#All],[Categoria]]),Desc_Categorias,0))</f>
        <v>0.1</v>
      </c>
      <c r="G82" s="73">
        <f>_xlfn.XLOOKUP(TB_Vendas[[#This Row],[Vendedor]],Vendedores!$A$4:$A$9,Vendedores!$D$4:$D$9)</f>
        <v>0.1</v>
      </c>
      <c r="H82" s="73">
        <f>IF(TB_Vendas[[#This Row],[Desc.]]&gt;TB_Vendas[[#This Row],[Desc. Vendedor]],TB_Vendas[[#This Row],[Desc. Vendedor]],TB_Vendas[[#This Row],[Desc.]])</f>
        <v>0.1</v>
      </c>
      <c r="I82" s="74">
        <f>(TB_Vendas[[#This Row],[Preço Unitário]]-(TB_Vendas[[#This Row],[Preço Unitário]]*TB_Vendas[[#This Row],[Desconto]]))*TB_Vendas[[#This Row],[Qtd]]</f>
        <v>38.25</v>
      </c>
      <c r="J82" s="71" t="s">
        <v>118</v>
      </c>
    </row>
    <row r="83" spans="1:10" s="65" customFormat="1" ht="26.25">
      <c r="A83" s="70" t="s">
        <v>141</v>
      </c>
      <c r="B83" s="71" t="s">
        <v>103</v>
      </c>
      <c r="C83" s="72">
        <v>45150</v>
      </c>
      <c r="D83" s="71">
        <v>2</v>
      </c>
      <c r="E83" s="74">
        <f>VLOOKUP(TB_Vendas[[#This Row],[Código]],TB_Produtos[#All],6,FALSE)</f>
        <v>89.9</v>
      </c>
      <c r="F83" s="73" cm="1">
        <f t="array" ref="F83">INDEX(Desc_TabelaToda,MATCH(TB_Vendas[[#This Row],[Qtd]],Desc_Quantidades,1),MATCH(_xlfn.XLOOKUP(TB_Vendas[[#This Row],[Código]],TB_Produtos[[#All],[Código]],TB_Produtos[[#All],[Categoria]]),Desc_Categorias,0))</f>
        <v>0.1</v>
      </c>
      <c r="G83" s="73">
        <f>_xlfn.XLOOKUP(TB_Vendas[[#This Row],[Vendedor]],Vendedores!$A$4:$A$9,Vendedores!$D$4:$D$9)</f>
        <v>0.25</v>
      </c>
      <c r="H83" s="73">
        <f>IF(TB_Vendas[[#This Row],[Desc.]]&gt;TB_Vendas[[#This Row],[Desc. Vendedor]],TB_Vendas[[#This Row],[Desc. Vendedor]],TB_Vendas[[#This Row],[Desc.]])</f>
        <v>0.1</v>
      </c>
      <c r="I83" s="74">
        <f>(TB_Vendas[[#This Row],[Preço Unitário]]-(TB_Vendas[[#This Row],[Preço Unitário]]*TB_Vendas[[#This Row],[Desconto]]))*TB_Vendas[[#This Row],[Qtd]]</f>
        <v>161.82000000000002</v>
      </c>
      <c r="J83" s="71" t="s">
        <v>115</v>
      </c>
    </row>
    <row r="84" spans="1:10" s="65" customFormat="1" ht="26.25">
      <c r="A84" s="70" t="s">
        <v>141</v>
      </c>
      <c r="B84" s="71" t="s">
        <v>77</v>
      </c>
      <c r="C84" s="72">
        <v>45151</v>
      </c>
      <c r="D84" s="71">
        <v>3</v>
      </c>
      <c r="E84" s="74">
        <f>VLOOKUP(TB_Vendas[[#This Row],[Código]],TB_Produtos[#All],6,FALSE)</f>
        <v>255</v>
      </c>
      <c r="F84" s="73" cm="1">
        <f t="array" ref="F84">INDEX(Desc_TabelaToda,MATCH(TB_Vendas[[#This Row],[Qtd]],Desc_Quantidades,1),MATCH(_xlfn.XLOOKUP(TB_Vendas[[#This Row],[Código]],TB_Produtos[[#All],[Código]],TB_Produtos[[#All],[Categoria]]),Desc_Categorias,0))</f>
        <v>0.15</v>
      </c>
      <c r="G84" s="73">
        <f>_xlfn.XLOOKUP(TB_Vendas[[#This Row],[Vendedor]],Vendedores!$A$4:$A$9,Vendedores!$D$4:$D$9)</f>
        <v>0.2</v>
      </c>
      <c r="H84" s="73">
        <f>IF(TB_Vendas[[#This Row],[Desc.]]&gt;TB_Vendas[[#This Row],[Desc. Vendedor]],TB_Vendas[[#This Row],[Desc. Vendedor]],TB_Vendas[[#This Row],[Desc.]])</f>
        <v>0.15</v>
      </c>
      <c r="I84" s="74">
        <f>(TB_Vendas[[#This Row],[Preço Unitário]]-(TB_Vendas[[#This Row],[Preço Unitário]]*TB_Vendas[[#This Row],[Desconto]]))*TB_Vendas[[#This Row],[Qtd]]</f>
        <v>650.25</v>
      </c>
      <c r="J84" s="71" t="s">
        <v>112</v>
      </c>
    </row>
    <row r="85" spans="1:10" s="65" customFormat="1" ht="26.25">
      <c r="A85" s="71" t="s">
        <v>141</v>
      </c>
      <c r="B85" s="71" t="s">
        <v>63</v>
      </c>
      <c r="C85" s="72">
        <v>45152</v>
      </c>
      <c r="D85" s="71">
        <v>6</v>
      </c>
      <c r="E85" s="74">
        <f>VLOOKUP(TB_Vendas[[#This Row],[Código]],TB_Produtos[#All],6,FALSE)</f>
        <v>42.5</v>
      </c>
      <c r="F85" s="73" cm="1">
        <f t="array" ref="F85">INDEX(Desc_TabelaToda,MATCH(TB_Vendas[[#This Row],[Qtd]],Desc_Quantidades,1),MATCH(_xlfn.XLOOKUP(TB_Vendas[[#This Row],[Código]],TB_Produtos[[#All],[Código]],TB_Produtos[[#All],[Categoria]]),Desc_Categorias,0))</f>
        <v>0.25</v>
      </c>
      <c r="G85" s="73">
        <f>_xlfn.XLOOKUP(TB_Vendas[[#This Row],[Vendedor]],Vendedores!$A$4:$A$9,Vendedores!$D$4:$D$9)</f>
        <v>0.2</v>
      </c>
      <c r="H85" s="73">
        <f>IF(TB_Vendas[[#This Row],[Desc.]]&gt;TB_Vendas[[#This Row],[Desc. Vendedor]],TB_Vendas[[#This Row],[Desc. Vendedor]],TB_Vendas[[#This Row],[Desc.]])</f>
        <v>0.2</v>
      </c>
      <c r="I85" s="74">
        <f>(TB_Vendas[[#This Row],[Preço Unitário]]-(TB_Vendas[[#This Row],[Preço Unitário]]*TB_Vendas[[#This Row],[Desconto]]))*TB_Vendas[[#This Row],[Qtd]]</f>
        <v>204</v>
      </c>
      <c r="J85" s="71" t="s">
        <v>121</v>
      </c>
    </row>
    <row r="86" spans="1:10" s="65" customFormat="1" ht="26.25">
      <c r="A86" s="70" t="s">
        <v>141</v>
      </c>
      <c r="B86" s="71" t="s">
        <v>62</v>
      </c>
      <c r="C86" s="72">
        <v>45153</v>
      </c>
      <c r="D86" s="71">
        <v>8</v>
      </c>
      <c r="E86" s="74">
        <f>VLOOKUP(TB_Vendas[[#This Row],[Código]],TB_Produtos[#All],6,FALSE)</f>
        <v>39.9</v>
      </c>
      <c r="F86" s="73" cm="1">
        <f t="array" ref="F86">INDEX(Desc_TabelaToda,MATCH(TB_Vendas[[#This Row],[Qtd]],Desc_Quantidades,1),MATCH(_xlfn.XLOOKUP(TB_Vendas[[#This Row],[Código]],TB_Produtos[[#All],[Código]],TB_Produtos[[#All],[Categoria]]),Desc_Categorias,0))</f>
        <v>0.25</v>
      </c>
      <c r="G86" s="73">
        <f>_xlfn.XLOOKUP(TB_Vendas[[#This Row],[Vendedor]],Vendedores!$A$4:$A$9,Vendedores!$D$4:$D$9)</f>
        <v>0.25</v>
      </c>
      <c r="H86" s="73">
        <f>IF(TB_Vendas[[#This Row],[Desc.]]&gt;TB_Vendas[[#This Row],[Desc. Vendedor]],TB_Vendas[[#This Row],[Desc. Vendedor]],TB_Vendas[[#This Row],[Desc.]])</f>
        <v>0.25</v>
      </c>
      <c r="I86" s="74">
        <f>(TB_Vendas[[#This Row],[Preço Unitário]]-(TB_Vendas[[#This Row],[Preço Unitário]]*TB_Vendas[[#This Row],[Desconto]]))*TB_Vendas[[#This Row],[Qtd]]</f>
        <v>239.39999999999998</v>
      </c>
      <c r="J86" s="71" t="s">
        <v>115</v>
      </c>
    </row>
    <row r="87" spans="1:10">
      <c r="E87" s="75"/>
    </row>
    <row r="88" spans="1:10">
      <c r="E88" s="75"/>
    </row>
    <row r="89" spans="1:10">
      <c r="E89" s="75"/>
    </row>
    <row r="90" spans="1:10">
      <c r="E90" s="75"/>
    </row>
    <row r="91" spans="1:10">
      <c r="E91" s="75"/>
    </row>
    <row r="92" spans="1:10">
      <c r="E92" s="75"/>
    </row>
    <row r="93" spans="1:10">
      <c r="E93" s="75"/>
    </row>
    <row r="94" spans="1:10">
      <c r="E94" s="75"/>
    </row>
    <row r="95" spans="1:10">
      <c r="E95" s="75"/>
    </row>
    <row r="96" spans="1:10">
      <c r="E96" s="75"/>
    </row>
    <row r="97" spans="5:5">
      <c r="E97" s="75"/>
    </row>
  </sheetData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C5D70-49E7-480C-89F8-5616E1124C0C}">
  <dimension ref="A1:J20"/>
  <sheetViews>
    <sheetView workbookViewId="0">
      <selection activeCell="F8" sqref="F8"/>
    </sheetView>
  </sheetViews>
  <sheetFormatPr defaultRowHeight="15"/>
  <cols>
    <col min="1" max="1" width="9.140625" style="7"/>
    <col min="2" max="2" width="24.7109375" style="7" customWidth="1"/>
    <col min="3" max="3" width="30.85546875" style="7" customWidth="1"/>
    <col min="4" max="4" width="14.85546875" style="7" customWidth="1"/>
    <col min="5" max="5" width="22.42578125" style="7" customWidth="1"/>
    <col min="6" max="6" width="24.5703125" style="7" customWidth="1"/>
    <col min="7" max="16384" width="9.140625" style="7"/>
  </cols>
  <sheetData>
    <row r="1" spans="1:10" s="1" customFormat="1" ht="43.5" customHeight="1">
      <c r="A1" s="30" t="s">
        <v>3</v>
      </c>
      <c r="C1" s="40" t="s">
        <v>0</v>
      </c>
      <c r="D1" s="36" t="s">
        <v>1</v>
      </c>
      <c r="E1" s="36" t="s">
        <v>2</v>
      </c>
      <c r="F1" s="36"/>
      <c r="G1" s="45" t="s">
        <v>40</v>
      </c>
    </row>
    <row r="2" spans="1:10" ht="7.5" customHeight="1"/>
    <row r="3" spans="1:10" s="8" customFormat="1" ht="7.5" customHeight="1"/>
    <row r="4" spans="1:10" s="8" customFormat="1" ht="21.75">
      <c r="B4" s="81" t="s">
        <v>142</v>
      </c>
      <c r="C4" s="82"/>
      <c r="E4" s="81" t="s">
        <v>143</v>
      </c>
      <c r="F4" s="82"/>
    </row>
    <row r="5" spans="1:10" s="8" customFormat="1" ht="3" customHeight="1"/>
    <row r="6" spans="1:10" s="8" customFormat="1" ht="21.75">
      <c r="B6" s="21" t="s">
        <v>144</v>
      </c>
      <c r="C6" s="31" t="s">
        <v>67</v>
      </c>
      <c r="E6" s="21" t="s">
        <v>145</v>
      </c>
      <c r="F6" s="32">
        <v>45024</v>
      </c>
    </row>
    <row r="7" spans="1:10" s="8" customFormat="1" ht="21.75">
      <c r="B7" s="21" t="s">
        <v>146</v>
      </c>
      <c r="C7" s="27" t="str">
        <f>VLOOKUP(C6,Produtos!B6:G66,2,FALSE)</f>
        <v>Cinto</v>
      </c>
      <c r="E7" s="21" t="s">
        <v>147</v>
      </c>
      <c r="F7" s="27" t="str">
        <f>HLOOKUP(WEEKDAY(F6),'Cadastros Auxiliares'!$B$4:$I$5,2,FALSE)</f>
        <v>Sábado</v>
      </c>
    </row>
    <row r="8" spans="1:10" s="8" customFormat="1" ht="21.75">
      <c r="B8" s="22" t="s">
        <v>148</v>
      </c>
      <c r="C8" s="28" t="str" cm="1">
        <f t="array" ref="C8">_xlfn.XLOOKUP(C6,TB_Produtos[[#All],[Código]],TB_Produtos[[#All],[Tamanho]],"Não encontrado")</f>
        <v>Único</v>
      </c>
      <c r="E8" s="22" t="s">
        <v>149</v>
      </c>
      <c r="F8" s="28" t="s">
        <v>150</v>
      </c>
    </row>
    <row r="9" spans="1:10" s="8" customFormat="1" ht="21.75">
      <c r="B9" s="23" t="s">
        <v>151</v>
      </c>
      <c r="C9" s="27" t="str">
        <f>IFERROR(VLOOKUP(C6,Produtos!B6:G66,4,FALSE),"Não encontrado")</f>
        <v>Acessórios</v>
      </c>
      <c r="E9" s="26" t="s">
        <v>152</v>
      </c>
      <c r="F9" s="33">
        <f>SUMIF(TB_Vendas[[#All],[Data]],Consultas!$F$6,TB_Vendas[[#All],[Qtd]])</f>
        <v>3</v>
      </c>
    </row>
    <row r="10" spans="1:10" s="8" customFormat="1" ht="21.75">
      <c r="B10" s="24" t="s">
        <v>153</v>
      </c>
      <c r="C10" s="46" cm="1">
        <f t="array" ref="C10">_xlfn.XLOOKUP(C6,TB_Produtos[[#All],[Código]],TB_Produtos[[#All],[Preço Unitário]],"Não encontrado")</f>
        <v>49.9</v>
      </c>
    </row>
    <row r="11" spans="1:10" s="8" customFormat="1" ht="21.75">
      <c r="B11" s="21" t="s">
        <v>154</v>
      </c>
      <c r="C11" s="27" cm="1">
        <f t="array" ref="C11">_xlfn.XLOOKUP(C6,TB_Produtos[[#All],[Código]],TB_Produtos[[#All],[Estoque]],"")</f>
        <v>2</v>
      </c>
    </row>
    <row r="12" spans="1:10" s="8" customFormat="1" ht="21.75">
      <c r="B12" s="21" t="s">
        <v>155</v>
      </c>
      <c r="C12" s="27" t="str" cm="1">
        <f t="array" ref="C12">_xlfn.IFS(C11=0, "Estoque zerado", C11&gt;=C13,"Estoque OK",1,"Rever estoque")</f>
        <v>Rever estoque</v>
      </c>
      <c r="I12" s="41"/>
      <c r="J12" s="41"/>
    </row>
    <row r="13" spans="1:10" s="8" customFormat="1" ht="21.75">
      <c r="B13" s="25" t="s">
        <v>156</v>
      </c>
      <c r="C13" s="29">
        <f>_xlfn.XLOOKUP(C9,'Cadastros Auxiliares'!G9:G11,'Cadastros Auxiliares'!H9:H11,"")</f>
        <v>5</v>
      </c>
    </row>
    <row r="14" spans="1:10" s="8" customFormat="1"/>
    <row r="15" spans="1:10" s="8" customFormat="1"/>
    <row r="16" spans="1:10" s="8" customFormat="1">
      <c r="G16" s="37"/>
    </row>
    <row r="17" s="8" customFormat="1"/>
    <row r="18" s="8" customFormat="1"/>
    <row r="19" s="8" customFormat="1"/>
    <row r="20" s="8" customFormat="1"/>
  </sheetData>
  <mergeCells count="2">
    <mergeCell ref="B4:C4"/>
    <mergeCell ref="E4:F4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9DAA16D-3AC1-4BD2-8B36-27C38E7DEFC5}">
          <x14:formula1>
            <xm:f>Produtos!$B$7:$B$66</xm:f>
          </x14:formula1>
          <xm:sqref>C6</xm:sqref>
        </x14:dataValidation>
        <x14:dataValidation type="list" allowBlank="1" showInputMessage="1" showErrorMessage="1" xr:uid="{5316EE0A-40CB-47DE-B423-97904F12071A}">
          <x14:formula1>
            <xm:f>Vendas!$C$5:$C$86</xm:f>
          </x14:formula1>
          <xm:sqref>F6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59999389629810485"/>
  </sheetPr>
  <dimension ref="A1:L27"/>
  <sheetViews>
    <sheetView workbookViewId="0">
      <selection activeCell="C19" sqref="C19"/>
    </sheetView>
  </sheetViews>
  <sheetFormatPr defaultRowHeight="14.25"/>
  <cols>
    <col min="1" max="1" width="10.42578125" style="3" customWidth="1"/>
    <col min="2" max="2" width="22.5703125" style="3" customWidth="1"/>
    <col min="3" max="3" width="17.140625" style="3" customWidth="1"/>
    <col min="4" max="4" width="18.85546875" style="3" customWidth="1"/>
    <col min="5" max="5" width="14.140625" style="3" bestFit="1" customWidth="1"/>
    <col min="6" max="6" width="20.5703125" style="3" bestFit="1" customWidth="1"/>
    <col min="7" max="8" width="14.7109375" style="3" customWidth="1"/>
    <col min="9" max="9" width="12.140625" style="3" customWidth="1"/>
    <col min="10" max="16384" width="9.140625" style="3"/>
  </cols>
  <sheetData>
    <row r="1" spans="1:9" s="2" customFormat="1" ht="33.75" customHeight="1">
      <c r="A1" s="5" t="s">
        <v>157</v>
      </c>
      <c r="B1" s="4"/>
    </row>
    <row r="2" spans="1:9" ht="6" customHeight="1"/>
    <row r="3" spans="1:9" ht="5.25" customHeight="1"/>
    <row r="4" spans="1:9" ht="26.25" customHeight="1">
      <c r="B4" s="52" t="s">
        <v>41</v>
      </c>
      <c r="C4" s="53">
        <v>1</v>
      </c>
      <c r="D4" s="53">
        <v>2</v>
      </c>
      <c r="E4" s="53">
        <v>3</v>
      </c>
      <c r="F4" s="53">
        <v>4</v>
      </c>
      <c r="G4" s="53">
        <v>5</v>
      </c>
      <c r="H4" s="53">
        <v>6</v>
      </c>
      <c r="I4" s="53">
        <v>7</v>
      </c>
    </row>
    <row r="5" spans="1:9" ht="26.25" customHeight="1">
      <c r="B5" s="52" t="s">
        <v>158</v>
      </c>
      <c r="C5" s="54" t="s">
        <v>159</v>
      </c>
      <c r="D5" s="54" t="s">
        <v>160</v>
      </c>
      <c r="E5" s="54" t="s">
        <v>161</v>
      </c>
      <c r="F5" s="54" t="s">
        <v>162</v>
      </c>
      <c r="G5" s="54" t="s">
        <v>163</v>
      </c>
      <c r="H5" s="54" t="s">
        <v>164</v>
      </c>
      <c r="I5" s="54" t="s">
        <v>165</v>
      </c>
    </row>
    <row r="8" spans="1:9" ht="31.5">
      <c r="A8" s="55"/>
      <c r="B8" s="56" t="s">
        <v>166</v>
      </c>
      <c r="C8" s="56" t="s">
        <v>7</v>
      </c>
      <c r="D8" s="56" t="s">
        <v>20</v>
      </c>
      <c r="E8" s="57" t="s">
        <v>15</v>
      </c>
      <c r="G8" s="57" t="s">
        <v>4</v>
      </c>
      <c r="H8" s="58" t="s">
        <v>167</v>
      </c>
    </row>
    <row r="9" spans="1:9" ht="18">
      <c r="B9" s="59">
        <v>1</v>
      </c>
      <c r="C9" s="60">
        <v>0</v>
      </c>
      <c r="D9" s="61">
        <v>0.1</v>
      </c>
      <c r="E9" s="60">
        <v>0</v>
      </c>
      <c r="G9" s="60" t="s">
        <v>7</v>
      </c>
      <c r="H9" s="62">
        <v>5</v>
      </c>
    </row>
    <row r="10" spans="1:9" ht="18">
      <c r="B10" s="59">
        <v>2</v>
      </c>
      <c r="C10" s="60">
        <v>0.05</v>
      </c>
      <c r="D10" s="60">
        <v>0.15</v>
      </c>
      <c r="E10" s="63">
        <v>0.1</v>
      </c>
      <c r="G10" s="60" t="s">
        <v>20</v>
      </c>
      <c r="H10" s="62">
        <v>10</v>
      </c>
    </row>
    <row r="11" spans="1:9" ht="18">
      <c r="B11" s="59">
        <v>3</v>
      </c>
      <c r="C11" s="60">
        <v>0.15</v>
      </c>
      <c r="D11" s="60">
        <v>0.2</v>
      </c>
      <c r="E11" s="63">
        <v>0.15</v>
      </c>
      <c r="G11" s="60" t="s">
        <v>15</v>
      </c>
      <c r="H11" s="62">
        <v>15</v>
      </c>
    </row>
    <row r="12" spans="1:9" ht="18">
      <c r="B12" s="59">
        <v>5</v>
      </c>
      <c r="C12" s="60">
        <v>0.25</v>
      </c>
      <c r="D12" s="60">
        <v>0.25</v>
      </c>
      <c r="E12" s="63">
        <v>0.25</v>
      </c>
    </row>
    <row r="13" spans="1:9" ht="18">
      <c r="B13" s="59">
        <v>10</v>
      </c>
      <c r="C13" s="60">
        <v>0.3</v>
      </c>
      <c r="D13" s="60">
        <v>0.3</v>
      </c>
      <c r="E13" s="63">
        <v>0.3</v>
      </c>
    </row>
    <row r="16" spans="1:9">
      <c r="C16" s="3" t="s">
        <v>88</v>
      </c>
      <c r="D16" s="3">
        <f>MATCH(C18,B8:E8,0)</f>
        <v>3</v>
      </c>
      <c r="F16" s="3">
        <f>MATCH(C18,B8:E8,0)</f>
        <v>3</v>
      </c>
      <c r="G16" s="3" t="s">
        <v>168</v>
      </c>
    </row>
    <row r="17" spans="1:12">
      <c r="C17" s="3">
        <v>4</v>
      </c>
      <c r="D17" s="64">
        <f>VLOOKUP(C17,B8:E13,MATCH(C18,B8:E8,0),TRUE)</f>
        <v>0.2</v>
      </c>
      <c r="F17" s="3">
        <f>MATCH(C17,B8:B13,1)</f>
        <v>4</v>
      </c>
      <c r="G17" s="3" t="s">
        <v>169</v>
      </c>
    </row>
    <row r="18" spans="1:12">
      <c r="C18" s="3" t="str" cm="1">
        <f t="array" ref="C18">_xlfn.XLOOKUP(C16,TB_Produtos[[#All],[Código]],TB_Produtos[[#All],[Categoria]],"")</f>
        <v>Vestuário</v>
      </c>
      <c r="F18" s="64" cm="1">
        <f t="array" ref="F18">INDEX(B8:E13,F17,F16)</f>
        <v>0.2</v>
      </c>
    </row>
    <row r="19" spans="1:12" ht="19.5">
      <c r="A19" s="47"/>
      <c r="B19" s="47"/>
      <c r="C19" s="48" t="str">
        <f>VLOOKUP(C16,TB_Produtos[#All],4,FALSE)</f>
        <v>Vestuário</v>
      </c>
      <c r="D19" s="47"/>
      <c r="E19" s="47"/>
      <c r="F19" s="47"/>
      <c r="G19" s="47"/>
      <c r="H19" s="47"/>
      <c r="I19" s="47"/>
      <c r="J19" s="47"/>
      <c r="K19" s="47"/>
      <c r="L19" s="47"/>
    </row>
    <row r="20" spans="1:12" ht="19.5">
      <c r="A20" s="47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</row>
    <row r="21" spans="1:12" ht="19.5">
      <c r="A21" s="47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</row>
    <row r="22" spans="1:12" ht="19.5">
      <c r="A22" s="47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</row>
    <row r="23" spans="1:12" ht="19.5">
      <c r="A23" s="47"/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</row>
    <row r="24" spans="1:12" ht="19.5">
      <c r="A24" s="47"/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</row>
    <row r="25" spans="1:12" ht="19.5">
      <c r="A25" s="47"/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</row>
    <row r="26" spans="1:12" ht="19.5">
      <c r="A26" s="47"/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</row>
    <row r="27" spans="1:12" ht="19.5">
      <c r="A27" s="47"/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2025-06-08T20:18:25Z</dcterms:created>
  <dcterms:modified xsi:type="dcterms:W3CDTF">2025-07-02T11:27:39Z</dcterms:modified>
  <cp:category/>
  <cp:contentStatus/>
</cp:coreProperties>
</file>