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codeName="ThisWorkbook" defaultThemeVersion="124226"/>
  <xr:revisionPtr revIDLastSave="0" documentId="13_ncr:1_{BA359139-F547-42A5-8BDB-F441F89E385E}" xr6:coauthVersionLast="47" xr6:coauthVersionMax="47" xr10:uidLastSave="{00000000-0000-0000-0000-000000000000}"/>
  <bookViews>
    <workbookView xWindow="-110" yWindow="-110" windowWidth="19420" windowHeight="10420" xr2:uid="{00000000-000D-0000-FFFF-FFFF00000000}"/>
  </bookViews>
  <sheets>
    <sheet name="COVER" sheetId="47" r:id="rId1"/>
    <sheet name="Preliminary ---&gt;" sheetId="49" r:id="rId2"/>
    <sheet name="SE_Prelim" sheetId="60" state="hidden" r:id="rId3"/>
    <sheet name="BS_Prelim" sheetId="58" state="hidden" r:id="rId4"/>
    <sheet name="CF_Prelim" sheetId="62" state="hidden" r:id="rId5"/>
    <sheet name="1.Sources --&gt;" sheetId="48" r:id="rId6"/>
    <sheet name="BS source" sheetId="3" r:id="rId7"/>
    <sheet name="CF source" sheetId="52" r:id="rId8"/>
    <sheet name="P&amp;L source" sheetId="2" r:id="rId9"/>
    <sheet name="2.Output --&gt;" sheetId="17" r:id="rId10"/>
    <sheet name="P&amp;L" sheetId="5" r:id="rId11"/>
    <sheet name="BS" sheetId="29" r:id="rId12"/>
    <sheet name="Segment" sheetId="63" r:id="rId13"/>
    <sheet name="2.1 Schedules --&gt;" sheetId="53" r:id="rId14"/>
    <sheet name="PrelimSE24" sheetId="55" state="hidden" r:id="rId15"/>
    <sheet name="PrelimSE2024" sheetId="56" state="hidden" r:id="rId16"/>
    <sheet name="Shares" sheetId="44" state="hidden" r:id="rId17"/>
    <sheet name="Depreciation" sheetId="34" r:id="rId18"/>
    <sheet name="WC" sheetId="33" r:id="rId19"/>
    <sheet name="Other Long-term" sheetId="41" r:id="rId20"/>
    <sheet name="Equity" sheetId="42" r:id="rId21"/>
    <sheet name="4.Valuation --&gt;" sheetId="18" r:id="rId22"/>
    <sheet name="UnleveredCF" sheetId="6" r:id="rId23"/>
    <sheet name="DCF valuation" sheetId="11" r:id="rId24"/>
  </sheets>
  <externalReferences>
    <externalReference r:id="rId25"/>
    <externalReference r:id="rId2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7" l="1"/>
  <c r="C15" i="11"/>
  <c r="L29" i="6"/>
  <c r="M29" i="6"/>
  <c r="N29" i="6"/>
  <c r="O29" i="6"/>
  <c r="J9" i="6"/>
  <c r="E5" i="34"/>
  <c r="F5" i="34"/>
  <c r="G5" i="34"/>
  <c r="H5" i="34"/>
  <c r="I5" i="34"/>
  <c r="J5" i="34"/>
  <c r="D5" i="34"/>
  <c r="E27" i="42"/>
  <c r="F27" i="42"/>
  <c r="G27" i="42"/>
  <c r="H27" i="42"/>
  <c r="I27" i="42"/>
  <c r="J27" i="42"/>
  <c r="D27" i="42"/>
  <c r="D24" i="42"/>
  <c r="E24" i="42"/>
  <c r="F24" i="42"/>
  <c r="G24" i="42"/>
  <c r="H24" i="42"/>
  <c r="I24" i="42"/>
  <c r="J24" i="42"/>
  <c r="J23" i="42"/>
  <c r="C41" i="63"/>
  <c r="M58" i="63" s="1"/>
  <c r="J58" i="63"/>
  <c r="I58" i="63"/>
  <c r="H58" i="63"/>
  <c r="G58" i="63"/>
  <c r="F58" i="63"/>
  <c r="E58" i="63"/>
  <c r="J54" i="63"/>
  <c r="I54" i="63"/>
  <c r="H54" i="63"/>
  <c r="G54" i="63"/>
  <c r="F54" i="63"/>
  <c r="E54" i="63"/>
  <c r="J50" i="63"/>
  <c r="I50" i="63"/>
  <c r="H50" i="63"/>
  <c r="G50" i="63"/>
  <c r="F50" i="63"/>
  <c r="E50" i="63"/>
  <c r="J46" i="63"/>
  <c r="I46" i="63"/>
  <c r="H46" i="63"/>
  <c r="G46" i="63"/>
  <c r="F46" i="63"/>
  <c r="E46" i="63"/>
  <c r="J32" i="63"/>
  <c r="I32" i="63"/>
  <c r="H32" i="63"/>
  <c r="G32" i="63"/>
  <c r="F32" i="63"/>
  <c r="E32" i="63"/>
  <c r="D32" i="63"/>
  <c r="C32" i="63"/>
  <c r="J16" i="63"/>
  <c r="I16" i="63"/>
  <c r="H16" i="63"/>
  <c r="G16" i="63"/>
  <c r="F16" i="63"/>
  <c r="E16" i="63"/>
  <c r="D16" i="63"/>
  <c r="J15" i="63"/>
  <c r="I15" i="63"/>
  <c r="H15" i="63"/>
  <c r="G15" i="63"/>
  <c r="F15" i="63"/>
  <c r="E15" i="63"/>
  <c r="D15" i="63"/>
  <c r="J14" i="63"/>
  <c r="I14" i="63"/>
  <c r="H14" i="63"/>
  <c r="G14" i="63"/>
  <c r="F14" i="63"/>
  <c r="E14" i="63"/>
  <c r="D14" i="63"/>
  <c r="J13" i="63"/>
  <c r="I13" i="63"/>
  <c r="H13" i="63"/>
  <c r="G13" i="63"/>
  <c r="F13" i="63"/>
  <c r="E13" i="63"/>
  <c r="D13" i="63"/>
  <c r="J8" i="63"/>
  <c r="I8" i="63"/>
  <c r="H8" i="63"/>
  <c r="G8" i="63"/>
  <c r="F8" i="63"/>
  <c r="E8" i="63"/>
  <c r="D8" i="63"/>
  <c r="J7" i="63"/>
  <c r="I7" i="63"/>
  <c r="H7" i="63"/>
  <c r="G7" i="63"/>
  <c r="F7" i="63"/>
  <c r="E7" i="63"/>
  <c r="D7" i="63"/>
  <c r="J6" i="63"/>
  <c r="I6" i="63"/>
  <c r="H6" i="63"/>
  <c r="G6" i="63"/>
  <c r="F6" i="63"/>
  <c r="E6" i="63"/>
  <c r="D6" i="63"/>
  <c r="J5" i="63"/>
  <c r="I5" i="63"/>
  <c r="I9" i="63" s="1"/>
  <c r="H5" i="63"/>
  <c r="G5" i="63"/>
  <c r="F5" i="63"/>
  <c r="E5" i="63"/>
  <c r="D5" i="63"/>
  <c r="F35" i="62"/>
  <c r="F34" i="62"/>
  <c r="B40" i="62"/>
  <c r="D8" i="34"/>
  <c r="G7" i="42"/>
  <c r="G8" i="42"/>
  <c r="G9" i="42"/>
  <c r="G11" i="42"/>
  <c r="J11" i="42"/>
  <c r="I11" i="42"/>
  <c r="H11" i="42"/>
  <c r="F11" i="42"/>
  <c r="E11" i="42"/>
  <c r="D11" i="42"/>
  <c r="J9" i="42"/>
  <c r="I9" i="42"/>
  <c r="H9" i="42"/>
  <c r="F9" i="42"/>
  <c r="E9" i="42"/>
  <c r="D9" i="42"/>
  <c r="J8" i="42"/>
  <c r="I8" i="42"/>
  <c r="H8" i="42"/>
  <c r="F8" i="42"/>
  <c r="E8" i="42"/>
  <c r="D8" i="42"/>
  <c r="D7" i="42"/>
  <c r="E7" i="42"/>
  <c r="F7" i="42"/>
  <c r="H7" i="42"/>
  <c r="I7" i="42"/>
  <c r="J7" i="42"/>
  <c r="D22" i="5"/>
  <c r="E22" i="5"/>
  <c r="F22" i="5"/>
  <c r="G22" i="5"/>
  <c r="H22" i="5"/>
  <c r="I22" i="5"/>
  <c r="J22" i="5"/>
  <c r="D18" i="5"/>
  <c r="D27" i="6" s="1"/>
  <c r="E18" i="5"/>
  <c r="E27" i="6" s="1"/>
  <c r="F18" i="5"/>
  <c r="F27" i="6" s="1"/>
  <c r="G18" i="5"/>
  <c r="G27" i="6" s="1"/>
  <c r="H18" i="5"/>
  <c r="H27" i="6" s="1"/>
  <c r="I18" i="5"/>
  <c r="I27" i="6" s="1"/>
  <c r="J18" i="5"/>
  <c r="J27" i="6" s="1"/>
  <c r="D14" i="5"/>
  <c r="D9" i="6" s="1"/>
  <c r="E14" i="5"/>
  <c r="F14" i="5"/>
  <c r="F8" i="34" s="1"/>
  <c r="F29" i="34" s="1"/>
  <c r="G14" i="5"/>
  <c r="G8" i="34" s="1"/>
  <c r="G29" i="34" s="1"/>
  <c r="H14" i="5"/>
  <c r="H8" i="34" s="1"/>
  <c r="H29" i="34" s="1"/>
  <c r="I14" i="5"/>
  <c r="I8" i="34" s="1"/>
  <c r="I29" i="34" s="1"/>
  <c r="J14" i="5"/>
  <c r="J8" i="34" s="1"/>
  <c r="J29" i="34" s="1"/>
  <c r="H9" i="6" l="1"/>
  <c r="E22" i="6"/>
  <c r="E8" i="34"/>
  <c r="E29" i="34" s="1"/>
  <c r="I9" i="6"/>
  <c r="G9" i="6"/>
  <c r="I22" i="6"/>
  <c r="F9" i="6"/>
  <c r="E9" i="6"/>
  <c r="K54" i="63"/>
  <c r="K30" i="63" s="1"/>
  <c r="K7" i="63" s="1"/>
  <c r="L54" i="63"/>
  <c r="O50" i="63"/>
  <c r="D9" i="63"/>
  <c r="L46" i="63"/>
  <c r="K50" i="63"/>
  <c r="K29" i="63" s="1"/>
  <c r="K6" i="63" s="1"/>
  <c r="G9" i="63"/>
  <c r="O46" i="63"/>
  <c r="L50" i="63"/>
  <c r="N50" i="63"/>
  <c r="J9" i="63"/>
  <c r="K46" i="63"/>
  <c r="K28" i="63" s="1"/>
  <c r="E9" i="63"/>
  <c r="M46" i="63"/>
  <c r="F9" i="63"/>
  <c r="N46" i="63"/>
  <c r="H9" i="63"/>
  <c r="M50" i="63"/>
  <c r="N54" i="63"/>
  <c r="N58" i="63"/>
  <c r="O54" i="63"/>
  <c r="O58" i="63"/>
  <c r="M54" i="63"/>
  <c r="K58" i="63"/>
  <c r="K31" i="63" s="1"/>
  <c r="K8" i="63" s="1"/>
  <c r="L58" i="63"/>
  <c r="I34" i="41"/>
  <c r="J26" i="41"/>
  <c r="H9" i="34"/>
  <c r="I10" i="34"/>
  <c r="J9" i="34"/>
  <c r="G9" i="34"/>
  <c r="I9" i="34"/>
  <c r="I16" i="34"/>
  <c r="J16" i="34"/>
  <c r="K12" i="34" s="1"/>
  <c r="J14" i="33"/>
  <c r="J16" i="33"/>
  <c r="I17" i="33"/>
  <c r="J9" i="33"/>
  <c r="J11" i="33"/>
  <c r="H4" i="42"/>
  <c r="I4" i="42"/>
  <c r="E57" i="5"/>
  <c r="F57" i="5"/>
  <c r="G57" i="5"/>
  <c r="H57" i="5"/>
  <c r="I57" i="5"/>
  <c r="J57" i="5"/>
  <c r="G31" i="5"/>
  <c r="H31" i="5"/>
  <c r="I31" i="5"/>
  <c r="J31" i="5"/>
  <c r="C32" i="11" s="1"/>
  <c r="G8" i="5"/>
  <c r="G5" i="33" s="1"/>
  <c r="H8" i="5"/>
  <c r="H5" i="33" s="1"/>
  <c r="I8" i="5"/>
  <c r="I5" i="33" s="1"/>
  <c r="J8" i="5"/>
  <c r="J5" i="33" s="1"/>
  <c r="G11" i="5"/>
  <c r="G49" i="5" s="1"/>
  <c r="H11" i="5"/>
  <c r="H49" i="5" s="1"/>
  <c r="I11" i="5"/>
  <c r="J11" i="5"/>
  <c r="G4" i="5"/>
  <c r="G6" i="5" s="1"/>
  <c r="G9" i="5" s="1"/>
  <c r="H4" i="5"/>
  <c r="H6" i="5" s="1"/>
  <c r="I4" i="5"/>
  <c r="I6" i="5" s="1"/>
  <c r="I9" i="5" s="1"/>
  <c r="J4" i="5"/>
  <c r="J6" i="5" s="1"/>
  <c r="C22" i="29"/>
  <c r="D22" i="29"/>
  <c r="E22" i="29"/>
  <c r="E29" i="6" s="1"/>
  <c r="F22" i="29"/>
  <c r="G22" i="29"/>
  <c r="G29" i="6" s="1"/>
  <c r="H22" i="29"/>
  <c r="I22" i="29"/>
  <c r="I29" i="6" s="1"/>
  <c r="C23" i="29"/>
  <c r="D23" i="29"/>
  <c r="D11" i="41" s="1"/>
  <c r="E23" i="29"/>
  <c r="E11" i="41" s="1"/>
  <c r="F23" i="29"/>
  <c r="F11" i="41" s="1"/>
  <c r="G23" i="29"/>
  <c r="G11" i="41" s="1"/>
  <c r="G13" i="41" s="1"/>
  <c r="H23" i="29"/>
  <c r="H11" i="41" s="1"/>
  <c r="H13" i="41" s="1"/>
  <c r="H14" i="41" s="1"/>
  <c r="I23" i="29"/>
  <c r="I11" i="41" s="1"/>
  <c r="I13" i="41" s="1"/>
  <c r="C24" i="29"/>
  <c r="D24" i="29"/>
  <c r="D12" i="41" s="1"/>
  <c r="E24" i="29"/>
  <c r="E12" i="41" s="1"/>
  <c r="F24" i="29"/>
  <c r="F12" i="41" s="1"/>
  <c r="G24" i="29"/>
  <c r="G12" i="41" s="1"/>
  <c r="G38" i="41" s="1"/>
  <c r="H24" i="29"/>
  <c r="H12" i="41" s="1"/>
  <c r="H38" i="41" s="1"/>
  <c r="I24" i="29"/>
  <c r="I12" i="41" s="1"/>
  <c r="I38" i="41" s="1"/>
  <c r="I39" i="41" s="1"/>
  <c r="J24" i="29"/>
  <c r="J12" i="41" s="1"/>
  <c r="J38" i="41" s="1"/>
  <c r="J23" i="29"/>
  <c r="J11" i="41" s="1"/>
  <c r="J34" i="41" s="1"/>
  <c r="J35" i="41" s="1"/>
  <c r="J22" i="29"/>
  <c r="C17" i="29"/>
  <c r="D17" i="29"/>
  <c r="E17" i="29"/>
  <c r="F17" i="29"/>
  <c r="G17" i="29"/>
  <c r="H17" i="29"/>
  <c r="I17" i="29"/>
  <c r="C18" i="29"/>
  <c r="D18" i="29"/>
  <c r="E18" i="29"/>
  <c r="E15" i="6" s="1"/>
  <c r="F18" i="29"/>
  <c r="G18" i="29"/>
  <c r="G15" i="6" s="1"/>
  <c r="H18" i="29"/>
  <c r="I18" i="29"/>
  <c r="I15" i="6" s="1"/>
  <c r="C19" i="29"/>
  <c r="D19" i="29"/>
  <c r="E19" i="29"/>
  <c r="E17" i="6" s="1"/>
  <c r="F19" i="29"/>
  <c r="F17" i="6" s="1"/>
  <c r="G19" i="29"/>
  <c r="G17" i="6" s="1"/>
  <c r="H19" i="29"/>
  <c r="H17" i="6" s="1"/>
  <c r="I19" i="29"/>
  <c r="C20" i="29"/>
  <c r="D20" i="29"/>
  <c r="D16" i="6" s="1"/>
  <c r="E20" i="29"/>
  <c r="F20" i="29"/>
  <c r="G20" i="29"/>
  <c r="G16" i="6" s="1"/>
  <c r="H20" i="29"/>
  <c r="H16" i="6" s="1"/>
  <c r="I20" i="29"/>
  <c r="I16" i="6" s="1"/>
  <c r="J18" i="29"/>
  <c r="J19" i="29"/>
  <c r="J17" i="6" s="1"/>
  <c r="J20" i="29"/>
  <c r="J17" i="29"/>
  <c r="C4" i="29"/>
  <c r="D4" i="29"/>
  <c r="E4" i="29"/>
  <c r="F33" i="6" s="1"/>
  <c r="F4" i="29"/>
  <c r="G4" i="29"/>
  <c r="H4" i="29"/>
  <c r="I4" i="29"/>
  <c r="C5" i="29"/>
  <c r="D5" i="29"/>
  <c r="D13" i="6" s="1"/>
  <c r="E5" i="29"/>
  <c r="F5" i="29"/>
  <c r="F13" i="6" s="1"/>
  <c r="G5" i="29"/>
  <c r="H5" i="29"/>
  <c r="I5" i="29"/>
  <c r="I13" i="6" s="1"/>
  <c r="C6" i="29"/>
  <c r="D6" i="29"/>
  <c r="D12" i="6" s="1"/>
  <c r="E6" i="29"/>
  <c r="E12" i="6" s="1"/>
  <c r="F6" i="29"/>
  <c r="G6" i="29"/>
  <c r="G12" i="6" s="1"/>
  <c r="H6" i="29"/>
  <c r="H10" i="33" s="1"/>
  <c r="I6" i="29"/>
  <c r="C8" i="29"/>
  <c r="D8" i="29"/>
  <c r="E8" i="29"/>
  <c r="E14" i="6" s="1"/>
  <c r="F8" i="29"/>
  <c r="F14" i="6" s="1"/>
  <c r="G8" i="29"/>
  <c r="H8" i="29"/>
  <c r="H14" i="6" s="1"/>
  <c r="I8" i="29"/>
  <c r="C10" i="29"/>
  <c r="D10" i="29"/>
  <c r="D22" i="6" s="1"/>
  <c r="E10" i="29"/>
  <c r="F10" i="29"/>
  <c r="F22" i="6" s="1"/>
  <c r="G10" i="29"/>
  <c r="G22" i="6" s="1"/>
  <c r="H10" i="29"/>
  <c r="H16" i="34" s="1"/>
  <c r="I10" i="29"/>
  <c r="C11" i="29"/>
  <c r="D11" i="29"/>
  <c r="E11" i="29"/>
  <c r="F11" i="29"/>
  <c r="G11" i="29"/>
  <c r="H11" i="29"/>
  <c r="I11" i="29"/>
  <c r="C12" i="29"/>
  <c r="C5" i="41" s="1"/>
  <c r="D12" i="29"/>
  <c r="D5" i="41" s="1"/>
  <c r="E12" i="29"/>
  <c r="E5" i="41" s="1"/>
  <c r="F12" i="29"/>
  <c r="F5" i="41" s="1"/>
  <c r="F26" i="41" s="1"/>
  <c r="G12" i="29"/>
  <c r="G5" i="41" s="1"/>
  <c r="G26" i="41" s="1"/>
  <c r="G27" i="41" s="1"/>
  <c r="H12" i="29"/>
  <c r="H5" i="41" s="1"/>
  <c r="H26" i="41" s="1"/>
  <c r="I12" i="29"/>
  <c r="I5" i="41" s="1"/>
  <c r="I26" i="41" s="1"/>
  <c r="I27" i="41" s="1"/>
  <c r="C13" i="29"/>
  <c r="C6" i="41" s="1"/>
  <c r="D13" i="29"/>
  <c r="E13" i="29"/>
  <c r="F13" i="29"/>
  <c r="G13" i="29"/>
  <c r="H13" i="29"/>
  <c r="I13" i="29"/>
  <c r="J11" i="29"/>
  <c r="J12" i="29"/>
  <c r="J5" i="41" s="1"/>
  <c r="J13" i="29"/>
  <c r="J10" i="29"/>
  <c r="J22" i="6" s="1"/>
  <c r="J8" i="29"/>
  <c r="J14" i="6" s="1"/>
  <c r="J5" i="29"/>
  <c r="J13" i="6" s="1"/>
  <c r="J6" i="29"/>
  <c r="J12" i="6" s="1"/>
  <c r="J4" i="29"/>
  <c r="C26" i="3"/>
  <c r="D26" i="3"/>
  <c r="E26" i="3"/>
  <c r="F26" i="3"/>
  <c r="G26" i="3"/>
  <c r="H26" i="3"/>
  <c r="I26" i="3"/>
  <c r="J26" i="3"/>
  <c r="E37" i="2"/>
  <c r="F37" i="2"/>
  <c r="G37" i="2"/>
  <c r="H37" i="2"/>
  <c r="I37" i="2"/>
  <c r="J37" i="2"/>
  <c r="K37" i="2"/>
  <c r="D37" i="2"/>
  <c r="C22" i="5"/>
  <c r="C18" i="5"/>
  <c r="C14" i="5"/>
  <c r="C9" i="6" s="1"/>
  <c r="N16" i="3"/>
  <c r="O16" i="3"/>
  <c r="P16" i="3"/>
  <c r="Q16" i="3"/>
  <c r="Q22" i="3" s="1"/>
  <c r="R16" i="3"/>
  <c r="R22" i="3" s="1"/>
  <c r="S16" i="3"/>
  <c r="S22" i="3" s="1"/>
  <c r="T16" i="3"/>
  <c r="T22" i="3" s="1"/>
  <c r="M16" i="3"/>
  <c r="Q20" i="3"/>
  <c r="R20" i="3"/>
  <c r="S20" i="3"/>
  <c r="T20" i="3"/>
  <c r="Q10" i="3"/>
  <c r="G27" i="29" s="1"/>
  <c r="R10" i="3"/>
  <c r="H27" i="29" s="1"/>
  <c r="S10" i="3"/>
  <c r="I27" i="29" s="1"/>
  <c r="T10" i="3"/>
  <c r="J27" i="29" s="1"/>
  <c r="J13" i="42" s="1"/>
  <c r="G18" i="3"/>
  <c r="H18" i="3"/>
  <c r="I18" i="3"/>
  <c r="J18" i="3"/>
  <c r="G10" i="3"/>
  <c r="G24" i="3" s="1"/>
  <c r="G27" i="3" s="1"/>
  <c r="H10" i="3"/>
  <c r="H24" i="3" s="1"/>
  <c r="H27" i="3" s="1"/>
  <c r="I10" i="3"/>
  <c r="I24" i="3" s="1"/>
  <c r="I27" i="3" s="1"/>
  <c r="J10" i="3"/>
  <c r="J24" i="3" s="1"/>
  <c r="J27" i="3" s="1"/>
  <c r="B34" i="58"/>
  <c r="B33" i="58"/>
  <c r="B31" i="58"/>
  <c r="B30" i="58"/>
  <c r="B27" i="58"/>
  <c r="G5" i="11"/>
  <c r="C5" i="11"/>
  <c r="C4" i="11"/>
  <c r="H76" i="55"/>
  <c r="H75" i="55"/>
  <c r="H74" i="55"/>
  <c r="C30" i="11"/>
  <c r="C3" i="11"/>
  <c r="C19" i="41"/>
  <c r="M34" i="41" s="1"/>
  <c r="C20" i="34"/>
  <c r="O29" i="34" s="1"/>
  <c r="C34" i="29"/>
  <c r="C26" i="33"/>
  <c r="M48" i="33" s="1"/>
  <c r="E14" i="33"/>
  <c r="D26" i="41"/>
  <c r="E26" i="41"/>
  <c r="Q32" i="5"/>
  <c r="O57" i="5"/>
  <c r="N57" i="5"/>
  <c r="M57" i="5"/>
  <c r="L57" i="5"/>
  <c r="K57" i="5"/>
  <c r="K18" i="5" s="1"/>
  <c r="K27" i="6" s="1"/>
  <c r="C11" i="47"/>
  <c r="J4" i="34" l="1"/>
  <c r="I12" i="5"/>
  <c r="I4" i="33"/>
  <c r="H4" i="33"/>
  <c r="G12" i="5"/>
  <c r="G16" i="5" s="1"/>
  <c r="J49" i="5"/>
  <c r="H39" i="41"/>
  <c r="K29" i="6"/>
  <c r="J29" i="6"/>
  <c r="C28" i="11"/>
  <c r="J13" i="41"/>
  <c r="J14" i="41" s="1"/>
  <c r="G34" i="41"/>
  <c r="H34" i="41"/>
  <c r="H35" i="41" s="1"/>
  <c r="H29" i="6"/>
  <c r="I35" i="41"/>
  <c r="F29" i="6"/>
  <c r="D29" i="6"/>
  <c r="H21" i="29"/>
  <c r="H25" i="29" s="1"/>
  <c r="H29" i="29" s="1"/>
  <c r="H18" i="6"/>
  <c r="H17" i="33"/>
  <c r="H15" i="33"/>
  <c r="J15" i="6"/>
  <c r="I17" i="6"/>
  <c r="H15" i="6"/>
  <c r="G21" i="29"/>
  <c r="G25" i="29" s="1"/>
  <c r="G29" i="29" s="1"/>
  <c r="G18" i="6"/>
  <c r="G17" i="33"/>
  <c r="G15" i="33"/>
  <c r="E21" i="29"/>
  <c r="E25" i="29" s="1"/>
  <c r="E18" i="6"/>
  <c r="I14" i="33"/>
  <c r="D21" i="29"/>
  <c r="D25" i="29" s="1"/>
  <c r="D18" i="6"/>
  <c r="H16" i="33"/>
  <c r="H48" i="33" s="1"/>
  <c r="H14" i="33"/>
  <c r="F14" i="33"/>
  <c r="F15" i="6"/>
  <c r="F16" i="6"/>
  <c r="D14" i="33"/>
  <c r="D15" i="6"/>
  <c r="G16" i="33"/>
  <c r="G48" i="33" s="1"/>
  <c r="G14" i="33"/>
  <c r="G56" i="33" s="1"/>
  <c r="F21" i="29"/>
  <c r="F25" i="29" s="1"/>
  <c r="F18" i="6"/>
  <c r="I16" i="33"/>
  <c r="J21" i="29"/>
  <c r="J25" i="29" s="1"/>
  <c r="J18" i="6"/>
  <c r="E16" i="6"/>
  <c r="D17" i="6"/>
  <c r="J56" i="33"/>
  <c r="J17" i="33"/>
  <c r="J52" i="33" s="1"/>
  <c r="J15" i="33"/>
  <c r="J16" i="6"/>
  <c r="I21" i="29"/>
  <c r="I25" i="29" s="1"/>
  <c r="I18" i="6"/>
  <c r="I15" i="33"/>
  <c r="I18" i="33" s="1"/>
  <c r="J5" i="42"/>
  <c r="I13" i="42"/>
  <c r="H5" i="42"/>
  <c r="G13" i="42"/>
  <c r="I5" i="42"/>
  <c r="H13" i="42"/>
  <c r="I29" i="29"/>
  <c r="T24" i="3"/>
  <c r="T27" i="3" s="1"/>
  <c r="J29" i="29"/>
  <c r="H20" i="6"/>
  <c r="H6" i="41"/>
  <c r="H30" i="41" s="1"/>
  <c r="H31" i="41" s="1"/>
  <c r="E4" i="41"/>
  <c r="E22" i="41" s="1"/>
  <c r="E23" i="6"/>
  <c r="F20" i="6"/>
  <c r="F6" i="41"/>
  <c r="F30" i="41" s="1"/>
  <c r="G31" i="41" s="1"/>
  <c r="D4" i="41"/>
  <c r="D23" i="6"/>
  <c r="G10" i="34"/>
  <c r="H22" i="6"/>
  <c r="G20" i="6"/>
  <c r="G6" i="41"/>
  <c r="G30" i="41" s="1"/>
  <c r="E20" i="6"/>
  <c r="E6" i="41"/>
  <c r="G16" i="34"/>
  <c r="J4" i="41"/>
  <c r="J23" i="6"/>
  <c r="J20" i="6"/>
  <c r="J6" i="41"/>
  <c r="J30" i="41" s="1"/>
  <c r="J31" i="41" s="1"/>
  <c r="D6" i="41"/>
  <c r="D20" i="6"/>
  <c r="J10" i="34"/>
  <c r="H4" i="41"/>
  <c r="H23" i="6"/>
  <c r="I6" i="41"/>
  <c r="I30" i="41" s="1"/>
  <c r="I20" i="6"/>
  <c r="F4" i="41"/>
  <c r="F22" i="41" s="1"/>
  <c r="F23" i="6"/>
  <c r="I4" i="41"/>
  <c r="I23" i="6"/>
  <c r="G4" i="41"/>
  <c r="G23" i="6"/>
  <c r="H9" i="29"/>
  <c r="H16" i="29" s="1"/>
  <c r="H36" i="6"/>
  <c r="I33" i="6"/>
  <c r="I12" i="6"/>
  <c r="I19" i="6" s="1"/>
  <c r="H13" i="6"/>
  <c r="H33" i="6"/>
  <c r="G36" i="6"/>
  <c r="G10" i="33"/>
  <c r="I14" i="6"/>
  <c r="H12" i="6"/>
  <c r="G9" i="29"/>
  <c r="G16" i="29" s="1"/>
  <c r="G13" i="6"/>
  <c r="C29" i="11"/>
  <c r="F36" i="6"/>
  <c r="G33" i="6"/>
  <c r="I11" i="33"/>
  <c r="I9" i="33"/>
  <c r="G14" i="6"/>
  <c r="F12" i="6"/>
  <c r="E9" i="29"/>
  <c r="E16" i="29" s="1"/>
  <c r="E13" i="6"/>
  <c r="D9" i="29"/>
  <c r="D16" i="29" s="1"/>
  <c r="E33" i="6"/>
  <c r="D36" i="6"/>
  <c r="H11" i="33"/>
  <c r="H40" i="33" s="1"/>
  <c r="H9" i="33"/>
  <c r="C9" i="29"/>
  <c r="D33" i="6"/>
  <c r="G11" i="33"/>
  <c r="G9" i="33"/>
  <c r="G12" i="33" s="1"/>
  <c r="J9" i="29"/>
  <c r="J16" i="29" s="1"/>
  <c r="J36" i="6"/>
  <c r="K33" i="6"/>
  <c r="I40" i="33"/>
  <c r="J10" i="33"/>
  <c r="D14" i="6"/>
  <c r="I9" i="29"/>
  <c r="I16" i="29" s="1"/>
  <c r="I36" i="6"/>
  <c r="J33" i="6"/>
  <c r="I10" i="33"/>
  <c r="G52" i="33"/>
  <c r="G36" i="33"/>
  <c r="G44" i="33"/>
  <c r="I56" i="33"/>
  <c r="I48" i="33"/>
  <c r="I52" i="33"/>
  <c r="I36" i="33"/>
  <c r="H56" i="33"/>
  <c r="H52" i="33"/>
  <c r="H44" i="33"/>
  <c r="H36" i="33"/>
  <c r="G4" i="42"/>
  <c r="G4" i="33"/>
  <c r="I49" i="5"/>
  <c r="J48" i="33"/>
  <c r="I4" i="34"/>
  <c r="J41" i="5"/>
  <c r="I45" i="5"/>
  <c r="I32" i="33"/>
  <c r="H4" i="34"/>
  <c r="I16" i="5"/>
  <c r="I41" i="5"/>
  <c r="G4" i="34"/>
  <c r="H41" i="5"/>
  <c r="G45" i="5"/>
  <c r="J4" i="42"/>
  <c r="J4" i="33"/>
  <c r="G20" i="5"/>
  <c r="G25" i="5" s="1"/>
  <c r="G4" i="6"/>
  <c r="L30" i="63"/>
  <c r="M30" i="63" s="1"/>
  <c r="L29" i="63"/>
  <c r="L6" i="63" s="1"/>
  <c r="L28" i="63"/>
  <c r="M28" i="63" s="1"/>
  <c r="I14" i="41"/>
  <c r="J39" i="41"/>
  <c r="I31" i="41"/>
  <c r="J27" i="41"/>
  <c r="H27" i="41"/>
  <c r="K5" i="63"/>
  <c r="K9" i="63" s="1"/>
  <c r="K32" i="63"/>
  <c r="L31" i="63"/>
  <c r="L8" i="63" s="1"/>
  <c r="G53" i="5"/>
  <c r="I53" i="5"/>
  <c r="H10" i="34"/>
  <c r="H9" i="5"/>
  <c r="J9" i="5"/>
  <c r="F9" i="29"/>
  <c r="F16" i="29" s="1"/>
  <c r="E27" i="41"/>
  <c r="S24" i="3"/>
  <c r="S27" i="3" s="1"/>
  <c r="R24" i="3"/>
  <c r="R27" i="3" s="1"/>
  <c r="Q24" i="3"/>
  <c r="Q27" i="3" s="1"/>
  <c r="F27" i="41"/>
  <c r="E36" i="6"/>
  <c r="K26" i="41"/>
  <c r="K30" i="41"/>
  <c r="L30" i="41"/>
  <c r="L38" i="41"/>
  <c r="M56" i="33"/>
  <c r="L56" i="33"/>
  <c r="M30" i="41"/>
  <c r="N30" i="41"/>
  <c r="N22" i="41"/>
  <c r="N34" i="41"/>
  <c r="M22" i="41"/>
  <c r="O34" i="41"/>
  <c r="L22" i="41"/>
  <c r="K38" i="41"/>
  <c r="K12" i="41" s="1"/>
  <c r="K19" i="11"/>
  <c r="O19" i="11"/>
  <c r="L19" i="11"/>
  <c r="M19" i="11"/>
  <c r="N19" i="11"/>
  <c r="G3" i="11"/>
  <c r="O25" i="34"/>
  <c r="L29" i="34"/>
  <c r="L26" i="41"/>
  <c r="O30" i="41"/>
  <c r="M38" i="41"/>
  <c r="N29" i="34"/>
  <c r="M29" i="34"/>
  <c r="N25" i="34"/>
  <c r="M26" i="41"/>
  <c r="K34" i="41"/>
  <c r="K11" i="41" s="1"/>
  <c r="N38" i="41"/>
  <c r="M25" i="34"/>
  <c r="K22" i="41"/>
  <c r="N26" i="41"/>
  <c r="L34" i="41"/>
  <c r="O38" i="41"/>
  <c r="K25" i="34"/>
  <c r="L25" i="34"/>
  <c r="O22" i="41"/>
  <c r="O26" i="41"/>
  <c r="K56" i="33"/>
  <c r="K29" i="34"/>
  <c r="O56" i="33"/>
  <c r="N56" i="33"/>
  <c r="P20" i="3"/>
  <c r="P10" i="3"/>
  <c r="F27" i="29" s="1"/>
  <c r="O10" i="3"/>
  <c r="E27" i="29" s="1"/>
  <c r="N10" i="3"/>
  <c r="D27" i="29" s="1"/>
  <c r="D10" i="3"/>
  <c r="K32" i="33"/>
  <c r="M36" i="33"/>
  <c r="N44" i="33"/>
  <c r="K52" i="33"/>
  <c r="N36" i="33"/>
  <c r="L48" i="33"/>
  <c r="L36" i="33"/>
  <c r="N32" i="33"/>
  <c r="N52" i="33"/>
  <c r="L32" i="33"/>
  <c r="M40" i="33"/>
  <c r="O48" i="33"/>
  <c r="L52" i="33"/>
  <c r="O44" i="33"/>
  <c r="O32" i="33"/>
  <c r="M44" i="33"/>
  <c r="L44" i="33"/>
  <c r="M32" i="33"/>
  <c r="N40" i="33"/>
  <c r="M52" i="33"/>
  <c r="K36" i="33"/>
  <c r="L40" i="33"/>
  <c r="N48" i="33"/>
  <c r="K40" i="33"/>
  <c r="O52" i="33"/>
  <c r="O40" i="33"/>
  <c r="K48" i="33"/>
  <c r="O36" i="33"/>
  <c r="K44" i="33"/>
  <c r="O20" i="3"/>
  <c r="N20" i="3"/>
  <c r="F18" i="3"/>
  <c r="F10" i="3"/>
  <c r="D18" i="3"/>
  <c r="E18" i="3"/>
  <c r="E10" i="3"/>
  <c r="C10" i="47"/>
  <c r="C7" i="47"/>
  <c r="K50" i="42"/>
  <c r="I7" i="44"/>
  <c r="J7" i="44"/>
  <c r="K7" i="44"/>
  <c r="L7" i="44"/>
  <c r="H7" i="44"/>
  <c r="H11" i="44"/>
  <c r="I11" i="44" s="1"/>
  <c r="D6" i="44"/>
  <c r="D5" i="44"/>
  <c r="F6" i="44"/>
  <c r="E6" i="44"/>
  <c r="F8" i="44"/>
  <c r="E8" i="44"/>
  <c r="D8" i="44"/>
  <c r="D9" i="44" s="1"/>
  <c r="D11" i="44"/>
  <c r="E11" i="44"/>
  <c r="F11" i="44"/>
  <c r="C6" i="44"/>
  <c r="C5" i="44"/>
  <c r="D34" i="41"/>
  <c r="E34" i="41"/>
  <c r="D38" i="41"/>
  <c r="E38" i="41"/>
  <c r="F38" i="41"/>
  <c r="G39" i="41" s="1"/>
  <c r="F34" i="41"/>
  <c r="G35" i="41" s="1"/>
  <c r="D30" i="41"/>
  <c r="E30" i="41"/>
  <c r="D22" i="41"/>
  <c r="D16" i="34"/>
  <c r="E16" i="34"/>
  <c r="F16" i="34"/>
  <c r="E15" i="33"/>
  <c r="D16" i="33"/>
  <c r="E16" i="33"/>
  <c r="D17" i="33"/>
  <c r="E17" i="33"/>
  <c r="F17" i="33"/>
  <c r="F16" i="33"/>
  <c r="F15" i="33"/>
  <c r="D10" i="33"/>
  <c r="E10" i="33"/>
  <c r="F10" i="33"/>
  <c r="D9" i="33"/>
  <c r="E9" i="33"/>
  <c r="F9" i="33"/>
  <c r="F11" i="33"/>
  <c r="C9" i="33"/>
  <c r="C10" i="33"/>
  <c r="C4" i="41"/>
  <c r="C22" i="41" s="1"/>
  <c r="C26" i="41"/>
  <c r="D27" i="41" s="1"/>
  <c r="C30" i="41"/>
  <c r="C14" i="33"/>
  <c r="C17" i="33"/>
  <c r="C16" i="33"/>
  <c r="C11" i="41"/>
  <c r="C34" i="41" s="1"/>
  <c r="C12" i="41"/>
  <c r="C38" i="41" s="1"/>
  <c r="O61" i="5"/>
  <c r="N61" i="5"/>
  <c r="M61" i="5"/>
  <c r="L61" i="5"/>
  <c r="K61" i="5"/>
  <c r="O53" i="5"/>
  <c r="N53" i="5"/>
  <c r="M53" i="5"/>
  <c r="L53" i="5"/>
  <c r="K53" i="5"/>
  <c r="O49" i="5"/>
  <c r="N49" i="5"/>
  <c r="M49" i="5"/>
  <c r="L49" i="5"/>
  <c r="K49" i="5"/>
  <c r="O45" i="5"/>
  <c r="N45" i="5"/>
  <c r="M45" i="5"/>
  <c r="L45" i="5"/>
  <c r="K45" i="5"/>
  <c r="L41" i="5"/>
  <c r="M41" i="5"/>
  <c r="N41" i="5"/>
  <c r="O41" i="5"/>
  <c r="K41" i="5"/>
  <c r="K4" i="5" s="1"/>
  <c r="L4" i="5" s="1"/>
  <c r="M4" i="5" s="1"/>
  <c r="N4" i="5" s="1"/>
  <c r="O4" i="5" s="1"/>
  <c r="D27" i="5"/>
  <c r="E27" i="5"/>
  <c r="E28" i="5"/>
  <c r="C31" i="5"/>
  <c r="D31" i="5"/>
  <c r="D13" i="44" s="1"/>
  <c r="E31" i="5"/>
  <c r="E13" i="44" s="1"/>
  <c r="F31" i="5"/>
  <c r="C28" i="5"/>
  <c r="F28" i="5"/>
  <c r="C27" i="5"/>
  <c r="F27" i="5"/>
  <c r="C11" i="5"/>
  <c r="D11" i="5"/>
  <c r="E11" i="5"/>
  <c r="F11" i="5"/>
  <c r="D8" i="5"/>
  <c r="D5" i="33" s="1"/>
  <c r="D56" i="33" s="1"/>
  <c r="E8" i="5"/>
  <c r="E5" i="33" s="1"/>
  <c r="E56" i="33" s="1"/>
  <c r="F8" i="5"/>
  <c r="F5" i="33" s="1"/>
  <c r="C8" i="5"/>
  <c r="C5" i="33" s="1"/>
  <c r="C4" i="5"/>
  <c r="C6" i="5" s="1"/>
  <c r="D4" i="5"/>
  <c r="E4" i="5"/>
  <c r="F4" i="5"/>
  <c r="F41" i="5" l="1"/>
  <c r="F49" i="5"/>
  <c r="E41" i="5"/>
  <c r="E49" i="5"/>
  <c r="J25" i="34"/>
  <c r="J6" i="34"/>
  <c r="F56" i="33"/>
  <c r="F19" i="6"/>
  <c r="G19" i="6"/>
  <c r="I44" i="33"/>
  <c r="H18" i="33"/>
  <c r="G18" i="33"/>
  <c r="G19" i="33" s="1"/>
  <c r="J18" i="33"/>
  <c r="J44" i="33"/>
  <c r="D13" i="42"/>
  <c r="E5" i="42"/>
  <c r="D29" i="29"/>
  <c r="E13" i="42"/>
  <c r="F5" i="42"/>
  <c r="E29" i="29"/>
  <c r="F13" i="42"/>
  <c r="G5" i="42"/>
  <c r="F29" i="29"/>
  <c r="J22" i="41"/>
  <c r="J23" i="41" s="1"/>
  <c r="J7" i="41"/>
  <c r="G22" i="41"/>
  <c r="G23" i="41" s="1"/>
  <c r="G7" i="41"/>
  <c r="H7" i="41"/>
  <c r="I8" i="41" s="1"/>
  <c r="I16" i="41" s="1"/>
  <c r="H22" i="41"/>
  <c r="H23" i="41" s="1"/>
  <c r="K4" i="41"/>
  <c r="I22" i="41"/>
  <c r="I7" i="41"/>
  <c r="K6" i="41"/>
  <c r="J12" i="33"/>
  <c r="J36" i="33"/>
  <c r="H32" i="33"/>
  <c r="H12" i="33"/>
  <c r="I12" i="33"/>
  <c r="H19" i="6"/>
  <c r="I13" i="44"/>
  <c r="J11" i="44"/>
  <c r="J38" i="2"/>
  <c r="D49" i="5"/>
  <c r="G23" i="5"/>
  <c r="G6" i="6" s="1"/>
  <c r="G25" i="34"/>
  <c r="G6" i="34"/>
  <c r="G41" i="5"/>
  <c r="I25" i="34"/>
  <c r="I6" i="34"/>
  <c r="J12" i="5"/>
  <c r="J16" i="5" s="1"/>
  <c r="J53" i="5" s="1"/>
  <c r="J45" i="5"/>
  <c r="G61" i="5"/>
  <c r="I20" i="5"/>
  <c r="I4" i="6"/>
  <c r="H12" i="5"/>
  <c r="H16" i="5" s="1"/>
  <c r="H45" i="5"/>
  <c r="G28" i="42"/>
  <c r="G29" i="42" s="1"/>
  <c r="G30" i="6"/>
  <c r="G29" i="5"/>
  <c r="J40" i="33"/>
  <c r="J32" i="33"/>
  <c r="H25" i="34"/>
  <c r="H6" i="34"/>
  <c r="G40" i="33"/>
  <c r="G32" i="33"/>
  <c r="M29" i="63"/>
  <c r="M6" i="63" s="1"/>
  <c r="L5" i="63"/>
  <c r="L7" i="63"/>
  <c r="K5" i="41"/>
  <c r="K12" i="29" s="1"/>
  <c r="M31" i="63"/>
  <c r="L32" i="63"/>
  <c r="M7" i="63"/>
  <c r="N30" i="63"/>
  <c r="N28" i="63"/>
  <c r="M5" i="63"/>
  <c r="F4" i="42"/>
  <c r="F34" i="42" s="1"/>
  <c r="F31" i="41"/>
  <c r="F13" i="44"/>
  <c r="F12" i="44" s="1"/>
  <c r="E6" i="5"/>
  <c r="E9" i="5" s="1"/>
  <c r="E45" i="5" s="1"/>
  <c r="E4" i="42"/>
  <c r="E34" i="42" s="1"/>
  <c r="D6" i="5"/>
  <c r="D9" i="5" s="1"/>
  <c r="D45" i="5" s="1"/>
  <c r="D4" i="42"/>
  <c r="D34" i="42" s="1"/>
  <c r="C56" i="33"/>
  <c r="E35" i="41"/>
  <c r="E19" i="6"/>
  <c r="O22" i="3"/>
  <c r="O24" i="3" s="1"/>
  <c r="P22" i="3"/>
  <c r="P24" i="3" s="1"/>
  <c r="F24" i="3"/>
  <c r="F27" i="3" s="1"/>
  <c r="C16" i="29"/>
  <c r="F23" i="41"/>
  <c r="F39" i="41"/>
  <c r="N22" i="3"/>
  <c r="N24" i="3" s="1"/>
  <c r="E31" i="41"/>
  <c r="D35" i="41"/>
  <c r="D31" i="41"/>
  <c r="F35" i="41"/>
  <c r="E23" i="41"/>
  <c r="E39" i="41"/>
  <c r="D23" i="41"/>
  <c r="D39" i="41"/>
  <c r="L12" i="41"/>
  <c r="L18" i="5"/>
  <c r="L27" i="6" s="1"/>
  <c r="K23" i="29"/>
  <c r="D57" i="5"/>
  <c r="F6" i="5"/>
  <c r="D10" i="34"/>
  <c r="E10" i="34"/>
  <c r="M10" i="3"/>
  <c r="D15" i="33"/>
  <c r="D44" i="33" s="1"/>
  <c r="C18" i="3"/>
  <c r="M20" i="3"/>
  <c r="C10" i="3"/>
  <c r="K13" i="29"/>
  <c r="E13" i="41"/>
  <c r="F7" i="41"/>
  <c r="G8" i="41" s="1"/>
  <c r="D13" i="41"/>
  <c r="C13" i="41"/>
  <c r="F52" i="33"/>
  <c r="F13" i="41"/>
  <c r="G14" i="41" s="1"/>
  <c r="F18" i="33"/>
  <c r="C7" i="41"/>
  <c r="C49" i="5"/>
  <c r="E4" i="34"/>
  <c r="C4" i="33"/>
  <c r="C32" i="33" s="1"/>
  <c r="D4" i="33"/>
  <c r="D32" i="33" s="1"/>
  <c r="C52" i="33"/>
  <c r="C48" i="33"/>
  <c r="E44" i="33"/>
  <c r="E52" i="33"/>
  <c r="F4" i="33"/>
  <c r="F40" i="33" s="1"/>
  <c r="F4" i="34"/>
  <c r="F25" i="34" s="1"/>
  <c r="E4" i="33"/>
  <c r="D4" i="34"/>
  <c r="D25" i="34" s="1"/>
  <c r="C36" i="33"/>
  <c r="D52" i="33"/>
  <c r="E36" i="33"/>
  <c r="F48" i="33"/>
  <c r="D36" i="33"/>
  <c r="E48" i="33"/>
  <c r="D48" i="33"/>
  <c r="F44" i="33"/>
  <c r="F36" i="33"/>
  <c r="E12" i="44"/>
  <c r="D12" i="44"/>
  <c r="F5" i="44"/>
  <c r="F9" i="44" s="1"/>
  <c r="E5" i="44"/>
  <c r="E9" i="44" s="1"/>
  <c r="H5" i="44"/>
  <c r="H8" i="44" s="1"/>
  <c r="I5" i="44" s="1"/>
  <c r="I8" i="44" s="1"/>
  <c r="J5" i="44" s="1"/>
  <c r="J8" i="44" s="1"/>
  <c r="K5" i="44" s="1"/>
  <c r="K8" i="44" s="1"/>
  <c r="L5" i="44" s="1"/>
  <c r="L8" i="44" s="1"/>
  <c r="C50" i="42"/>
  <c r="C24" i="42"/>
  <c r="C48" i="42"/>
  <c r="E7" i="41"/>
  <c r="F8" i="41" s="1"/>
  <c r="D7" i="41"/>
  <c r="E18" i="33"/>
  <c r="F12" i="33"/>
  <c r="F19" i="33" s="1"/>
  <c r="D28" i="5"/>
  <c r="D41" i="5"/>
  <c r="C9" i="5"/>
  <c r="C45" i="5" s="1"/>
  <c r="G21" i="33" l="1"/>
  <c r="E8" i="41"/>
  <c r="H8" i="41"/>
  <c r="H16" i="41" s="1"/>
  <c r="J8" i="41"/>
  <c r="J16" i="41" s="1"/>
  <c r="I23" i="41"/>
  <c r="I19" i="33"/>
  <c r="I21" i="33"/>
  <c r="H19" i="33"/>
  <c r="H21" i="33"/>
  <c r="J19" i="33"/>
  <c r="J21" i="33"/>
  <c r="I38" i="2"/>
  <c r="H38" i="2"/>
  <c r="K38" i="2"/>
  <c r="J13" i="44"/>
  <c r="K11" i="44"/>
  <c r="E6" i="34"/>
  <c r="E25" i="34"/>
  <c r="G32" i="5"/>
  <c r="G20" i="42" s="1"/>
  <c r="G21" i="42" s="1"/>
  <c r="G6" i="42"/>
  <c r="G12" i="42" s="1"/>
  <c r="G14" i="42" s="1"/>
  <c r="J20" i="5"/>
  <c r="J61" i="5" s="1"/>
  <c r="J4" i="6"/>
  <c r="H20" i="5"/>
  <c r="H61" i="5" s="1"/>
  <c r="H4" i="6"/>
  <c r="H53" i="5"/>
  <c r="I25" i="5"/>
  <c r="I61" i="5"/>
  <c r="I23" i="5"/>
  <c r="I6" i="6" s="1"/>
  <c r="M32" i="63"/>
  <c r="N29" i="63"/>
  <c r="N6" i="63" s="1"/>
  <c r="L9" i="63"/>
  <c r="L6" i="5" s="1"/>
  <c r="L9" i="5" s="1"/>
  <c r="L5" i="41"/>
  <c r="M5" i="41" s="1"/>
  <c r="N5" i="41" s="1"/>
  <c r="G16" i="41"/>
  <c r="M8" i="63"/>
  <c r="M9" i="63" s="1"/>
  <c r="N31" i="63"/>
  <c r="O31" i="63" s="1"/>
  <c r="O8" i="63" s="1"/>
  <c r="O28" i="63"/>
  <c r="N5" i="63"/>
  <c r="N7" i="63"/>
  <c r="O30" i="63"/>
  <c r="O7" i="63" s="1"/>
  <c r="G5" i="6"/>
  <c r="G28" i="6" s="1"/>
  <c r="C27" i="29"/>
  <c r="D19" i="6"/>
  <c r="H12" i="44"/>
  <c r="H13" i="44" s="1"/>
  <c r="F9" i="34"/>
  <c r="F10" i="34"/>
  <c r="D9" i="34"/>
  <c r="D18" i="33"/>
  <c r="C11" i="33"/>
  <c r="C12" i="33" s="1"/>
  <c r="K24" i="29"/>
  <c r="K20" i="6" s="1"/>
  <c r="M18" i="5"/>
  <c r="M27" i="6" s="1"/>
  <c r="L11" i="41"/>
  <c r="L23" i="29" s="1"/>
  <c r="K13" i="41"/>
  <c r="K14" i="41" s="1"/>
  <c r="E9" i="34"/>
  <c r="D29" i="34"/>
  <c r="F9" i="5"/>
  <c r="F45" i="5" s="1"/>
  <c r="C24" i="3"/>
  <c r="C27" i="3" s="1"/>
  <c r="C15" i="33"/>
  <c r="C21" i="29"/>
  <c r="C25" i="29" s="1"/>
  <c r="M22" i="3"/>
  <c r="M24" i="3" s="1"/>
  <c r="L6" i="41"/>
  <c r="M12" i="41"/>
  <c r="L24" i="29"/>
  <c r="L4" i="41"/>
  <c r="K11" i="29"/>
  <c r="K23" i="6" s="1"/>
  <c r="F14" i="41"/>
  <c r="K7" i="41"/>
  <c r="K8" i="41" s="1"/>
  <c r="D8" i="41"/>
  <c r="D14" i="41"/>
  <c r="E14" i="41"/>
  <c r="D30" i="29"/>
  <c r="D11" i="33"/>
  <c r="E30" i="29"/>
  <c r="E11" i="33"/>
  <c r="E12" i="33" s="1"/>
  <c r="F21" i="33"/>
  <c r="G23" i="33" s="1"/>
  <c r="D6" i="34"/>
  <c r="E32" i="33"/>
  <c r="E12" i="5"/>
  <c r="E16" i="5" s="1"/>
  <c r="C12" i="5"/>
  <c r="C16" i="5" s="1"/>
  <c r="D12" i="5"/>
  <c r="D16" i="5" s="1"/>
  <c r="K6" i="5"/>
  <c r="K9" i="5" s="1"/>
  <c r="K4" i="42"/>
  <c r="K7" i="42" s="1"/>
  <c r="K4" i="34"/>
  <c r="K5" i="34" s="1"/>
  <c r="K8" i="34" s="1"/>
  <c r="K14" i="5" s="1"/>
  <c r="K4" i="33"/>
  <c r="F32" i="33"/>
  <c r="F6" i="34"/>
  <c r="C27" i="42"/>
  <c r="F30" i="29"/>
  <c r="I23" i="33" l="1"/>
  <c r="H23" i="33"/>
  <c r="M27" i="3"/>
  <c r="E21" i="33"/>
  <c r="F23" i="33" s="1"/>
  <c r="E19" i="33"/>
  <c r="J23" i="33"/>
  <c r="K13" i="44"/>
  <c r="L11" i="44"/>
  <c r="L13" i="44" s="1"/>
  <c r="G38" i="2"/>
  <c r="O29" i="63"/>
  <c r="O6" i="63" s="1"/>
  <c r="H25" i="5"/>
  <c r="H29" i="5" s="1"/>
  <c r="H23" i="5"/>
  <c r="H6" i="6" s="1"/>
  <c r="H5" i="6" s="1"/>
  <c r="E4" i="6"/>
  <c r="E20" i="5"/>
  <c r="E25" i="5" s="1"/>
  <c r="E30" i="6" s="1"/>
  <c r="J25" i="5"/>
  <c r="J29" i="5" s="1"/>
  <c r="J23" i="5"/>
  <c r="D20" i="5"/>
  <c r="D25" i="5" s="1"/>
  <c r="D30" i="6" s="1"/>
  <c r="D4" i="6"/>
  <c r="I28" i="42"/>
  <c r="I29" i="42" s="1"/>
  <c r="I30" i="6"/>
  <c r="I29" i="5"/>
  <c r="M12" i="29"/>
  <c r="C20" i="5"/>
  <c r="C23" i="5" s="1"/>
  <c r="C6" i="6" s="1"/>
  <c r="C4" i="6"/>
  <c r="L12" i="29"/>
  <c r="N32" i="63"/>
  <c r="N8" i="63"/>
  <c r="N9" i="63" s="1"/>
  <c r="K16" i="41"/>
  <c r="O5" i="63"/>
  <c r="C8" i="44"/>
  <c r="D5" i="42"/>
  <c r="G7" i="6"/>
  <c r="G10" i="6" s="1"/>
  <c r="D53" i="5"/>
  <c r="E53" i="5"/>
  <c r="C29" i="29"/>
  <c r="C30" i="29" s="1"/>
  <c r="D38" i="2"/>
  <c r="F12" i="5"/>
  <c r="F16" i="5" s="1"/>
  <c r="C40" i="33"/>
  <c r="N18" i="5"/>
  <c r="N27" i="6" s="1"/>
  <c r="M11" i="41"/>
  <c r="M23" i="29" s="1"/>
  <c r="L13" i="41"/>
  <c r="L14" i="41" s="1"/>
  <c r="C18" i="33"/>
  <c r="C21" i="33" s="1"/>
  <c r="C44" i="33"/>
  <c r="O5" i="41"/>
  <c r="O12" i="29" s="1"/>
  <c r="N12" i="29"/>
  <c r="M4" i="41"/>
  <c r="L11" i="29"/>
  <c r="L13" i="29"/>
  <c r="L20" i="6" s="1"/>
  <c r="M6" i="41"/>
  <c r="L7" i="41"/>
  <c r="L8" i="41" s="1"/>
  <c r="N12" i="41"/>
  <c r="M24" i="29"/>
  <c r="F16" i="41"/>
  <c r="D16" i="41"/>
  <c r="E16" i="41"/>
  <c r="E40" i="33"/>
  <c r="D40" i="33"/>
  <c r="D12" i="33"/>
  <c r="M4" i="33"/>
  <c r="M9" i="33" s="1"/>
  <c r="M5" i="29" s="1"/>
  <c r="L4" i="42"/>
  <c r="L7" i="42" s="1"/>
  <c r="L4" i="34"/>
  <c r="L5" i="34" s="1"/>
  <c r="L8" i="34" s="1"/>
  <c r="L14" i="5" s="1"/>
  <c r="L4" i="33"/>
  <c r="L9" i="33" s="1"/>
  <c r="L5" i="29" s="1"/>
  <c r="C53" i="5"/>
  <c r="K11" i="5"/>
  <c r="K12" i="5" s="1"/>
  <c r="K11" i="33"/>
  <c r="K8" i="29" s="1"/>
  <c r="K14" i="6" s="1"/>
  <c r="K9" i="33"/>
  <c r="K5" i="29" s="1"/>
  <c r="K13" i="6" s="1"/>
  <c r="K13" i="34"/>
  <c r="K14" i="34"/>
  <c r="L11" i="5"/>
  <c r="L12" i="5" s="1"/>
  <c r="D24" i="3"/>
  <c r="D27" i="3" s="1"/>
  <c r="E24" i="3"/>
  <c r="E27" i="3" s="1"/>
  <c r="C19" i="33" l="1"/>
  <c r="D21" i="33"/>
  <c r="D19" i="33"/>
  <c r="F38" i="2"/>
  <c r="E38" i="2"/>
  <c r="O32" i="63"/>
  <c r="O9" i="63"/>
  <c r="Q4" i="5" s="1"/>
  <c r="H7" i="6"/>
  <c r="H10" i="6" s="1"/>
  <c r="H28" i="6"/>
  <c r="H32" i="5"/>
  <c r="H20" i="42" s="1"/>
  <c r="H21" i="42" s="1"/>
  <c r="H6" i="42"/>
  <c r="H12" i="42" s="1"/>
  <c r="H14" i="42" s="1"/>
  <c r="G26" i="6"/>
  <c r="G18" i="11" s="1"/>
  <c r="I5" i="6"/>
  <c r="J6" i="6"/>
  <c r="C61" i="5"/>
  <c r="J28" i="42"/>
  <c r="J29" i="42" s="1"/>
  <c r="J30" i="6"/>
  <c r="I32" i="5"/>
  <c r="I6" i="42"/>
  <c r="I12" i="42" s="1"/>
  <c r="I14" i="42" s="1"/>
  <c r="F20" i="5"/>
  <c r="F25" i="5" s="1"/>
  <c r="F30" i="6" s="1"/>
  <c r="F4" i="6"/>
  <c r="H28" i="42"/>
  <c r="H29" i="42" s="1"/>
  <c r="H30" i="6"/>
  <c r="J32" i="5"/>
  <c r="J20" i="42" s="1"/>
  <c r="J21" i="42" s="1"/>
  <c r="J6" i="42"/>
  <c r="J12" i="42" s="1"/>
  <c r="L23" i="6"/>
  <c r="C25" i="5"/>
  <c r="L16" i="41"/>
  <c r="K9" i="6"/>
  <c r="D29" i="5"/>
  <c r="D61" i="5"/>
  <c r="E29" i="5"/>
  <c r="E61" i="5"/>
  <c r="C49" i="42"/>
  <c r="K16" i="5"/>
  <c r="K4" i="6" s="1"/>
  <c r="L16" i="5"/>
  <c r="L4" i="6" s="1"/>
  <c r="F53" i="5"/>
  <c r="D23" i="5"/>
  <c r="E23" i="5"/>
  <c r="O18" i="5"/>
  <c r="O27" i="6" s="1"/>
  <c r="N11" i="41"/>
  <c r="N23" i="29" s="1"/>
  <c r="M13" i="41"/>
  <c r="M14" i="41" s="1"/>
  <c r="M4" i="42"/>
  <c r="M7" i="42" s="1"/>
  <c r="D23" i="33"/>
  <c r="M11" i="29"/>
  <c r="M23" i="6" s="1"/>
  <c r="N4" i="41"/>
  <c r="M7" i="41"/>
  <c r="M8" i="41" s="1"/>
  <c r="O12" i="41"/>
  <c r="O24" i="29" s="1"/>
  <c r="N24" i="29"/>
  <c r="N6" i="41"/>
  <c r="M13" i="29"/>
  <c r="M20" i="6" s="1"/>
  <c r="E23" i="33"/>
  <c r="M4" i="34"/>
  <c r="K16" i="34"/>
  <c r="M6" i="5"/>
  <c r="M9" i="5" s="1"/>
  <c r="L11" i="33"/>
  <c r="L13" i="6"/>
  <c r="M11" i="33"/>
  <c r="M8" i="29" s="1"/>
  <c r="L13" i="34"/>
  <c r="L14" i="34"/>
  <c r="P27" i="3"/>
  <c r="O27" i="3"/>
  <c r="N27" i="3"/>
  <c r="G31" i="6" l="1"/>
  <c r="I28" i="6"/>
  <c r="I7" i="6"/>
  <c r="I10" i="6" s="1"/>
  <c r="D32" i="5"/>
  <c r="D20" i="42" s="1"/>
  <c r="D21" i="42" s="1"/>
  <c r="D6" i="42"/>
  <c r="D12" i="42" s="1"/>
  <c r="D14" i="42" s="1"/>
  <c r="H26" i="6"/>
  <c r="H31" i="6" s="1"/>
  <c r="H34" i="6" s="1"/>
  <c r="H37" i="6" s="1"/>
  <c r="E6" i="6"/>
  <c r="E32" i="5"/>
  <c r="E20" i="42" s="1"/>
  <c r="E21" i="42" s="1"/>
  <c r="E6" i="42"/>
  <c r="E12" i="42" s="1"/>
  <c r="E14" i="42" s="1"/>
  <c r="I20" i="42"/>
  <c r="I21" i="42" s="1"/>
  <c r="C5" i="6"/>
  <c r="C7" i="6" s="1"/>
  <c r="C10" i="6" s="1"/>
  <c r="D6" i="6"/>
  <c r="D5" i="6" s="1"/>
  <c r="K5" i="42"/>
  <c r="J14" i="42"/>
  <c r="L8" i="29"/>
  <c r="L14" i="6" s="1"/>
  <c r="G34" i="6"/>
  <c r="G37" i="6" s="1"/>
  <c r="M13" i="6"/>
  <c r="M16" i="41"/>
  <c r="L9" i="6"/>
  <c r="F61" i="5"/>
  <c r="E28" i="42"/>
  <c r="E29" i="42" s="1"/>
  <c r="D28" i="42"/>
  <c r="D29" i="42" s="1"/>
  <c r="O11" i="41"/>
  <c r="O13" i="41" s="1"/>
  <c r="N13" i="41"/>
  <c r="N14" i="41" s="1"/>
  <c r="M5" i="34"/>
  <c r="M8" i="34" s="1"/>
  <c r="M14" i="5" s="1"/>
  <c r="L12" i="34"/>
  <c r="L16" i="34" s="1"/>
  <c r="K10" i="29"/>
  <c r="K22" i="6" s="1"/>
  <c r="O6" i="41"/>
  <c r="O13" i="29" s="1"/>
  <c r="N13" i="29"/>
  <c r="N20" i="6" s="1"/>
  <c r="N11" i="29"/>
  <c r="N23" i="6" s="1"/>
  <c r="O4" i="41"/>
  <c r="N7" i="41"/>
  <c r="M11" i="5"/>
  <c r="M12" i="5" s="1"/>
  <c r="N4" i="42"/>
  <c r="N7" i="42" s="1"/>
  <c r="N4" i="33"/>
  <c r="N6" i="5"/>
  <c r="N4" i="34"/>
  <c r="O6" i="5"/>
  <c r="O4" i="34"/>
  <c r="O5" i="34" s="1"/>
  <c r="O8" i="34" s="1"/>
  <c r="O14" i="5" s="1"/>
  <c r="O4" i="42"/>
  <c r="O7" i="42" s="1"/>
  <c r="O4" i="33"/>
  <c r="O9" i="33" s="1"/>
  <c r="O5" i="29" s="1"/>
  <c r="C29" i="5"/>
  <c r="C32" i="5" s="1"/>
  <c r="D28" i="6" l="1"/>
  <c r="D7" i="6"/>
  <c r="D10" i="6" s="1"/>
  <c r="H18" i="11"/>
  <c r="I26" i="6"/>
  <c r="I31" i="6" s="1"/>
  <c r="I34" i="6" s="1"/>
  <c r="I37" i="6" s="1"/>
  <c r="M14" i="6"/>
  <c r="O20" i="6"/>
  <c r="M9" i="6"/>
  <c r="O9" i="6"/>
  <c r="O9" i="5"/>
  <c r="Q9" i="5" s="1"/>
  <c r="Q6" i="5"/>
  <c r="F23" i="5"/>
  <c r="N11" i="5"/>
  <c r="N9" i="5"/>
  <c r="C18" i="11"/>
  <c r="M13" i="34"/>
  <c r="O14" i="41"/>
  <c r="O23" i="29"/>
  <c r="M14" i="34"/>
  <c r="N5" i="34"/>
  <c r="N8" i="34" s="1"/>
  <c r="N14" i="5" s="1"/>
  <c r="N8" i="41"/>
  <c r="N16" i="41" s="1"/>
  <c r="M12" i="34"/>
  <c r="L10" i="29"/>
  <c r="L22" i="6" s="1"/>
  <c r="O7" i="41"/>
  <c r="O8" i="41" s="1"/>
  <c r="O11" i="29"/>
  <c r="N9" i="33"/>
  <c r="N11" i="33"/>
  <c r="O11" i="5"/>
  <c r="O11" i="33"/>
  <c r="O8" i="29" s="1"/>
  <c r="O13" i="34"/>
  <c r="O14" i="34"/>
  <c r="O12" i="5" l="1"/>
  <c r="Q12" i="5" s="1"/>
  <c r="I18" i="11"/>
  <c r="E5" i="6"/>
  <c r="E28" i="6" s="1"/>
  <c r="F6" i="6"/>
  <c r="F5" i="6" s="1"/>
  <c r="D26" i="6"/>
  <c r="D31" i="6" s="1"/>
  <c r="D34" i="6" s="1"/>
  <c r="D37" i="6" s="1"/>
  <c r="N8" i="29"/>
  <c r="N14" i="6" s="1"/>
  <c r="N5" i="29"/>
  <c r="O13" i="6" s="1"/>
  <c r="O23" i="6"/>
  <c r="O16" i="41"/>
  <c r="M16" i="5"/>
  <c r="M4" i="6" s="1"/>
  <c r="N9" i="6"/>
  <c r="E7" i="6"/>
  <c r="E10" i="6" s="1"/>
  <c r="N12" i="5"/>
  <c r="F29" i="5"/>
  <c r="F6" i="42" s="1"/>
  <c r="F12" i="42" s="1"/>
  <c r="F28" i="42"/>
  <c r="F29" i="42" s="1"/>
  <c r="N14" i="34"/>
  <c r="M16" i="34"/>
  <c r="M10" i="29" s="1"/>
  <c r="M22" i="6" s="1"/>
  <c r="N13" i="34"/>
  <c r="O16" i="5" l="1"/>
  <c r="Q16" i="5" s="1"/>
  <c r="F14" i="42"/>
  <c r="F19" i="42"/>
  <c r="F28" i="6"/>
  <c r="F7" i="6"/>
  <c r="F10" i="6" s="1"/>
  <c r="F26" i="6" s="1"/>
  <c r="E26" i="6"/>
  <c r="E18" i="11" s="1"/>
  <c r="D18" i="11"/>
  <c r="O14" i="6"/>
  <c r="N13" i="6"/>
  <c r="N16" i="5"/>
  <c r="N4" i="6" s="1"/>
  <c r="F32" i="5"/>
  <c r="F20" i="42" s="1"/>
  <c r="F21" i="42" s="1"/>
  <c r="N12" i="34"/>
  <c r="N16" i="34" s="1"/>
  <c r="O4" i="6" l="1"/>
  <c r="F31" i="6"/>
  <c r="F34" i="6" s="1"/>
  <c r="F37" i="6" s="1"/>
  <c r="F18" i="11"/>
  <c r="E31" i="6"/>
  <c r="E34" i="6" s="1"/>
  <c r="E37" i="6" s="1"/>
  <c r="N10" i="29"/>
  <c r="N22" i="6" s="1"/>
  <c r="O12" i="34"/>
  <c r="O16" i="34" s="1"/>
  <c r="O10" i="29" s="1"/>
  <c r="O22" i="6" s="1"/>
  <c r="N8" i="5" l="1"/>
  <c r="N5" i="33" s="1"/>
  <c r="N14" i="33" s="1"/>
  <c r="M8" i="5"/>
  <c r="M5" i="33" s="1"/>
  <c r="M14" i="33" s="1"/>
  <c r="L8" i="5"/>
  <c r="L5" i="33" s="1"/>
  <c r="L14" i="33" s="1"/>
  <c r="K8" i="5"/>
  <c r="K5" i="33" s="1"/>
  <c r="O8" i="5"/>
  <c r="O5" i="33" s="1"/>
  <c r="O14" i="33" l="1"/>
  <c r="O18" i="29" s="1"/>
  <c r="K15" i="33"/>
  <c r="K17" i="29" s="1"/>
  <c r="K18" i="6" s="1"/>
  <c r="K14" i="33"/>
  <c r="K18" i="29" s="1"/>
  <c r="K15" i="6" s="1"/>
  <c r="M16" i="33"/>
  <c r="M20" i="29" s="1"/>
  <c r="M17" i="33"/>
  <c r="M19" i="29" s="1"/>
  <c r="M18" i="29"/>
  <c r="O15" i="33"/>
  <c r="O17" i="29" s="1"/>
  <c r="K16" i="33"/>
  <c r="K20" i="29" s="1"/>
  <c r="K16" i="6" s="1"/>
  <c r="M20" i="5"/>
  <c r="K20" i="5"/>
  <c r="L20" i="5"/>
  <c r="N15" i="33"/>
  <c r="N16" i="33"/>
  <c r="N20" i="29" s="1"/>
  <c r="N10" i="33"/>
  <c r="N6" i="29" s="1"/>
  <c r="N17" i="33"/>
  <c r="N19" i="29" s="1"/>
  <c r="N18" i="29"/>
  <c r="L16" i="33"/>
  <c r="L20" i="29" s="1"/>
  <c r="L18" i="29"/>
  <c r="L15" i="33"/>
  <c r="L17" i="33"/>
  <c r="L19" i="29" s="1"/>
  <c r="L10" i="33"/>
  <c r="L6" i="29" s="1"/>
  <c r="N20" i="5"/>
  <c r="O20" i="5"/>
  <c r="Q20" i="5" s="1"/>
  <c r="M15" i="33"/>
  <c r="O16" i="33"/>
  <c r="O20" i="29" s="1"/>
  <c r="O10" i="33"/>
  <c r="O6" i="29" s="1"/>
  <c r="K10" i="33"/>
  <c r="M10" i="33"/>
  <c r="M6" i="29" s="1"/>
  <c r="K17" i="33"/>
  <c r="K19" i="29" s="1"/>
  <c r="K17" i="6" s="1"/>
  <c r="O17" i="33"/>
  <c r="O19" i="29" s="1"/>
  <c r="N17" i="6" l="1"/>
  <c r="N16" i="6"/>
  <c r="N15" i="6"/>
  <c r="O17" i="6"/>
  <c r="M15" i="6"/>
  <c r="M17" i="6"/>
  <c r="L15" i="6"/>
  <c r="M16" i="6"/>
  <c r="L17" i="6"/>
  <c r="O16" i="6"/>
  <c r="L16" i="6"/>
  <c r="O15" i="6"/>
  <c r="O18" i="33"/>
  <c r="K21" i="29"/>
  <c r="K25" i="29" s="1"/>
  <c r="L22" i="5"/>
  <c r="M17" i="29"/>
  <c r="M18" i="33"/>
  <c r="K18" i="33"/>
  <c r="N22" i="5"/>
  <c r="K22" i="5"/>
  <c r="L17" i="29"/>
  <c r="L18" i="6" s="1"/>
  <c r="L18" i="33"/>
  <c r="N12" i="33"/>
  <c r="N12" i="6"/>
  <c r="O22" i="5"/>
  <c r="N17" i="29"/>
  <c r="N18" i="33"/>
  <c r="O21" i="29"/>
  <c r="O25" i="29" s="1"/>
  <c r="L12" i="33"/>
  <c r="M12" i="33"/>
  <c r="K6" i="29"/>
  <c r="K12" i="6" s="1"/>
  <c r="K12" i="33"/>
  <c r="O12" i="33"/>
  <c r="O12" i="6"/>
  <c r="M22" i="5"/>
  <c r="M18" i="6" l="1"/>
  <c r="N19" i="33"/>
  <c r="O19" i="33"/>
  <c r="K19" i="33"/>
  <c r="M19" i="33"/>
  <c r="L19" i="33"/>
  <c r="L25" i="5"/>
  <c r="L29" i="5" s="1"/>
  <c r="L12" i="6"/>
  <c r="N18" i="6"/>
  <c r="M12" i="6"/>
  <c r="O18" i="6"/>
  <c r="M25" i="5"/>
  <c r="N25" i="5"/>
  <c r="O25" i="5"/>
  <c r="Q25" i="5" s="1"/>
  <c r="L21" i="33"/>
  <c r="K19" i="6"/>
  <c r="J19" i="6"/>
  <c r="K25" i="5"/>
  <c r="K29" i="5" s="1"/>
  <c r="O21" i="33"/>
  <c r="M21" i="33"/>
  <c r="K21" i="33"/>
  <c r="K23" i="33" s="1"/>
  <c r="N21" i="29"/>
  <c r="N25" i="29" s="1"/>
  <c r="O23" i="5"/>
  <c r="O6" i="6" s="1"/>
  <c r="O5" i="6" s="1"/>
  <c r="O7" i="6" s="1"/>
  <c r="O10" i="6" s="1"/>
  <c r="L21" i="29"/>
  <c r="L25" i="29" s="1"/>
  <c r="N23" i="5"/>
  <c r="N6" i="6" s="1"/>
  <c r="N5" i="6" s="1"/>
  <c r="N7" i="6" s="1"/>
  <c r="N10" i="6" s="1"/>
  <c r="M21" i="29"/>
  <c r="M25" i="29" s="1"/>
  <c r="M23" i="5"/>
  <c r="M6" i="6" s="1"/>
  <c r="M5" i="6" s="1"/>
  <c r="M7" i="6" s="1"/>
  <c r="M10" i="6" s="1"/>
  <c r="N21" i="33"/>
  <c r="L23" i="5"/>
  <c r="L6" i="6" s="1"/>
  <c r="L5" i="6" s="1"/>
  <c r="L7" i="6" s="1"/>
  <c r="L10" i="6" s="1"/>
  <c r="K23" i="5"/>
  <c r="L28" i="42" l="1"/>
  <c r="L27" i="42" s="1"/>
  <c r="L9" i="42" s="1"/>
  <c r="L6" i="42"/>
  <c r="N28" i="6"/>
  <c r="L28" i="6"/>
  <c r="O28" i="6"/>
  <c r="M28" i="6"/>
  <c r="O28" i="42"/>
  <c r="O27" i="42" s="1"/>
  <c r="O9" i="42" s="1"/>
  <c r="O29" i="5"/>
  <c r="Q29" i="5" s="1"/>
  <c r="M23" i="33"/>
  <c r="O6" i="42"/>
  <c r="K6" i="42"/>
  <c r="K28" i="42"/>
  <c r="K27" i="42" s="1"/>
  <c r="K9" i="42" s="1"/>
  <c r="L23" i="33"/>
  <c r="N23" i="33"/>
  <c r="K6" i="6"/>
  <c r="K5" i="6" s="1"/>
  <c r="J5" i="6"/>
  <c r="O19" i="6"/>
  <c r="M19" i="6"/>
  <c r="O23" i="33"/>
  <c r="L19" i="6"/>
  <c r="L26" i="6" s="1"/>
  <c r="N29" i="5"/>
  <c r="N6" i="42"/>
  <c r="N28" i="42"/>
  <c r="N27" i="42" s="1"/>
  <c r="N9" i="42" s="1"/>
  <c r="M28" i="42"/>
  <c r="M27" i="42" s="1"/>
  <c r="M9" i="42" s="1"/>
  <c r="M29" i="5"/>
  <c r="M6" i="42"/>
  <c r="N19" i="6"/>
  <c r="K32" i="5"/>
  <c r="K20" i="42" s="1"/>
  <c r="K22" i="42" s="1"/>
  <c r="K24" i="42" s="1"/>
  <c r="K11" i="42" s="1"/>
  <c r="L32" i="5"/>
  <c r="L20" i="42" s="1"/>
  <c r="L22" i="42" s="1"/>
  <c r="L24" i="42" s="1"/>
  <c r="L11" i="42" s="1"/>
  <c r="J28" i="6" l="1"/>
  <c r="K28" i="6"/>
  <c r="O32" i="5"/>
  <c r="O20" i="42" s="1"/>
  <c r="O22" i="42" s="1"/>
  <c r="O24" i="42" s="1"/>
  <c r="O11" i="42" s="1"/>
  <c r="K7" i="6"/>
  <c r="K10" i="6" s="1"/>
  <c r="K26" i="6" s="1"/>
  <c r="K18" i="11" s="1"/>
  <c r="K20" i="11" s="1"/>
  <c r="M26" i="6"/>
  <c r="M18" i="11" s="1"/>
  <c r="M20" i="11" s="1"/>
  <c r="O26" i="6"/>
  <c r="O18" i="11" s="1"/>
  <c r="C25" i="11" s="1"/>
  <c r="N26" i="6"/>
  <c r="N18" i="11" s="1"/>
  <c r="N20" i="11" s="1"/>
  <c r="L18" i="11"/>
  <c r="L20" i="11" s="1"/>
  <c r="J7" i="6"/>
  <c r="J10" i="6" s="1"/>
  <c r="N32" i="5"/>
  <c r="N20" i="42" s="1"/>
  <c r="N22" i="42" s="1"/>
  <c r="N24" i="42" s="1"/>
  <c r="N11" i="42" s="1"/>
  <c r="K12" i="42"/>
  <c r="M32" i="5"/>
  <c r="M20" i="42" s="1"/>
  <c r="M22" i="42" s="1"/>
  <c r="M24" i="42" s="1"/>
  <c r="M11" i="42" s="1"/>
  <c r="J26" i="6" l="1"/>
  <c r="J18" i="11" s="1"/>
  <c r="O20" i="11"/>
  <c r="C24" i="11" s="1"/>
  <c r="L5" i="42"/>
  <c r="L12" i="42" s="1"/>
  <c r="K27" i="29"/>
  <c r="S9" i="29" s="1"/>
  <c r="K30" i="6" l="1"/>
  <c r="K31" i="6" s="1"/>
  <c r="K34" i="6" s="1"/>
  <c r="J31" i="6"/>
  <c r="J34" i="6" s="1"/>
  <c r="M5" i="42"/>
  <c r="M12" i="42" s="1"/>
  <c r="L27" i="29"/>
  <c r="C26" i="11"/>
  <c r="C8" i="11" s="1"/>
  <c r="C7" i="11"/>
  <c r="L30" i="6" l="1"/>
  <c r="L31" i="6" s="1"/>
  <c r="T9" i="29"/>
  <c r="C27" i="11"/>
  <c r="L33" i="6"/>
  <c r="S4" i="29"/>
  <c r="M27" i="29"/>
  <c r="N5" i="42"/>
  <c r="N12" i="42" s="1"/>
  <c r="M30" i="6" l="1"/>
  <c r="M31" i="6" s="1"/>
  <c r="U9" i="29"/>
  <c r="K4" i="29"/>
  <c r="K9" i="29" s="1"/>
  <c r="L34" i="6"/>
  <c r="J37" i="6"/>
  <c r="O5" i="42"/>
  <c r="O12" i="42" s="1"/>
  <c r="N27" i="29"/>
  <c r="C10" i="11"/>
  <c r="C31" i="11"/>
  <c r="N30" i="6" l="1"/>
  <c r="N31" i="6" s="1"/>
  <c r="V9" i="29"/>
  <c r="K16" i="29"/>
  <c r="S8" i="29"/>
  <c r="S10" i="29" s="1"/>
  <c r="K28" i="29" s="1"/>
  <c r="M33" i="6"/>
  <c r="M34" i="6" s="1"/>
  <c r="T4" i="29"/>
  <c r="C33" i="11"/>
  <c r="C13" i="11"/>
  <c r="O27" i="29"/>
  <c r="O30" i="6" l="1"/>
  <c r="O31" i="6" s="1"/>
  <c r="W9" i="29"/>
  <c r="L4" i="29"/>
  <c r="L9" i="29" s="1"/>
  <c r="U4" i="29"/>
  <c r="N33" i="6"/>
  <c r="N34" i="6" s="1"/>
  <c r="L16" i="29" l="1"/>
  <c r="T8" i="29"/>
  <c r="T10" i="29" s="1"/>
  <c r="L28" i="29" s="1"/>
  <c r="L29" i="29" s="1"/>
  <c r="M4" i="29"/>
  <c r="M9" i="29" s="1"/>
  <c r="O33" i="6"/>
  <c r="O34" i="6" s="1"/>
  <c r="V4" i="29"/>
  <c r="M16" i="29" l="1"/>
  <c r="U8" i="29"/>
  <c r="U10" i="29" s="1"/>
  <c r="M28" i="29" s="1"/>
  <c r="M29" i="29" s="1"/>
  <c r="L30" i="29"/>
  <c r="N4" i="29"/>
  <c r="N9" i="29" s="1"/>
  <c r="W4" i="29"/>
  <c r="N16" i="29" l="1"/>
  <c r="V8" i="29"/>
  <c r="V10" i="29" s="1"/>
  <c r="N28" i="29" s="1"/>
  <c r="N29" i="29" s="1"/>
  <c r="M30" i="29"/>
  <c r="O4" i="29"/>
  <c r="O9" i="29" s="1"/>
  <c r="N30" i="29" l="1"/>
  <c r="O16" i="29"/>
  <c r="W8" i="29"/>
  <c r="W10" i="29" s="1"/>
  <c r="O28" i="29" s="1"/>
  <c r="O29" i="29" s="1"/>
  <c r="O30" i="29" l="1"/>
  <c r="K29" i="29"/>
  <c r="K30" i="29" s="1"/>
</calcChain>
</file>

<file path=xl/sharedStrings.xml><?xml version="1.0" encoding="utf-8"?>
<sst xmlns="http://schemas.openxmlformats.org/spreadsheetml/2006/main" count="1170" uniqueCount="479">
  <si>
    <t>BS source</t>
  </si>
  <si>
    <t>P&amp;L source</t>
  </si>
  <si>
    <t>DCF Valuation</t>
  </si>
  <si>
    <t>P&amp;L</t>
  </si>
  <si>
    <t>Revenue</t>
  </si>
  <si>
    <t>EBITDA</t>
  </si>
  <si>
    <t>D&amp;A</t>
  </si>
  <si>
    <t>EBIT</t>
  </si>
  <si>
    <t>EBT</t>
  </si>
  <si>
    <t>Taxes</t>
  </si>
  <si>
    <t>Net Income</t>
  </si>
  <si>
    <t>Other assets</t>
  </si>
  <si>
    <t>Inventory</t>
  </si>
  <si>
    <t>Cash and equivalents</t>
  </si>
  <si>
    <t>Total Assets</t>
  </si>
  <si>
    <t>Retained earnings</t>
  </si>
  <si>
    <t>Total Equity</t>
  </si>
  <si>
    <t>Total Liabilities</t>
  </si>
  <si>
    <t>Total Liabilities &amp; Equity</t>
  </si>
  <si>
    <t>$ in thousands</t>
  </si>
  <si>
    <t>USD in thousands</t>
  </si>
  <si>
    <t>Note</t>
  </si>
  <si>
    <t>Balance Sheet</t>
  </si>
  <si>
    <t>2.Output --&gt;</t>
  </si>
  <si>
    <t>.</t>
  </si>
  <si>
    <t>Revenues</t>
  </si>
  <si>
    <t>Cost of goods sold</t>
  </si>
  <si>
    <t>Operating expenses</t>
  </si>
  <si>
    <t>Total Revenues</t>
  </si>
  <si>
    <t xml:space="preserve"> </t>
  </si>
  <si>
    <t>Shareholders' equity</t>
  </si>
  <si>
    <t>Total Liabilities &amp; Equities</t>
  </si>
  <si>
    <t>% of revenues</t>
  </si>
  <si>
    <t>Trade payables</t>
  </si>
  <si>
    <t>(Trade receivables/Revenues)*360</t>
  </si>
  <si>
    <t>(Trade payables/COGS)*360</t>
  </si>
  <si>
    <t>-Taxes</t>
  </si>
  <si>
    <t>-Tax rate</t>
  </si>
  <si>
    <t>NOPAT (Net Operating Profit After Tax)</t>
  </si>
  <si>
    <t>+D&amp;A</t>
  </si>
  <si>
    <t>Gross Cash Flow</t>
  </si>
  <si>
    <t>Changes in working capital</t>
  </si>
  <si>
    <t>Investments in other assets/liabilities</t>
  </si>
  <si>
    <t>CAPEX</t>
  </si>
  <si>
    <t>UFCF</t>
  </si>
  <si>
    <t>Optimistic</t>
  </si>
  <si>
    <t>Base</t>
  </si>
  <si>
    <t>Adverse</t>
  </si>
  <si>
    <t>Case 1</t>
  </si>
  <si>
    <t>Case 2</t>
  </si>
  <si>
    <t>Case 3</t>
  </si>
  <si>
    <t> </t>
  </si>
  <si>
    <t>Food and beverage costs</t>
  </si>
  <si>
    <t>Labor expenses</t>
  </si>
  <si>
    <t>Other operating costs and expenses</t>
  </si>
  <si>
    <t>General and administrative expenses</t>
  </si>
  <si>
    <t>Depreciation and amortization expenses</t>
  </si>
  <si>
    <t>Acquisition-related contingent consideration, compensation and amortization expenses</t>
  </si>
  <si>
    <t>Preopening costs</t>
  </si>
  <si>
    <t>Interest and other expense, net</t>
  </si>
  <si>
    <t>Net income</t>
  </si>
  <si>
    <t>Undistributed earnings allocated to Series A preferred stock</t>
  </si>
  <si>
    <t>Dividends on Series A preferred stock</t>
  </si>
  <si>
    <t>Impairment of assets and lease termination expenses</t>
  </si>
  <si>
    <t>Total Revenue</t>
  </si>
  <si>
    <t>Total expenses</t>
  </si>
  <si>
    <t>*tax credit</t>
  </si>
  <si>
    <t>Depreciation</t>
  </si>
  <si>
    <t>Amortization</t>
  </si>
  <si>
    <t>Diluted weight average shares</t>
  </si>
  <si>
    <t>EPS</t>
  </si>
  <si>
    <t>2021
Actual</t>
  </si>
  <si>
    <t>2022
Actual</t>
  </si>
  <si>
    <t>2023
Actual</t>
  </si>
  <si>
    <t>2024
Actual</t>
  </si>
  <si>
    <t>FY25
Forecast</t>
  </si>
  <si>
    <t>FY26
Forecast</t>
  </si>
  <si>
    <t>FY27
Forecast</t>
  </si>
  <si>
    <t>FY28
Forecast</t>
  </si>
  <si>
    <t>FY29
Forecast</t>
  </si>
  <si>
    <t>Net Income to common stockholders</t>
  </si>
  <si>
    <t>Ratios &amp; assumptions</t>
  </si>
  <si>
    <t>Gross margin</t>
  </si>
  <si>
    <t>EBIT margin</t>
  </si>
  <si>
    <t>Effective tax rate</t>
  </si>
  <si>
    <t>Diluted weighted average common shares outstanding</t>
  </si>
  <si>
    <t>Selected case</t>
  </si>
  <si>
    <t>Gross profit</t>
  </si>
  <si>
    <t>Current assets:</t>
  </si>
  <si>
    <t>Cash and cash equivalents</t>
  </si>
  <si>
    <t>Accounts and other receivables</t>
  </si>
  <si>
    <t>Income taxes receivable</t>
  </si>
  <si>
    <t>Inventories</t>
  </si>
  <si>
    <t>Prepaid expenses</t>
  </si>
  <si>
    <t>Total current assets</t>
  </si>
  <si>
    <t>Property and equipment, net</t>
  </si>
  <si>
    <t>Other assets:</t>
  </si>
  <si>
    <t>Intangible assets, net</t>
  </si>
  <si>
    <t>Operating lease assets</t>
  </si>
  <si>
    <t>Other</t>
  </si>
  <si>
    <t>Total other assets</t>
  </si>
  <si>
    <t>Total assets</t>
  </si>
  <si>
    <t>Current liabilities:</t>
  </si>
  <si>
    <t>Accounts payable</t>
  </si>
  <si>
    <t>Gift card liabilities</t>
  </si>
  <si>
    <t>Operating lease liabilities</t>
  </si>
  <si>
    <t>Other accrued expenses</t>
  </si>
  <si>
    <t>Total current liabilities</t>
  </si>
  <si>
    <t>Long-term debt</t>
  </si>
  <si>
    <t>Other noncurrent liabilities</t>
  </si>
  <si>
    <t>Total liabilities</t>
  </si>
  <si>
    <t>Stockholders' equity:</t>
  </si>
  <si>
    <t>Additional paid-in capital</t>
  </si>
  <si>
    <t>Accumulated other comprehensive loss</t>
  </si>
  <si>
    <t>Total stockholders' equity</t>
  </si>
  <si>
    <t>Accounts receivable</t>
  </si>
  <si>
    <t>Other current assets</t>
  </si>
  <si>
    <t>PP&amp;E, net</t>
  </si>
  <si>
    <t>Other long-term assets</t>
  </si>
  <si>
    <t>Other long-term liabilities</t>
  </si>
  <si>
    <t>Check</t>
  </si>
  <si>
    <t>Working Capital</t>
  </si>
  <si>
    <t>Cost of sales</t>
  </si>
  <si>
    <t>Working capital balances</t>
  </si>
  <si>
    <t>Accounts receivable, net</t>
  </si>
  <si>
    <t>excludes depreciation</t>
  </si>
  <si>
    <t>Accrued liabilities</t>
  </si>
  <si>
    <t>Total non-cash current assets</t>
  </si>
  <si>
    <t>Total non-debt current liabilities</t>
  </si>
  <si>
    <t>Net Working Capital / (Deficit)</t>
  </si>
  <si>
    <t>(Increase) / decrease in working capital</t>
  </si>
  <si>
    <t>Number of days in period</t>
  </si>
  <si>
    <t>Other current assets (as % of sales)</t>
  </si>
  <si>
    <t>Inventories (days outstanding)</t>
  </si>
  <si>
    <t>Accounts receivable, net (collection period in days)</t>
  </si>
  <si>
    <t>Accounts payable (days outstanding)</t>
  </si>
  <si>
    <t>Accrued liabilities (as % of COGS)</t>
  </si>
  <si>
    <t>(Other current assets/Revenues)</t>
  </si>
  <si>
    <t>(Accrued liabilities/COGS)</t>
  </si>
  <si>
    <t>(Inventories/COGS)*360</t>
  </si>
  <si>
    <t>(Operating lease liabilities/COGS)</t>
  </si>
  <si>
    <t>Capital expenditures as % of sales</t>
  </si>
  <si>
    <t>Capital expenditures</t>
  </si>
  <si>
    <t>Depreciation expense</t>
  </si>
  <si>
    <t>Depreciation as % of capex</t>
  </si>
  <si>
    <t>Depreciation as % of PP&amp;E, net</t>
  </si>
  <si>
    <t>Beginning PP&amp;E, net</t>
  </si>
  <si>
    <t>Ending PP&amp;E, net</t>
  </si>
  <si>
    <t>Cash flows from operating activities:</t>
  </si>
  <si>
    <t>Adjustments to reconcile net income to cash provided by operating activities:</t>
  </si>
  <si>
    <t>Deferred income taxes</t>
  </si>
  <si>
    <t>Stock-based compensation</t>
  </si>
  <si>
    <t>Changes in assets and liabilities:</t>
  </si>
  <si>
    <t>Income taxes receivable/payable</t>
  </si>
  <si>
    <t>Operating lease assets/liabilities</t>
  </si>
  <si>
    <t>Cash provided by operating activities</t>
  </si>
  <si>
    <t>Cash flows from investing activities:</t>
  </si>
  <si>
    <t>Additions to property and equipment</t>
  </si>
  <si>
    <t>Additions to intangible assets</t>
  </si>
  <si>
    <t>Cash used in investing activities</t>
  </si>
  <si>
    <t>Cash flows from financing activities:</t>
  </si>
  <si>
    <t>Acquisition-related deferred consideration and compensation</t>
  </si>
  <si>
    <t>Series A preferred stock cash-settled conversion</t>
  </si>
  <si>
    <t>Common stock issuance</t>
  </si>
  <si>
    <t>Common stock dividends paid</t>
  </si>
  <si>
    <t>Treasury stock purchases</t>
  </si>
  <si>
    <t>Cash used in financing activities</t>
  </si>
  <si>
    <t>Foreign currency translation adjustment</t>
  </si>
  <si>
    <t>Net change in cash and cash equivalents</t>
  </si>
  <si>
    <t>Cash and cash equivalents at beginning of period</t>
  </si>
  <si>
    <t>Cash and cash equivalents at end of period</t>
  </si>
  <si>
    <t>Supplemental disclosures:</t>
  </si>
  <si>
    <t>Interest paid</t>
  </si>
  <si>
    <t>Income taxes paid</t>
  </si>
  <si>
    <t>Construction payable</t>
  </si>
  <si>
    <t>CONDENSED CONSOLIDATED STATEMENTS OF CASH FLOWS - USD ($) $ in Thousands</t>
  </si>
  <si>
    <t>Payment of deferred consideration and compensation in excess of acquisition-date fair value</t>
  </si>
  <si>
    <t>average</t>
  </si>
  <si>
    <t>step function</t>
  </si>
  <si>
    <t>(Depreciation expense)</t>
  </si>
  <si>
    <t>(Asset sales and write-offs)</t>
  </si>
  <si>
    <t>inverse sign</t>
  </si>
  <si>
    <t>Assets $ in thousands</t>
  </si>
  <si>
    <t>Liabilities $ in thousands</t>
  </si>
  <si>
    <t>Indefinite life intangibles</t>
  </si>
  <si>
    <t xml:space="preserve">Other long-term assets </t>
  </si>
  <si>
    <t>Total Other long-term assets</t>
  </si>
  <si>
    <t>(Increase)/Decrease in other assets</t>
  </si>
  <si>
    <t>Total Other long-term liabilities</t>
  </si>
  <si>
    <t>Growth rate - Indefinite life intangibles</t>
  </si>
  <si>
    <t>Growth rate - Other long-term assets</t>
  </si>
  <si>
    <t>Growth rate - Other long-term liabilities</t>
  </si>
  <si>
    <t>Growth rate - Operating lease liabilities</t>
  </si>
  <si>
    <t>Increase/(Decrease) in long-term liabilities</t>
  </si>
  <si>
    <t>Change in other long-term assets and liabilities</t>
  </si>
  <si>
    <t>Equity Schedule</t>
  </si>
  <si>
    <t>Beginning equity balance</t>
  </si>
  <si>
    <t>Ending equity balance</t>
  </si>
  <si>
    <t>Repurchase of equity</t>
  </si>
  <si>
    <t>Dividends</t>
  </si>
  <si>
    <t>Share repurchase assumptions</t>
  </si>
  <si>
    <t>Current year EPS</t>
  </si>
  <si>
    <t>Assumed current year P/E multiple</t>
  </si>
  <si>
    <t>Projected share price</t>
  </si>
  <si>
    <t xml:space="preserve">Shares repurchased - </t>
  </si>
  <si>
    <t>$ amount repurchased</t>
  </si>
  <si>
    <t>Dividend payout ratio</t>
  </si>
  <si>
    <t>Dividend assumptions</t>
  </si>
  <si>
    <t>Common Stock</t>
  </si>
  <si>
    <t>Additional Paid-in Capital</t>
  </si>
  <si>
    <t>Retained Earnings</t>
  </si>
  <si>
    <t>Treasury Stock</t>
  </si>
  <si>
    <t>Accumulated Other Comprehensive Loss</t>
  </si>
  <si>
    <t>Cumulative Effect, Period of Adoption, Adjustment [Member]</t>
  </si>
  <si>
    <t>Cumulative effect of adopting ASU 2020-06, adjusted balance</t>
  </si>
  <si>
    <t>Total</t>
  </si>
  <si>
    <t>Beginning balance at Dec. 29, 2020</t>
  </si>
  <si>
    <t>Beginning balance (in shares) at Dec. 29, 2020</t>
  </si>
  <si>
    <t>Increase (Decrease) in Stockholders' Equity</t>
  </si>
  <si>
    <t>Change in derivative, net of tax</t>
  </si>
  <si>
    <t>Cash dividends declared common stock, net of forfeitures, $1.08 per share</t>
  </si>
  <si>
    <t>Stock-based compensation (in shares)</t>
  </si>
  <si>
    <t>Common stock issued under stock-based compensation plans</t>
  </si>
  <si>
    <t>Common stock issued under stock-based compensation plans (in shares)</t>
  </si>
  <si>
    <t>Common stock issuance (in shares)</t>
  </si>
  <si>
    <t>Series A preferred stock cash-settled conversion (in shares)</t>
  </si>
  <si>
    <t>Series A preferred stock conversion to common stock</t>
  </si>
  <si>
    <t>Series A preferred stock conversion to common stock (in shares)</t>
  </si>
  <si>
    <t>Deemed dividends on Series A preferred stock</t>
  </si>
  <si>
    <t>Cash dividends declared Series A preferred stock, $25.35 per share</t>
  </si>
  <si>
    <t>Ending balance at Dec. 28, 2021</t>
  </si>
  <si>
    <t>Ending balance (in shares) at Dec. 28, 2021</t>
  </si>
  <si>
    <t>Ending balance at Jan. 03, 2023</t>
  </si>
  <si>
    <t>Ending balance (in shares) at Jan. 03, 2023</t>
  </si>
  <si>
    <t>Ending balance at Jan. 02, 2024</t>
  </si>
  <si>
    <t>Ending balance (in shares) at Jan. 02, 2024</t>
  </si>
  <si>
    <t>Foreign currency adjustment</t>
  </si>
  <si>
    <t>Common stock issues</t>
  </si>
  <si>
    <t>Beginning balance at Jan. 02, 2024</t>
  </si>
  <si>
    <t>Beginning balance (in shares) at Jan. 02, 2024</t>
  </si>
  <si>
    <t>Cash dividends declared common stock, net of forfeitures, $0.27 per share</t>
  </si>
  <si>
    <t>Treasury stock purchases, inclusive of excise tax</t>
  </si>
  <si>
    <t>Ending balance at Apr. 02, 2024</t>
  </si>
  <si>
    <t>Ending balance (in shares) at Apr. 02, 2024</t>
  </si>
  <si>
    <t>Treasury stock purchases, inclusive of excise tax (in shares)</t>
  </si>
  <si>
    <t>Ending balance at Jul. 02, 2024</t>
  </si>
  <si>
    <t>Ending balance (in shares) at Jul. 02, 2024</t>
  </si>
  <si>
    <t>Beginning balance at Apr. 02, 2024</t>
  </si>
  <si>
    <t>Beginning balance (in shares) at Apr. 02, 2024</t>
  </si>
  <si>
    <t>Shares issued</t>
  </si>
  <si>
    <t>Shares repurchased</t>
  </si>
  <si>
    <t>Average basic shares</t>
  </si>
  <si>
    <t>Effects of dilutive securities</t>
  </si>
  <si>
    <t>Average diluted shares</t>
  </si>
  <si>
    <t>Beginning basic balance (actual)</t>
  </si>
  <si>
    <t>Ending balance basic (actual)</t>
  </si>
  <si>
    <t>Shares Schedule</t>
  </si>
  <si>
    <t>Operating activities</t>
  </si>
  <si>
    <t>Financing activities</t>
  </si>
  <si>
    <t>Investing activities</t>
  </si>
  <si>
    <t>Issuance / (repayment) of revolver</t>
  </si>
  <si>
    <t>Issuance of long-term debt</t>
  </si>
  <si>
    <t>(Repayment) of long-term debt</t>
  </si>
  <si>
    <t>Options proceeds</t>
  </si>
  <si>
    <t>Cash Flow from financing activities</t>
  </si>
  <si>
    <t>Stock-based compensation expense</t>
  </si>
  <si>
    <t>Stock based compensation expense ratio (revenue)</t>
  </si>
  <si>
    <t>SBC/Revenue</t>
  </si>
  <si>
    <t>Drivers</t>
  </si>
  <si>
    <t>Company</t>
  </si>
  <si>
    <t>Currency</t>
  </si>
  <si>
    <t>Domestic country</t>
  </si>
  <si>
    <t>10-YR</t>
  </si>
  <si>
    <t>Market risk premium</t>
  </si>
  <si>
    <t>Company beta</t>
  </si>
  <si>
    <t>Share price</t>
  </si>
  <si>
    <t>Bond yield</t>
  </si>
  <si>
    <t>Corporate tax rate</t>
  </si>
  <si>
    <t>Expected inflation</t>
  </si>
  <si>
    <t>Cheesecake Factory</t>
  </si>
  <si>
    <t>USD</t>
  </si>
  <si>
    <t>United States</t>
  </si>
  <si>
    <t>4.Valuation --&gt;</t>
  </si>
  <si>
    <t>https://finance.yahoo.com/quote/CAKE/</t>
  </si>
  <si>
    <t>https://www.finra.org/finra-data/fixed-income/bond?symbol=CAKE5201192&amp;bondType=CORP</t>
  </si>
  <si>
    <t>https://www.clevelandfed.org/indicators-and-data/inflation-expectations</t>
  </si>
  <si>
    <t>YOY growth %</t>
  </si>
  <si>
    <t>historical average</t>
  </si>
  <si>
    <t>YOY growth%</t>
  </si>
  <si>
    <t>Revenue growth rate - YOY growth %</t>
  </si>
  <si>
    <t>Interest and other expense, net - YOY growth %</t>
  </si>
  <si>
    <t>% of EBT</t>
  </si>
  <si>
    <t>Flat: assumes no debt will be incurred</t>
  </si>
  <si>
    <t>1.Sources --&gt;</t>
  </si>
  <si>
    <t>*six-month</t>
  </si>
  <si>
    <t>Total long-term assets</t>
  </si>
  <si>
    <t>Total long-term liabilities</t>
  </si>
  <si>
    <t>Preferred Stock</t>
  </si>
  <si>
    <t>Common stock</t>
  </si>
  <si>
    <t xml:space="preserve">Treasury </t>
  </si>
  <si>
    <t>Acccumulated other comprehensive loss</t>
  </si>
  <si>
    <t>lease portion that is expensed</t>
  </si>
  <si>
    <t>WC sheet</t>
  </si>
  <si>
    <t>Depreciation sheet</t>
  </si>
  <si>
    <t>(Days*Revenues)/360</t>
  </si>
  <si>
    <t>(Days*COGS)/360</t>
  </si>
  <si>
    <t>(Revenues*%)</t>
  </si>
  <si>
    <t>(COGS*%)</t>
  </si>
  <si>
    <t>WC Sheet</t>
  </si>
  <si>
    <t>0.Preliminary --&gt;</t>
  </si>
  <si>
    <t>Other long-term items</t>
  </si>
  <si>
    <t>increase given by parenthesis</t>
  </si>
  <si>
    <t>decrease given by parenthesis</t>
  </si>
  <si>
    <t>(Gift card liabilities/COGS)</t>
  </si>
  <si>
    <t>Depreciation &amp; amortization</t>
  </si>
  <si>
    <t>Payment of deferred consideration</t>
  </si>
  <si>
    <t>Impairment of assets/lease termination (income)/expense</t>
  </si>
  <si>
    <t>Cash flow from operating activities</t>
  </si>
  <si>
    <t>Cash flow from investing activities</t>
  </si>
  <si>
    <t>Reference</t>
  </si>
  <si>
    <t>CF source</t>
  </si>
  <si>
    <t>2.1.Schedules --&gt;</t>
  </si>
  <si>
    <t>Flat</t>
  </si>
  <si>
    <t>Equity sheet</t>
  </si>
  <si>
    <t>GC liabilities</t>
  </si>
  <si>
    <t>Other investments</t>
  </si>
  <si>
    <t>Other extraordinary income</t>
  </si>
  <si>
    <t>Interest expenses</t>
  </si>
  <si>
    <t>Delta Taxes vs. Operating taxes</t>
  </si>
  <si>
    <t>Delta Equity</t>
  </si>
  <si>
    <t>Net Cash Flow</t>
  </si>
  <si>
    <t>Tax rate</t>
  </si>
  <si>
    <t>Equity 2024 - equity 2023 - Net income 2024</t>
  </si>
  <si>
    <t>Opening Cash</t>
  </si>
  <si>
    <t>Closing Cash</t>
  </si>
  <si>
    <t>Delta Long-term debt liabilities</t>
  </si>
  <si>
    <t>Accounts receivables</t>
  </si>
  <si>
    <t>accounts payable</t>
  </si>
  <si>
    <t>operating lease liabilities - current</t>
  </si>
  <si>
    <t>other accrued expenses</t>
  </si>
  <si>
    <t>gift card liabilities</t>
  </si>
  <si>
    <t>includes income tax receivables and prepaid expenses</t>
  </si>
  <si>
    <t>accounts receivable</t>
  </si>
  <si>
    <t>inventory</t>
  </si>
  <si>
    <t>add back depreciation</t>
  </si>
  <si>
    <t>PP&amp;E plus depreciation</t>
  </si>
  <si>
    <t>includes Other long-term assets, Other long-term liabilities</t>
  </si>
  <si>
    <t>includes Intangible assets, net, Operating lease assets, and Operating lease liabilities</t>
  </si>
  <si>
    <t>1)</t>
  </si>
  <si>
    <t>5)</t>
  </si>
  <si>
    <t>4)</t>
  </si>
  <si>
    <t>2)</t>
  </si>
  <si>
    <t>3)</t>
  </si>
  <si>
    <t>Sum of 1) + 2) + 3) + 4) + 5)</t>
  </si>
  <si>
    <t>Opening cash + Net cash Flow</t>
  </si>
  <si>
    <t>BS Cash and Cash Equivalents item</t>
  </si>
  <si>
    <t>WACC</t>
  </si>
  <si>
    <t>Terminal value</t>
  </si>
  <si>
    <t>Present value of terminal value</t>
  </si>
  <si>
    <t>Enterprise value</t>
  </si>
  <si>
    <t>Less debt, pref. stock, minority interest</t>
  </si>
  <si>
    <t>Plus: cash equivalents</t>
  </si>
  <si>
    <t>Equity value</t>
  </si>
  <si>
    <t>Growth rate (g)</t>
  </si>
  <si>
    <t>Risk free rate</t>
  </si>
  <si>
    <t>Equity (k)</t>
  </si>
  <si>
    <t>Debt (d)</t>
  </si>
  <si>
    <t>Discount factor</t>
  </si>
  <si>
    <t>Present value UFCF</t>
  </si>
  <si>
    <t>Present value of UFCF</t>
  </si>
  <si>
    <t>Discounted Valuation</t>
  </si>
  <si>
    <t>-Financial liabilities</t>
  </si>
  <si>
    <t>+Cash and equivalents</t>
  </si>
  <si>
    <t>+Non-operating assets</t>
  </si>
  <si>
    <t>Equity value per share</t>
  </si>
  <si>
    <t>Diluted shares</t>
  </si>
  <si>
    <t>Unlevered Cash Flow</t>
  </si>
  <si>
    <t>shares in Thousands, $ in Thousands</t>
  </si>
  <si>
    <t>Accumulated Other Comprehensive Loss/(Income)</t>
  </si>
  <si>
    <t>Beginning balance at Jan. 03, 2023</t>
  </si>
  <si>
    <t>Beginning balance (in shares) at Jan. 03, 2023</t>
  </si>
  <si>
    <t>Ending balance at Apr. 04, 2023</t>
  </si>
  <si>
    <t>Ending balance (in shares) at Apr. 04, 2023</t>
  </si>
  <si>
    <t>Ending balance at Oct. 03, 2023</t>
  </si>
  <si>
    <t>Ending balance (in shares) at Oct. 03, 2023</t>
  </si>
  <si>
    <t>Beginning balance at Apr. 04, 2023</t>
  </si>
  <si>
    <t>Beginning balance (in shares) at Apr. 04, 2023</t>
  </si>
  <si>
    <t>Ending balance at Jul. 04, 2023</t>
  </si>
  <si>
    <t>Ending balance (in shares) at Jul. 04, 2023</t>
  </si>
  <si>
    <t>Ending balance at Oct. 01, 2024</t>
  </si>
  <si>
    <t>Ending balance (in shares) at Oct. 01, 2024</t>
  </si>
  <si>
    <t>Oct. 01, 2024</t>
  </si>
  <si>
    <t>STATEMENTS OF STOCKHOLDERS' EQUITY - USD ($)</t>
  </si>
  <si>
    <t>CONSOLIDATED STATEMENTS OF STOCKHOLDERS' EQUITY AND SERIES A CONVERTIBLE PREFERRED STOCK - USD ($)</t>
  </si>
  <si>
    <t>Preferred stock</t>
  </si>
  <si>
    <t>Convertible Preferred Stock [Member]</t>
  </si>
  <si>
    <t>assumes slowing repurchases</t>
  </si>
  <si>
    <t>current year P/E multiple</t>
  </si>
  <si>
    <t>assumes average payout ratio</t>
  </si>
  <si>
    <t>SBC assumptions</t>
  </si>
  <si>
    <t>FV of options</t>
  </si>
  <si>
    <t>Vesting period</t>
  </si>
  <si>
    <t>SBC expense (as % of revenues)</t>
  </si>
  <si>
    <t>Cash dividends</t>
  </si>
  <si>
    <t>assumes flat rate</t>
  </si>
  <si>
    <t>QoQ growth rate</t>
  </si>
  <si>
    <t>average QoQ growth rate</t>
  </si>
  <si>
    <t>CONDENSED CONSOLIDATED BALANCE SHEETS - USD ($) $ in Thousands</t>
  </si>
  <si>
    <t>Q4_2022</t>
  </si>
  <si>
    <t>Q1_2023</t>
  </si>
  <si>
    <t>Q2_2023</t>
  </si>
  <si>
    <t>Q3_2023</t>
  </si>
  <si>
    <t>Q4_2023</t>
  </si>
  <si>
    <t>Q1_2024</t>
  </si>
  <si>
    <t>Q2_2024</t>
  </si>
  <si>
    <t>Q3_2024</t>
  </si>
  <si>
    <t>Jan '23</t>
  </si>
  <si>
    <t>Apr '23</t>
  </si>
  <si>
    <t>Jul '23</t>
  </si>
  <si>
    <t>Oct '23</t>
  </si>
  <si>
    <t>Jan '24</t>
  </si>
  <si>
    <t>Apr '24</t>
  </si>
  <si>
    <t>Jul '24</t>
  </si>
  <si>
    <t>Oct ' 2024</t>
  </si>
  <si>
    <t>Commitments and contingencies (Note 7)</t>
  </si>
  <si>
    <t>Preferred stock, $.01 par value, 5,000,000 shares authorized; none issued</t>
  </si>
  <si>
    <t>Common stock, $.01 par value, 250,000,000 shares authorized; 107,983,084 shares issued and 50,939,646 shares outstanding at October 1, 2024 and 107,195,287 shares issued and 50,652,129 shares outstanding at January 2, 2024</t>
  </si>
  <si>
    <t>Treasury stock inclusive of excise tax, 57,043,438 and 56,543,158 shares at cost at October 1, 2024 and January 2, 2024, respectively</t>
  </si>
  <si>
    <t>Total liabilities and stockholders' equity</t>
  </si>
  <si>
    <t>Q4 2023</t>
  </si>
  <si>
    <t>Actual         Q4 2022</t>
  </si>
  <si>
    <t>Actual         Q1 2023</t>
  </si>
  <si>
    <t>Actual         Q2 2023</t>
  </si>
  <si>
    <t>Actual         Q3 2023</t>
  </si>
  <si>
    <t>Actual         Q4 2023</t>
  </si>
  <si>
    <t>Actual         Q1 2024</t>
  </si>
  <si>
    <t>Actual         Q2 2024</t>
  </si>
  <si>
    <t>Actual         Q3 2024</t>
  </si>
  <si>
    <t>check</t>
  </si>
  <si>
    <t>9 Months Ended</t>
  </si>
  <si>
    <t>Forecast      Q4 2024</t>
  </si>
  <si>
    <t>Forecast      Q1 2025</t>
  </si>
  <si>
    <t>Forecast      Q2 2025</t>
  </si>
  <si>
    <t>Forecast      Q3 2025</t>
  </si>
  <si>
    <t>Forecast      Q4 2025</t>
  </si>
  <si>
    <t>6-Qtr CAGR</t>
  </si>
  <si>
    <t>signs correspond to logic: outflows are (-); inflows are (+)</t>
  </si>
  <si>
    <t>Stockholders' Equity</t>
  </si>
  <si>
    <t>8. Stockholders’ Equity Common Stock – Dividends and Share Repurchases ​ On July 25, 2024, our Board declared a quarterly cash dividend of $0.27 per share, which was paid on August 27, 2024 to the stockholders of record of each share of our common stock at the close of business on August 14, 2024. Future decisions to pay or to increase or decrease dividends are at the discretion of the Board and will be dependent on our operating performance, financial condition, capital expenditure requirements, limitations on cash distributions pursuant to the terms and conditions of the Loan Agreement and applicable law, and such other factors that the Board considers relevant. (See Notes 5 and 12 for further discussion of our long-term debt and dividends declared subsequent to October 1, 2024, respectively.) ​ Under authorization by our Board to repurchase up to 61.0 million shares of our common stock, we have cumulatively repurchased 57.0 million shares at a total cost of $1,829.2 million, excluding excise tax, through October 1, 2024, with 29,450 and 0.5 million shares repurchased at a cost of $1.1 million and $17.5 million, excluding excise tax, during the thirteen and thirty-nine weeks ended October 1, 2024, respectively. Our objectives with regard to share repurchases have been to offset the dilution to our shares outstanding that results from equity compensation grants and to supplement our earnings per share growth. ​ Our share repurchase program does not have an expiration date, does not require us to purchase a specific number of shares and may be modified, suspended or terminated at any time. Share repurchases may be made from time to time in open market purchases, privately-negotiated transactions, accelerated share repurchase programs, issuer self-tender offers or otherwise. Future decisions to repurchase shares are at the discretion of the Board and are based on several factors, including current and forecasted operating cash flows, capital needs associated with new restaurant development and maintenance of existing locations, dividend payments, debt levels and cost of borrowing, obligations associated with the FRC acquisition agreement, our share price and current market conditions. The timing and number of shares repurchased are also subject to legal constraints and covenants under the Loan Agreement that limit share repurchases based on a defined ratio. (See Note 5 for further discussion of our long-term debt.)</t>
  </si>
  <si>
    <t>ATEMENTS OF STOCKHOLDERS' EQUITY - USD ($)</t>
  </si>
  <si>
    <t>Q1 2023</t>
  </si>
  <si>
    <t>Q3 2023</t>
  </si>
  <si>
    <t>Q2 2023</t>
  </si>
  <si>
    <t>Q1 2024</t>
  </si>
  <si>
    <t>Q3 2024</t>
  </si>
  <si>
    <t>Q2 2024</t>
  </si>
  <si>
    <t>Taken from 10K filed on 2- 26-2024</t>
  </si>
  <si>
    <t>Consolidated Statement of SE and Series A Convertible Preferred Stock</t>
  </si>
  <si>
    <t>3 months</t>
  </si>
  <si>
    <t>3 month</t>
  </si>
  <si>
    <t>Impairment of assets and lease termination income</t>
  </si>
  <si>
    <t>Segment Information</t>
  </si>
  <si>
    <t>Revenues by Segment</t>
  </si>
  <si>
    <t>The Cheesecake Factory</t>
  </si>
  <si>
    <t>North Italia</t>
  </si>
  <si>
    <t>Other FRC</t>
  </si>
  <si>
    <t>Other (Flower Child, Bakery, Grand Luxe)</t>
  </si>
  <si>
    <t>Average Revenue/Restaurant</t>
  </si>
  <si>
    <t>in thousands ($)</t>
  </si>
  <si>
    <t>Total Revenue by Segment</t>
  </si>
  <si>
    <t>Total # Restaurants</t>
  </si>
  <si>
    <t>International</t>
  </si>
  <si>
    <t>The Cheesecake Factory - QoQ location growth %</t>
  </si>
  <si>
    <t>North Italia - QoQ location growth %</t>
  </si>
  <si>
    <t>Other FRC- QoQ location growth %</t>
  </si>
  <si>
    <t>Other Flower Child - QoQ location growth %</t>
  </si>
  <si>
    <t>flat</t>
  </si>
  <si>
    <t>CF</t>
  </si>
  <si>
    <t>https://www.wsj.com/market-data/quotes/bond/BX/TMUBMUSD10Y?mod=searchresults_companyquotes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</si>
</sst>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 #,##0_-;_-* &quot;-&quot;_-;_-@_-"/>
    <numFmt numFmtId="165" formatCode="_(* #,##0.0_);_(* \(#,##0.0\);_(* &quot;-&quot;?_);@_)"/>
    <numFmt numFmtId="166" formatCode="_(* #,##0.0_);_(* \(#,##0.0\);_(* &quot;-&quot;?_);@_l"/>
    <numFmt numFmtId="167" formatCode="_(* #,##0_);_(* \(#,##0\);_(* &quot;-&quot;?_);@_)"/>
    <numFmt numFmtId="168" formatCode="0.0%"/>
    <numFmt numFmtId="169" formatCode="_(* #,##0_);_(* \(#,##0\);_(* &quot;-&quot;??_);_(@_)"/>
    <numFmt numFmtId="170" formatCode="_-* #,##0.00\ &quot;€&quot;_-;\-* #,##0.00\ &quot;€&quot;_-;_-* &quot;-&quot;??\ &quot;€&quot;_-;_-@_-"/>
    <numFmt numFmtId="171" formatCode="_-* #,##0.00\ _€_-;\-* #,##0.00\ _€_-;_-* &quot;-&quot;??\ _€_-;_-@_-"/>
    <numFmt numFmtId="172" formatCode="_-* #,##0\ _D_M_-;\-* #,##0\ _D_M_-;_-* &quot;-&quot;\ _D_M_-;_-@_-"/>
    <numFmt numFmtId="173" formatCode="_-* #,##0.00\ &quot;Kc&quot;_-;\-* #,##0.00\ &quot;Kc&quot;_-;_-* &quot;-&quot;??\ &quot;Kc&quot;_-;_-@_-"/>
    <numFmt numFmtId="174" formatCode="\(0\'\)"/>
    <numFmt numFmtId="175" formatCode="0.00_)"/>
    <numFmt numFmtId="176" formatCode="#,##0;\(#,##0\);&quot;-&quot;"/>
    <numFmt numFmtId="177" formatCode="#,##0_);\(#,##0\);&quot; - &quot;_);@_)"/>
    <numFmt numFmtId="178" formatCode="\ #,##0.0_);\(#,##0.0\);&quot; - &quot;_);@_)"/>
    <numFmt numFmtId="179" formatCode="_(* #,##0.00_);_(* \(#,##0.00\);_(* &quot;-&quot;?_);@_)"/>
    <numFmt numFmtId="180" formatCode="_(&quot;$ &quot;#,##0_);_(&quot;$ &quot;\(#,##0\)"/>
    <numFmt numFmtId="182" formatCode="&quot;$&quot;#,##0.00"/>
    <numFmt numFmtId="183" formatCode="_(* #,##0.000_);_(* \(#,##0.000\);_(* &quot;-&quot;?_);@_)"/>
    <numFmt numFmtId="184" formatCode="_(* #,##0.0000_);_(* \(#,##0.0000\);_(* &quot;-&quot;?_);@_)"/>
    <numFmt numFmtId="185" formatCode="_(* #,##0.00000_);_(* \(#,##0.00000\);_(* &quot;-&quot;??_);_(@_)"/>
    <numFmt numFmtId="186" formatCode="_(* #,##0.0_);_(* \(#,##0.0\);_(* &quot;-&quot;??_);_(@_)"/>
    <numFmt numFmtId="188" formatCode="&quot;$&quot;#,##0"/>
    <numFmt numFmtId="189" formatCode="0.000%"/>
  </numFmts>
  <fonts count="112">
    <font>
      <sz val="11"/>
      <color theme="1"/>
      <name val="Calibri"/>
      <family val="2"/>
      <scheme val="minor"/>
    </font>
    <font>
      <sz val="9"/>
      <color theme="1"/>
      <name val="Arial"/>
      <family val="2"/>
    </font>
    <font>
      <b/>
      <sz val="12"/>
      <color rgb="FF002060"/>
      <name val="Arial"/>
      <family val="2"/>
    </font>
    <font>
      <b/>
      <sz val="9"/>
      <color theme="1"/>
      <name val="Arial"/>
      <family val="2"/>
    </font>
    <font>
      <b/>
      <sz val="9"/>
      <color theme="3"/>
      <name val="Calibri"/>
      <family val="2"/>
      <scheme val="minor"/>
    </font>
    <font>
      <b/>
      <sz val="9"/>
      <color rgb="FF002060"/>
      <name val="Arial"/>
      <family val="2"/>
    </font>
    <font>
      <sz val="11"/>
      <color theme="1"/>
      <name val="Calibri"/>
      <family val="2"/>
      <scheme val="minor"/>
    </font>
    <font>
      <i/>
      <sz val="8"/>
      <color theme="1"/>
      <name val="Arial"/>
      <family val="2"/>
    </font>
    <font>
      <b/>
      <sz val="9"/>
      <color theme="0"/>
      <name val="Arial"/>
      <family val="2"/>
    </font>
    <font>
      <sz val="9"/>
      <color rgb="FF002060"/>
      <name val="Arial"/>
      <family val="2"/>
    </font>
    <font>
      <sz val="10"/>
      <name val="Arial"/>
      <family val="2"/>
    </font>
    <font>
      <sz val="8"/>
      <name val="Arial"/>
      <family val="2"/>
    </font>
    <font>
      <sz val="10"/>
      <color indexed="10"/>
      <name val="Arial"/>
      <family val="2"/>
    </font>
    <font>
      <sz val="10"/>
      <name val="Helv"/>
      <family val="2"/>
    </font>
    <font>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0"/>
      <name val="Arial CE"/>
      <charset val="238"/>
    </font>
    <font>
      <sz val="10"/>
      <name val="Helv"/>
    </font>
    <font>
      <sz val="11"/>
      <color indexed="60"/>
      <name val="Calibri"/>
      <family val="2"/>
    </font>
    <font>
      <b/>
      <i/>
      <sz val="16"/>
      <name val="Helv"/>
    </font>
    <font>
      <sz val="10"/>
      <name val="MS Sans Serif"/>
      <family val="2"/>
    </font>
    <font>
      <b/>
      <sz val="11"/>
      <color indexed="63"/>
      <name val="Calibri"/>
      <family val="2"/>
    </font>
    <font>
      <b/>
      <sz val="10"/>
      <name val="MS Sans Serif"/>
      <family val="2"/>
    </font>
    <font>
      <sz val="10"/>
      <color indexed="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b/>
      <sz val="18"/>
      <color indexed="56"/>
      <name val="Cambria"/>
      <family val="2"/>
    </font>
    <font>
      <b/>
      <sz val="11"/>
      <color indexed="8"/>
      <name val="Calibri"/>
      <family val="2"/>
    </font>
    <font>
      <b/>
      <sz val="9"/>
      <name val="Arial"/>
      <family val="2"/>
    </font>
    <font>
      <sz val="11"/>
      <color indexed="10"/>
      <name val="Calibri"/>
      <family val="2"/>
    </font>
    <font>
      <sz val="8"/>
      <name val="Verdana"/>
      <family val="2"/>
    </font>
    <font>
      <sz val="10"/>
      <name val="Garamond"/>
      <family val="1"/>
    </font>
    <font>
      <sz val="10"/>
      <color indexed="8"/>
      <name val="MS Sans Serif"/>
      <family val="2"/>
    </font>
    <font>
      <sz val="10"/>
      <name val="Verdana"/>
      <family val="2"/>
    </font>
    <font>
      <sz val="7"/>
      <color indexed="10"/>
      <name val="Arial"/>
      <family val="2"/>
    </font>
    <font>
      <sz val="12"/>
      <name val="Arial"/>
      <family val="2"/>
    </font>
    <font>
      <sz val="10"/>
      <name val="Arial Narrow"/>
      <family val="2"/>
    </font>
    <font>
      <b/>
      <sz val="14"/>
      <color indexed="25"/>
      <name val="Arial"/>
      <family val="2"/>
    </font>
    <font>
      <b/>
      <sz val="10"/>
      <color indexed="25"/>
      <name val="Arial Narrow"/>
      <family val="2"/>
    </font>
    <font>
      <i/>
      <sz val="10"/>
      <color indexed="25"/>
      <name val="Arial Narrow"/>
      <family val="2"/>
    </font>
    <font>
      <sz val="8"/>
      <color indexed="25"/>
      <name val="Arial Narrow"/>
      <family val="2"/>
    </font>
    <font>
      <sz val="10"/>
      <name val="Tahoma"/>
      <family val="2"/>
    </font>
    <font>
      <sz val="12"/>
      <name val="Arial Narrow"/>
      <family val="2"/>
    </font>
    <font>
      <b/>
      <sz val="12"/>
      <color theme="1"/>
      <name val="Tahoma                        "/>
    </font>
    <font>
      <sz val="8"/>
      <color theme="1"/>
      <name val="Tahoma                        "/>
    </font>
    <font>
      <b/>
      <sz val="8"/>
      <color theme="1"/>
      <name val="Tahoma                        "/>
    </font>
    <font>
      <b/>
      <sz val="10"/>
      <color theme="1"/>
      <name val="Tahoma                        "/>
    </font>
    <font>
      <u/>
      <sz val="11"/>
      <color theme="10"/>
      <name val="Calibri"/>
      <family val="2"/>
      <scheme val="minor"/>
    </font>
    <font>
      <b/>
      <sz val="40"/>
      <color rgb="FF002060"/>
      <name val="Arial"/>
      <family val="2"/>
    </font>
    <font>
      <sz val="9"/>
      <color theme="0"/>
      <name val="Arial"/>
      <family val="2"/>
    </font>
    <font>
      <b/>
      <sz val="11"/>
      <name val="Calibri"/>
      <family val="2"/>
    </font>
    <font>
      <sz val="11"/>
      <name val="Calibri"/>
      <family val="2"/>
    </font>
    <font>
      <sz val="8"/>
      <color theme="1"/>
      <name val="Aptos"/>
      <family val="2"/>
    </font>
    <font>
      <sz val="9"/>
      <color theme="1"/>
      <name val="Aptos"/>
      <family val="2"/>
    </font>
    <font>
      <b/>
      <sz val="11"/>
      <color theme="1"/>
      <name val="Calibri"/>
      <family val="2"/>
      <scheme val="minor"/>
    </font>
    <font>
      <sz val="9"/>
      <color rgb="FFFF0000"/>
      <name val="Arial"/>
      <family val="2"/>
    </font>
    <font>
      <sz val="7"/>
      <color rgb="FFFF0000"/>
      <name val="Arial"/>
      <family val="2"/>
    </font>
    <font>
      <i/>
      <sz val="9"/>
      <color theme="1"/>
      <name val="Arial"/>
      <family val="2"/>
    </font>
    <font>
      <b/>
      <sz val="11"/>
      <color theme="0"/>
      <name val="Calibri"/>
      <family val="2"/>
      <scheme val="minor"/>
    </font>
    <font>
      <i/>
      <sz val="8"/>
      <color theme="1"/>
      <name val="Calibri"/>
      <family val="2"/>
      <scheme val="minor"/>
    </font>
    <font>
      <b/>
      <i/>
      <sz val="9"/>
      <color theme="1"/>
      <name val="Arial"/>
      <family val="2"/>
    </font>
    <font>
      <b/>
      <sz val="10"/>
      <color theme="1"/>
      <name val="Arial"/>
      <family val="2"/>
    </font>
    <font>
      <b/>
      <sz val="11"/>
      <color theme="1"/>
      <name val="Arial"/>
      <family val="2"/>
    </font>
    <font>
      <b/>
      <sz val="14"/>
      <name val="Calibri"/>
      <family val="2"/>
    </font>
    <font>
      <b/>
      <sz val="16"/>
      <color rgb="FF002060"/>
      <name val="Calibri"/>
      <family val="2"/>
      <scheme val="minor"/>
    </font>
    <font>
      <i/>
      <sz val="8"/>
      <color rgb="FFFF0000"/>
      <name val="Arial"/>
      <family val="2"/>
    </font>
    <font>
      <sz val="8"/>
      <color theme="1"/>
      <name val="Arial"/>
      <family val="2"/>
    </font>
    <font>
      <b/>
      <sz val="16"/>
      <name val="Calibri"/>
      <family val="2"/>
    </font>
    <font>
      <b/>
      <sz val="8"/>
      <color rgb="FF000000"/>
      <name val="Arial"/>
      <family val="2"/>
    </font>
    <font>
      <sz val="8"/>
      <color rgb="FF000000"/>
      <name val="Arial"/>
      <family val="2"/>
    </font>
    <font>
      <b/>
      <sz val="8"/>
      <color theme="1"/>
      <name val="Arial"/>
      <family val="2"/>
    </font>
    <font>
      <sz val="18"/>
      <color theme="1"/>
      <name val="Calibri"/>
      <family val="2"/>
      <scheme val="minor"/>
    </font>
    <font>
      <i/>
      <sz val="11"/>
      <name val="Calibri"/>
      <family val="2"/>
    </font>
    <font>
      <i/>
      <sz val="11"/>
      <color theme="1"/>
      <name val="Calibri"/>
      <family val="2"/>
      <scheme val="minor"/>
    </font>
    <font>
      <i/>
      <sz val="9"/>
      <color rgb="FFFF0000"/>
      <name val="Arial"/>
      <family val="2"/>
    </font>
    <font>
      <sz val="8"/>
      <name val="Calibri"/>
      <family val="2"/>
      <scheme val="minor"/>
    </font>
    <font>
      <sz val="11"/>
      <color rgb="FF000000"/>
      <name val="Arial"/>
      <family val="2"/>
    </font>
    <font>
      <sz val="8"/>
      <color rgb="FFFF0000"/>
      <name val="Arial"/>
      <family val="2"/>
    </font>
    <font>
      <sz val="7"/>
      <color theme="1"/>
      <name val="Arial"/>
      <family val="2"/>
    </font>
    <font>
      <b/>
      <sz val="16"/>
      <color theme="1"/>
      <name val="Calibri"/>
      <family val="2"/>
      <scheme val="minor"/>
    </font>
    <font>
      <b/>
      <sz val="18"/>
      <color rgb="FF002060"/>
      <name val="Aptos"/>
      <family val="2"/>
    </font>
    <font>
      <sz val="11"/>
      <color theme="1"/>
      <name val="Aptos"/>
      <family val="2"/>
    </font>
    <font>
      <b/>
      <sz val="9"/>
      <color rgb="FF002060"/>
      <name val="Aptos"/>
      <family val="2"/>
    </font>
    <font>
      <b/>
      <sz val="11"/>
      <color rgb="FF002060"/>
      <name val="Aptos"/>
      <family val="2"/>
    </font>
    <font>
      <i/>
      <sz val="7"/>
      <color theme="1"/>
      <name val="Aptos"/>
      <family val="2"/>
    </font>
    <font>
      <i/>
      <sz val="11"/>
      <color theme="1"/>
      <name val="Aptos"/>
      <family val="2"/>
    </font>
    <font>
      <sz val="12"/>
      <color theme="1"/>
      <name val="Aptos"/>
      <family val="2"/>
    </font>
    <font>
      <b/>
      <sz val="9"/>
      <color theme="0"/>
      <name val="Aptos"/>
      <family val="2"/>
    </font>
    <font>
      <b/>
      <sz val="11"/>
      <color rgb="FF002060"/>
      <name val="Calibri"/>
      <family val="2"/>
      <scheme val="minor"/>
    </font>
    <font>
      <sz val="11"/>
      <color rgb="FF002060"/>
      <name val="Calibri"/>
      <family val="2"/>
      <scheme val="minor"/>
    </font>
    <font>
      <sz val="9"/>
      <color theme="0" tint="-0.14999847407452621"/>
      <name val="Arial"/>
      <family val="2"/>
    </font>
    <font>
      <b/>
      <sz val="7"/>
      <color rgb="FF002060"/>
      <name val="Arial"/>
      <family val="2"/>
    </font>
    <font>
      <b/>
      <sz val="7"/>
      <color theme="1"/>
      <name val="Arial"/>
      <family val="2"/>
    </font>
    <font>
      <sz val="14"/>
      <color rgb="FF002060"/>
      <name val="Arial"/>
      <family val="2"/>
    </font>
    <font>
      <sz val="7"/>
      <color theme="1"/>
      <name val="Calibri"/>
      <family val="2"/>
      <scheme val="minor"/>
    </font>
    <font>
      <b/>
      <sz val="7"/>
      <color rgb="FF002060"/>
      <name val="Calibri"/>
      <family val="2"/>
      <scheme val="minor"/>
    </font>
    <font>
      <sz val="7"/>
      <color theme="0"/>
      <name val="Calibri"/>
      <family val="2"/>
      <scheme val="minor"/>
    </font>
    <font>
      <i/>
      <sz val="7"/>
      <color theme="0"/>
      <name val="Calibri"/>
      <family val="2"/>
      <scheme val="minor"/>
    </font>
    <font>
      <u/>
      <sz val="7"/>
      <color theme="0"/>
      <name val="Calibri"/>
      <family val="2"/>
      <scheme val="minor"/>
    </font>
  </fonts>
  <fills count="5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002060"/>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3"/>
      </patternFill>
    </fill>
    <fill>
      <patternFill patternType="solid">
        <fgColor indexed="26"/>
      </patternFill>
    </fill>
    <fill>
      <patternFill patternType="mediumGray">
        <fgColor indexed="22"/>
      </patternFill>
    </fill>
    <fill>
      <patternFill patternType="solid">
        <fgColor indexed="46"/>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rgb="FFFFFF00"/>
        <bgColor indexed="64"/>
      </patternFill>
    </fill>
    <fill>
      <patternFill patternType="solid">
        <fgColor theme="3"/>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AACCFF"/>
        <bgColor indexed="64"/>
      </patternFill>
    </fill>
    <fill>
      <patternFill patternType="solid">
        <fgColor rgb="FFF0F0F0"/>
        <bgColor indexed="64"/>
      </patternFill>
    </fill>
    <fill>
      <patternFill patternType="solid">
        <fgColor rgb="FFDDEEFF"/>
        <bgColor indexed="64"/>
      </patternFill>
    </fill>
    <fill>
      <patternFill patternType="solid">
        <fgColor theme="2" tint="-9.9978637043366805E-2"/>
        <bgColor indexed="64"/>
      </patternFill>
    </fill>
    <fill>
      <patternFill patternType="solid">
        <fgColor theme="3" tint="0.79998168889431442"/>
        <bgColor indexed="64"/>
      </patternFill>
    </fill>
  </fills>
  <borders count="43">
    <border>
      <left/>
      <right/>
      <top/>
      <bottom/>
      <diagonal/>
    </border>
    <border>
      <left/>
      <right/>
      <top/>
      <bottom style="medium">
        <color theme="4"/>
      </bottom>
      <diagonal/>
    </border>
    <border>
      <left/>
      <right/>
      <top/>
      <bottom style="thin">
        <color indexed="64"/>
      </bottom>
      <diagonal/>
    </border>
    <border>
      <left/>
      <right/>
      <top style="thin">
        <color indexed="64"/>
      </top>
      <bottom style="medium">
        <color indexed="64"/>
      </bottom>
      <diagonal/>
    </border>
    <border>
      <left/>
      <right/>
      <top/>
      <bottom style="medium">
        <color rgb="FF002060"/>
      </bottom>
      <diagonal/>
    </border>
    <border>
      <left/>
      <right/>
      <top/>
      <bottom style="hair">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right/>
      <top style="thin">
        <color indexed="25"/>
      </top>
      <bottom style="thin">
        <color indexed="25"/>
      </bottom>
      <diagonal/>
    </border>
    <border>
      <left/>
      <right/>
      <top style="thin">
        <color indexed="64"/>
      </top>
      <bottom/>
      <diagonal/>
    </border>
    <border>
      <left/>
      <right/>
      <top style="thin">
        <color rgb="FF002060"/>
      </top>
      <bottom style="medium">
        <color rgb="FF00206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medium">
        <color auto="1"/>
      </top>
      <bottom/>
      <diagonal/>
    </border>
    <border>
      <left/>
      <right/>
      <top style="thin">
        <color rgb="FF00206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AACCFF"/>
      </left>
      <right/>
      <top style="medium">
        <color rgb="FFAACCFF"/>
      </top>
      <bottom/>
      <diagonal/>
    </border>
    <border>
      <left/>
      <right/>
      <top style="medium">
        <color rgb="FFAACCFF"/>
      </top>
      <bottom/>
      <diagonal/>
    </border>
    <border>
      <left/>
      <right style="medium">
        <color rgb="FFAACCFF"/>
      </right>
      <top style="medium">
        <color rgb="FFAACCFF"/>
      </top>
      <bottom/>
      <diagonal/>
    </border>
    <border>
      <left style="medium">
        <color rgb="FFAACCFF"/>
      </left>
      <right/>
      <top/>
      <bottom/>
      <diagonal/>
    </border>
    <border>
      <left/>
      <right style="medium">
        <color rgb="FFAACCFF"/>
      </right>
      <top/>
      <bottom/>
      <diagonal/>
    </border>
    <border>
      <left/>
      <right style="medium">
        <color rgb="FFAACCFF"/>
      </right>
      <top/>
      <bottom style="medium">
        <color rgb="FFAACCFF"/>
      </bottom>
      <diagonal/>
    </border>
    <border>
      <left style="thin">
        <color indexed="64"/>
      </left>
      <right style="thin">
        <color indexed="64"/>
      </right>
      <top style="medium">
        <color rgb="FFAACCFF"/>
      </top>
      <bottom/>
      <diagonal/>
    </border>
    <border>
      <left style="thin">
        <color indexed="64"/>
      </left>
      <right style="thin">
        <color indexed="64"/>
      </right>
      <top/>
      <bottom/>
      <diagonal/>
    </border>
    <border>
      <left style="thin">
        <color indexed="64"/>
      </left>
      <right style="thin">
        <color indexed="64"/>
      </right>
      <top/>
      <bottom style="medium">
        <color rgb="FFAACCFF"/>
      </bottom>
      <diagonal/>
    </border>
    <border>
      <left/>
      <right style="thin">
        <color indexed="64"/>
      </right>
      <top/>
      <bottom/>
      <diagonal/>
    </border>
    <border>
      <left/>
      <right style="thin">
        <color indexed="64"/>
      </right>
      <top/>
      <bottom style="medium">
        <color rgb="FFAACCFF"/>
      </bottom>
      <diagonal/>
    </border>
    <border>
      <left/>
      <right style="thin">
        <color indexed="64"/>
      </right>
      <top style="medium">
        <color rgb="FFAACCFF"/>
      </top>
      <bottom/>
      <diagonal/>
    </border>
    <border>
      <left/>
      <right/>
      <top style="medium">
        <color rgb="FF002060"/>
      </top>
      <bottom/>
      <diagonal/>
    </border>
    <border>
      <left/>
      <right/>
      <top style="medium">
        <color auto="1"/>
      </top>
      <bottom style="medium">
        <color auto="1"/>
      </bottom>
      <diagonal/>
    </border>
  </borders>
  <cellStyleXfs count="167">
    <xf numFmtId="0" fontId="0" fillId="0" borderId="0"/>
    <xf numFmtId="0" fontId="4" fillId="0" borderId="1" applyFill="0" applyProtection="0">
      <alignment horizontal="right" wrapText="1"/>
    </xf>
    <xf numFmtId="9" fontId="6" fillId="0" borderId="0" applyFont="0" applyFill="0" applyBorder="0" applyAlignment="0" applyProtection="0"/>
    <xf numFmtId="43" fontId="6" fillId="0" borderId="0" applyFont="0" applyFill="0" applyBorder="0" applyAlignment="0" applyProtection="0"/>
    <xf numFmtId="0" fontId="10" fillId="0" borderId="0"/>
    <xf numFmtId="0" fontId="10" fillId="0" borderId="0"/>
    <xf numFmtId="0" fontId="13" fillId="0" borderId="0"/>
    <xf numFmtId="0" fontId="10" fillId="0" borderId="0"/>
    <xf numFmtId="0" fontId="13" fillId="0" borderId="0"/>
    <xf numFmtId="0" fontId="13" fillId="0" borderId="0"/>
    <xf numFmtId="0" fontId="13" fillId="0" borderId="0"/>
    <xf numFmtId="0" fontId="13" fillId="0" borderId="0"/>
    <xf numFmtId="0" fontId="10"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5" borderId="5"/>
    <xf numFmtId="0" fontId="13" fillId="0" borderId="0"/>
    <xf numFmtId="0" fontId="10" fillId="0" borderId="0"/>
    <xf numFmtId="0" fontId="10" fillId="0" borderId="0"/>
    <xf numFmtId="0" fontId="13" fillId="0" borderId="0"/>
    <xf numFmtId="0" fontId="13" fillId="0" borderId="0"/>
    <xf numFmtId="0" fontId="14" fillId="0" borderId="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23" borderId="0" applyNumberFormat="0" applyBorder="0" applyAlignment="0" applyProtection="0"/>
    <xf numFmtId="0" fontId="10" fillId="0" borderId="0"/>
    <xf numFmtId="0" fontId="17" fillId="7" borderId="0" applyNumberFormat="0" applyBorder="0" applyAlignment="0" applyProtection="0"/>
    <xf numFmtId="0" fontId="18" fillId="24" borderId="6" applyNumberFormat="0" applyAlignment="0" applyProtection="0"/>
    <xf numFmtId="0" fontId="19" fillId="25" borderId="7" applyNumberFormat="0" applyAlignment="0" applyProtection="0"/>
    <xf numFmtId="49" fontId="11" fillId="0" borderId="0">
      <alignment horizontal="left" vertical="top" wrapText="1"/>
    </xf>
    <xf numFmtId="170" fontId="10" fillId="0" borderId="0" applyFont="0" applyFill="0" applyBorder="0" applyAlignment="0" applyProtection="0"/>
    <xf numFmtId="0" fontId="20" fillId="0" borderId="0" applyNumberFormat="0" applyFill="0" applyBorder="0" applyAlignment="0" applyProtection="0"/>
    <xf numFmtId="0" fontId="21" fillId="8" borderId="0" applyNumberFormat="0" applyBorder="0" applyAlignment="0" applyProtection="0"/>
    <xf numFmtId="38" fontId="11" fillId="26" borderId="0" applyNumberFormat="0" applyBorder="0" applyAlignment="0" applyProtection="0"/>
    <xf numFmtId="0" fontId="22" fillId="0" borderId="8" applyNumberFormat="0" applyFill="0" applyAlignment="0" applyProtection="0"/>
    <xf numFmtId="0" fontId="23" fillId="0" borderId="9" applyNumberFormat="0" applyFill="0" applyAlignment="0" applyProtection="0"/>
    <xf numFmtId="0" fontId="24" fillId="0" borderId="10" applyNumberFormat="0" applyFill="0" applyAlignment="0" applyProtection="0"/>
    <xf numFmtId="0" fontId="24" fillId="0" borderId="0" applyNumberFormat="0" applyFill="0" applyBorder="0" applyAlignment="0" applyProtection="0"/>
    <xf numFmtId="0" fontId="25" fillId="11" borderId="6" applyNumberFormat="0" applyAlignment="0" applyProtection="0"/>
    <xf numFmtId="10" fontId="11" fillId="5" borderId="11" applyNumberFormat="0" applyBorder="0" applyAlignment="0" applyProtection="0"/>
    <xf numFmtId="0" fontId="26" fillId="0" borderId="12" applyNumberFormat="0" applyFill="0" applyAlignment="0" applyProtection="0"/>
    <xf numFmtId="173" fontId="27" fillId="0" borderId="0" applyFont="0" applyFill="0" applyBorder="0" applyAlignment="0" applyProtection="0"/>
    <xf numFmtId="172" fontId="10" fillId="0" borderId="0" applyFont="0" applyFill="0" applyBorder="0" applyAlignment="0" applyProtection="0"/>
    <xf numFmtId="4" fontId="28" fillId="0" borderId="0" applyFont="0" applyFill="0" applyBorder="0" applyAlignment="0" applyProtection="0"/>
    <xf numFmtId="42" fontId="10" fillId="0" borderId="0" applyFont="0" applyFill="0" applyBorder="0" applyAlignment="0" applyProtection="0"/>
    <xf numFmtId="174" fontId="10" fillId="0" borderId="0" applyFont="0" applyFill="0" applyBorder="0" applyAlignment="0" applyProtection="0"/>
    <xf numFmtId="0" fontId="29" fillId="27" borderId="0" applyNumberFormat="0" applyBorder="0" applyAlignment="0" applyProtection="0"/>
    <xf numFmtId="175" fontId="30" fillId="0" borderId="0"/>
    <xf numFmtId="0" fontId="27" fillId="0" borderId="0"/>
    <xf numFmtId="0" fontId="15" fillId="28" borderId="13" applyNumberFormat="0" applyFont="0" applyAlignment="0" applyProtection="0"/>
    <xf numFmtId="0" fontId="10" fillId="0" borderId="0" applyFont="0" applyFill="0" applyBorder="0" applyAlignment="0" applyProtection="0"/>
    <xf numFmtId="0" fontId="10" fillId="0" borderId="0" applyFont="0" applyFill="0" applyBorder="0" applyAlignment="0" applyProtection="0"/>
    <xf numFmtId="0" fontId="32" fillId="24" borderId="14" applyNumberFormat="0" applyAlignment="0" applyProtection="0"/>
    <xf numFmtId="9" fontId="10" fillId="0" borderId="0" applyFont="0" applyFill="0" applyBorder="0" applyAlignment="0" applyProtection="0"/>
    <xf numFmtId="10" fontId="10" fillId="0" borderId="0" applyFont="0" applyFill="0" applyBorder="0" applyAlignment="0" applyProtection="0"/>
    <xf numFmtId="9" fontId="15" fillId="0" borderId="0" applyFont="0" applyFill="0" applyBorder="0" applyAlignment="0" applyProtection="0"/>
    <xf numFmtId="0" fontId="31" fillId="0" borderId="0" applyNumberFormat="0" applyFont="0" applyFill="0" applyBorder="0" applyAlignment="0" applyProtection="0">
      <alignment horizontal="left"/>
    </xf>
    <xf numFmtId="15" fontId="31" fillId="0" borderId="0" applyFont="0" applyFill="0" applyBorder="0" applyAlignment="0" applyProtection="0"/>
    <xf numFmtId="4" fontId="31" fillId="0" borderId="0" applyFont="0" applyFill="0" applyBorder="0" applyAlignment="0" applyProtection="0"/>
    <xf numFmtId="0" fontId="33" fillId="0" borderId="15">
      <alignment horizontal="center"/>
    </xf>
    <xf numFmtId="3" fontId="31" fillId="0" borderId="0" applyFont="0" applyFill="0" applyBorder="0" applyAlignment="0" applyProtection="0"/>
    <xf numFmtId="0" fontId="31" fillId="29" borderId="0" applyNumberFormat="0" applyFont="0" applyBorder="0" applyAlignment="0" applyProtection="0"/>
    <xf numFmtId="3" fontId="43" fillId="30" borderId="0" applyFont="0" applyFill="0" applyBorder="0" applyAlignment="0" applyProtection="0"/>
    <xf numFmtId="4" fontId="34" fillId="31" borderId="14" applyNumberFormat="0" applyProtection="0">
      <alignment vertical="center"/>
    </xf>
    <xf numFmtId="4" fontId="35" fillId="31" borderId="14" applyNumberFormat="0" applyProtection="0">
      <alignment vertical="center"/>
    </xf>
    <xf numFmtId="4" fontId="34" fillId="31" borderId="14" applyNumberFormat="0" applyProtection="0">
      <alignment horizontal="left" vertical="center" indent="1"/>
    </xf>
    <xf numFmtId="4" fontId="34" fillId="31" borderId="14" applyNumberFormat="0" applyProtection="0">
      <alignment horizontal="left" vertical="center" indent="1"/>
    </xf>
    <xf numFmtId="0" fontId="10" fillId="32" borderId="14" applyNumberFormat="0" applyProtection="0">
      <alignment horizontal="left" vertical="center" indent="1"/>
    </xf>
    <xf numFmtId="4" fontId="34" fillId="33" borderId="14" applyNumberFormat="0" applyProtection="0">
      <alignment horizontal="right" vertical="center"/>
    </xf>
    <xf numFmtId="4" fontId="34" fillId="34" borderId="14" applyNumberFormat="0" applyProtection="0">
      <alignment horizontal="right" vertical="center"/>
    </xf>
    <xf numFmtId="4" fontId="34" fillId="35" borderId="14" applyNumberFormat="0" applyProtection="0">
      <alignment horizontal="right" vertical="center"/>
    </xf>
    <xf numFmtId="4" fontId="34" fillId="36" borderId="14" applyNumberFormat="0" applyProtection="0">
      <alignment horizontal="right" vertical="center"/>
    </xf>
    <xf numFmtId="4" fontId="34" fillId="37" borderId="14" applyNumberFormat="0" applyProtection="0">
      <alignment horizontal="right" vertical="center"/>
    </xf>
    <xf numFmtId="4" fontId="34" fillId="38" borderId="14" applyNumberFormat="0" applyProtection="0">
      <alignment horizontal="right" vertical="center"/>
    </xf>
    <xf numFmtId="4" fontId="34" fillId="39" borderId="14" applyNumberFormat="0" applyProtection="0">
      <alignment horizontal="right" vertical="center"/>
    </xf>
    <xf numFmtId="4" fontId="34" fillId="40" borderId="14" applyNumberFormat="0" applyProtection="0">
      <alignment horizontal="right" vertical="center"/>
    </xf>
    <xf numFmtId="4" fontId="34" fillId="41" borderId="14" applyNumberFormat="0" applyProtection="0">
      <alignment horizontal="right" vertical="center"/>
    </xf>
    <xf numFmtId="4" fontId="36" fillId="42" borderId="14" applyNumberFormat="0" applyProtection="0">
      <alignment horizontal="left" vertical="center" indent="1"/>
    </xf>
    <xf numFmtId="4" fontId="34" fillId="43" borderId="16" applyNumberFormat="0" applyProtection="0">
      <alignment horizontal="left" vertical="center" indent="1"/>
    </xf>
    <xf numFmtId="4" fontId="37" fillId="44" borderId="0" applyNumberFormat="0" applyProtection="0">
      <alignment horizontal="left" vertical="center" indent="1"/>
    </xf>
    <xf numFmtId="0" fontId="10" fillId="32" borderId="14" applyNumberFormat="0" applyProtection="0">
      <alignment horizontal="left" vertical="center" indent="1"/>
    </xf>
    <xf numFmtId="4" fontId="34" fillId="43" borderId="14" applyNumberFormat="0" applyProtection="0">
      <alignment horizontal="left" vertical="center" indent="1"/>
    </xf>
    <xf numFmtId="4" fontId="34" fillId="45" borderId="14" applyNumberFormat="0" applyProtection="0">
      <alignment horizontal="left" vertical="center" indent="1"/>
    </xf>
    <xf numFmtId="0" fontId="10" fillId="45" borderId="14" applyNumberFormat="0" applyProtection="0">
      <alignment horizontal="left" vertical="center" indent="1"/>
    </xf>
    <xf numFmtId="0" fontId="10" fillId="45" borderId="14" applyNumberFormat="0" applyProtection="0">
      <alignment horizontal="left" vertical="center" indent="1"/>
    </xf>
    <xf numFmtId="0" fontId="10" fillId="46" borderId="14" applyNumberFormat="0" applyProtection="0">
      <alignment horizontal="left" vertical="center" indent="1"/>
    </xf>
    <xf numFmtId="0" fontId="10" fillId="46" borderId="14" applyNumberFormat="0" applyProtection="0">
      <alignment horizontal="left" vertical="center" indent="1"/>
    </xf>
    <xf numFmtId="0" fontId="10" fillId="26" borderId="14" applyNumberFormat="0" applyProtection="0">
      <alignment horizontal="left" vertical="center" indent="1"/>
    </xf>
    <xf numFmtId="0" fontId="10" fillId="26" borderId="14" applyNumberFormat="0" applyProtection="0">
      <alignment horizontal="left" vertical="center" indent="1"/>
    </xf>
    <xf numFmtId="0" fontId="10" fillId="32" borderId="14" applyNumberFormat="0" applyProtection="0">
      <alignment horizontal="left" vertical="center" indent="1"/>
    </xf>
    <xf numFmtId="0" fontId="10" fillId="32" borderId="14" applyNumberFormat="0" applyProtection="0">
      <alignment horizontal="left" vertical="center" indent="1"/>
    </xf>
    <xf numFmtId="4" fontId="34" fillId="5" borderId="14" applyNumberFormat="0" applyProtection="0">
      <alignment vertical="center"/>
    </xf>
    <xf numFmtId="4" fontId="35" fillId="5" borderId="14" applyNumberFormat="0" applyProtection="0">
      <alignment vertical="center"/>
    </xf>
    <xf numFmtId="4" fontId="34" fillId="5" borderId="14" applyNumberFormat="0" applyProtection="0">
      <alignment horizontal="left" vertical="center" indent="1"/>
    </xf>
    <xf numFmtId="4" fontId="34" fillId="5" borderId="14" applyNumberFormat="0" applyProtection="0">
      <alignment horizontal="left" vertical="center" indent="1"/>
    </xf>
    <xf numFmtId="4" fontId="34" fillId="43" borderId="14" applyNumberFormat="0" applyProtection="0">
      <alignment horizontal="right" vertical="center"/>
    </xf>
    <xf numFmtId="4" fontId="35" fillId="43" borderId="14" applyNumberFormat="0" applyProtection="0">
      <alignment horizontal="right" vertical="center"/>
    </xf>
    <xf numFmtId="0" fontId="10" fillId="32" borderId="14" applyNumberFormat="0" applyProtection="0">
      <alignment horizontal="left" vertical="center" indent="1"/>
    </xf>
    <xf numFmtId="0" fontId="10" fillId="32" borderId="14" applyNumberFormat="0" applyProtection="0">
      <alignment horizontal="left" vertical="center" indent="1"/>
    </xf>
    <xf numFmtId="0" fontId="38" fillId="0" borderId="0"/>
    <xf numFmtId="4" fontId="12" fillId="43" borderId="14" applyNumberFormat="0" applyProtection="0">
      <alignment horizontal="right" vertical="center"/>
    </xf>
    <xf numFmtId="0" fontId="10" fillId="0" borderId="0"/>
    <xf numFmtId="0" fontId="39" fillId="0" borderId="0" applyNumberFormat="0" applyFill="0" applyBorder="0" applyAlignment="0" applyProtection="0"/>
    <xf numFmtId="0" fontId="40" fillId="0" borderId="17" applyNumberFormat="0" applyFill="0" applyAlignment="0" applyProtection="0"/>
    <xf numFmtId="3" fontId="41" fillId="0" borderId="2" applyNumberFormat="0"/>
    <xf numFmtId="0" fontId="42" fillId="0" borderId="0" applyNumberFormat="0" applyFill="0" applyBorder="0" applyAlignment="0" applyProtection="0"/>
    <xf numFmtId="0" fontId="10" fillId="0" borderId="0" applyNumberFormat="0" applyFill="0" applyBorder="0" applyAlignment="0" applyProtection="0"/>
    <xf numFmtId="0" fontId="6" fillId="0" borderId="0"/>
    <xf numFmtId="0" fontId="44" fillId="0" borderId="0"/>
    <xf numFmtId="9" fontId="6" fillId="0" borderId="0" applyFont="0" applyFill="0" applyBorder="0" applyAlignment="0" applyProtection="0"/>
    <xf numFmtId="0" fontId="45" fillId="0" borderId="0" applyNumberFormat="0" applyFont="0" applyFill="0" applyBorder="0" applyAlignment="0" applyProtection="0"/>
    <xf numFmtId="0" fontId="46" fillId="0" borderId="0"/>
    <xf numFmtId="0" fontId="47" fillId="0" borderId="0"/>
    <xf numFmtId="176" fontId="48" fillId="0" borderId="0"/>
    <xf numFmtId="176" fontId="10" fillId="0" borderId="0"/>
    <xf numFmtId="176" fontId="50" fillId="0" borderId="0"/>
    <xf numFmtId="0" fontId="51" fillId="0" borderId="0">
      <alignment horizontal="left"/>
    </xf>
    <xf numFmtId="164" fontId="49" fillId="0" borderId="18" applyFill="0" applyBorder="0" applyProtection="0">
      <alignment horizontal="right" vertical="top"/>
    </xf>
    <xf numFmtId="176" fontId="52" fillId="0" borderId="18">
      <alignment horizontal="left"/>
    </xf>
    <xf numFmtId="0" fontId="51" fillId="0" borderId="18">
      <alignment horizontal="right" wrapText="1"/>
    </xf>
    <xf numFmtId="0" fontId="49" fillId="0" borderId="0" applyFill="0" applyBorder="0">
      <alignment horizontal="left" vertical="top" wrapText="1"/>
    </xf>
    <xf numFmtId="177" fontId="49" fillId="0" borderId="0" applyFill="0" applyBorder="0">
      <alignment horizontal="right" vertical="top"/>
    </xf>
    <xf numFmtId="178" fontId="49" fillId="0" borderId="0" applyFill="0" applyBorder="0">
      <alignment horizontal="right" vertical="top"/>
    </xf>
    <xf numFmtId="49" fontId="49" fillId="0" borderId="0" applyNumberFormat="0" applyFill="0" applyBorder="0" applyProtection="0">
      <alignment horizontal="center" vertical="top"/>
    </xf>
    <xf numFmtId="176" fontId="53" fillId="0" borderId="0">
      <alignment horizontal="left" vertical="top"/>
    </xf>
    <xf numFmtId="0" fontId="54" fillId="0" borderId="0"/>
    <xf numFmtId="0" fontId="6" fillId="0" borderId="0"/>
    <xf numFmtId="0" fontId="55"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0" fontId="6" fillId="0" borderId="0"/>
    <xf numFmtId="0" fontId="56" fillId="0" borderId="0"/>
    <xf numFmtId="0" fontId="57" fillId="0" borderId="0"/>
    <xf numFmtId="0" fontId="58" fillId="0" borderId="0"/>
    <xf numFmtId="0" fontId="59" fillId="0" borderId="0"/>
    <xf numFmtId="0" fontId="59" fillId="0" borderId="0"/>
    <xf numFmtId="0" fontId="56" fillId="0" borderId="0"/>
    <xf numFmtId="0" fontId="57" fillId="0" borderId="0"/>
    <xf numFmtId="0" fontId="58" fillId="0" borderId="0"/>
    <xf numFmtId="0" fontId="60" fillId="0" borderId="0" applyNumberFormat="0" applyFill="0" applyBorder="0" applyAlignment="0" applyProtection="0"/>
    <xf numFmtId="44" fontId="6" fillId="0" borderId="0" applyFont="0" applyFill="0" applyBorder="0" applyAlignment="0" applyProtection="0"/>
  </cellStyleXfs>
  <cellXfs count="443">
    <xf numFmtId="0" fontId="0" fillId="0" borderId="0" xfId="0"/>
    <xf numFmtId="0" fontId="1" fillId="2" borderId="0" xfId="0" applyFont="1" applyFill="1"/>
    <xf numFmtId="0" fontId="2" fillId="2" borderId="0" xfId="0" applyFont="1" applyFill="1"/>
    <xf numFmtId="165" fontId="2" fillId="2" borderId="0" xfId="0" applyNumberFormat="1" applyFont="1" applyFill="1"/>
    <xf numFmtId="165" fontId="1" fillId="2" borderId="0" xfId="0" applyNumberFormat="1" applyFont="1" applyFill="1"/>
    <xf numFmtId="165" fontId="3" fillId="2" borderId="2" xfId="0" applyNumberFormat="1" applyFont="1" applyFill="1" applyBorder="1"/>
    <xf numFmtId="165" fontId="3" fillId="2" borderId="3" xfId="0" applyNumberFormat="1" applyFont="1" applyFill="1" applyBorder="1"/>
    <xf numFmtId="166" fontId="1" fillId="2" borderId="0" xfId="0" applyNumberFormat="1" applyFont="1" applyFill="1"/>
    <xf numFmtId="166" fontId="2" fillId="2" borderId="0" xfId="0" applyNumberFormat="1" applyFont="1" applyFill="1"/>
    <xf numFmtId="167" fontId="1" fillId="2" borderId="0" xfId="0" applyNumberFormat="1" applyFont="1" applyFill="1"/>
    <xf numFmtId="167" fontId="3" fillId="2" borderId="3" xfId="0" applyNumberFormat="1" applyFont="1" applyFill="1" applyBorder="1"/>
    <xf numFmtId="165" fontId="5" fillId="2" borderId="4" xfId="0" applyNumberFormat="1" applyFont="1" applyFill="1" applyBorder="1"/>
    <xf numFmtId="165" fontId="5" fillId="2" borderId="4" xfId="0" applyNumberFormat="1" applyFont="1" applyFill="1" applyBorder="1" applyAlignment="1">
      <alignment horizontal="right" wrapText="1"/>
    </xf>
    <xf numFmtId="165" fontId="5" fillId="3" borderId="4" xfId="0" applyNumberFormat="1" applyFont="1" applyFill="1" applyBorder="1" applyAlignment="1">
      <alignment horizontal="right" wrapText="1"/>
    </xf>
    <xf numFmtId="165" fontId="1" fillId="3" borderId="0" xfId="0" applyNumberFormat="1" applyFont="1" applyFill="1"/>
    <xf numFmtId="165" fontId="5" fillId="2" borderId="0" xfId="0" applyNumberFormat="1" applyFont="1" applyFill="1" applyAlignment="1">
      <alignment horizontal="right" wrapText="1"/>
    </xf>
    <xf numFmtId="165" fontId="5" fillId="2" borderId="4" xfId="0" applyNumberFormat="1" applyFont="1" applyFill="1" applyBorder="1" applyAlignment="1">
      <alignment wrapText="1"/>
    </xf>
    <xf numFmtId="165" fontId="5" fillId="2" borderId="0" xfId="0" applyNumberFormat="1" applyFont="1" applyFill="1"/>
    <xf numFmtId="168" fontId="1" fillId="2" borderId="0" xfId="2" applyNumberFormat="1" applyFont="1" applyFill="1"/>
    <xf numFmtId="167" fontId="1" fillId="3" borderId="0" xfId="0" applyNumberFormat="1" applyFont="1" applyFill="1"/>
    <xf numFmtId="167" fontId="9" fillId="2" borderId="0" xfId="0" applyNumberFormat="1" applyFont="1" applyFill="1"/>
    <xf numFmtId="165" fontId="3" fillId="2" borderId="19" xfId="0" applyNumberFormat="1" applyFont="1" applyFill="1" applyBorder="1"/>
    <xf numFmtId="167" fontId="3" fillId="2" borderId="19" xfId="0" applyNumberFormat="1" applyFont="1" applyFill="1" applyBorder="1"/>
    <xf numFmtId="167" fontId="5" fillId="2" borderId="0" xfId="0" applyNumberFormat="1" applyFont="1" applyFill="1"/>
    <xf numFmtId="169" fontId="1" fillId="2" borderId="0" xfId="3" applyNumberFormat="1" applyFont="1" applyFill="1"/>
    <xf numFmtId="179" fontId="1" fillId="2" borderId="0" xfId="0" applyNumberFormat="1" applyFont="1" applyFill="1"/>
    <xf numFmtId="165" fontId="8" fillId="4" borderId="0" xfId="0" applyNumberFormat="1" applyFont="1" applyFill="1"/>
    <xf numFmtId="167" fontId="8" fillId="4" borderId="0" xfId="0" applyNumberFormat="1" applyFont="1" applyFill="1"/>
    <xf numFmtId="165" fontId="5" fillId="2" borderId="19" xfId="0" applyNumberFormat="1" applyFont="1" applyFill="1" applyBorder="1"/>
    <xf numFmtId="167" fontId="5" fillId="2" borderId="19" xfId="0" applyNumberFormat="1" applyFont="1" applyFill="1" applyBorder="1"/>
    <xf numFmtId="165" fontId="5" fillId="2" borderId="20" xfId="0" applyNumberFormat="1" applyFont="1" applyFill="1" applyBorder="1"/>
    <xf numFmtId="167" fontId="5" fillId="2" borderId="20" xfId="0" applyNumberFormat="1" applyFont="1" applyFill="1" applyBorder="1"/>
    <xf numFmtId="167" fontId="5" fillId="3" borderId="20" xfId="0" applyNumberFormat="1" applyFont="1" applyFill="1" applyBorder="1"/>
    <xf numFmtId="0" fontId="61" fillId="2" borderId="0" xfId="0" applyFont="1" applyFill="1"/>
    <xf numFmtId="165" fontId="1" fillId="2" borderId="0" xfId="0" applyNumberFormat="1" applyFont="1" applyFill="1" applyAlignment="1">
      <alignment horizontal="left" vertical="center"/>
    </xf>
    <xf numFmtId="49" fontId="1" fillId="2" borderId="0" xfId="0" applyNumberFormat="1" applyFont="1" applyFill="1"/>
    <xf numFmtId="49" fontId="5" fillId="2" borderId="19" xfId="0" applyNumberFormat="1" applyFont="1" applyFill="1" applyBorder="1"/>
    <xf numFmtId="49" fontId="5" fillId="0" borderId="0" xfId="0" applyNumberFormat="1" applyFont="1"/>
    <xf numFmtId="49" fontId="5" fillId="2" borderId="0" xfId="0" applyNumberFormat="1" applyFont="1" applyFill="1"/>
    <xf numFmtId="49" fontId="8" fillId="4" borderId="0" xfId="0" applyNumberFormat="1" applyFont="1" applyFill="1"/>
    <xf numFmtId="166" fontId="8" fillId="4" borderId="0" xfId="0" applyNumberFormat="1" applyFont="1" applyFill="1"/>
    <xf numFmtId="0" fontId="63" fillId="0" borderId="0" xfId="0" applyFont="1" applyAlignment="1">
      <alignment horizontal="center" vertical="center" wrapText="1"/>
    </xf>
    <xf numFmtId="0" fontId="64" fillId="0" borderId="0" xfId="0" applyFont="1" applyAlignment="1">
      <alignment horizontal="center" vertical="center" wrapText="1"/>
    </xf>
    <xf numFmtId="0" fontId="63" fillId="0" borderId="0" xfId="0" applyFont="1" applyAlignment="1">
      <alignment vertical="top" wrapText="1"/>
    </xf>
    <xf numFmtId="0" fontId="64" fillId="0" borderId="0" xfId="0" applyFont="1" applyAlignment="1">
      <alignment vertical="top" wrapText="1"/>
    </xf>
    <xf numFmtId="180" fontId="64" fillId="0" borderId="0" xfId="0" applyNumberFormat="1" applyFont="1" applyAlignment="1">
      <alignment horizontal="right" vertical="top"/>
    </xf>
    <xf numFmtId="37" fontId="64" fillId="0" borderId="0" xfId="0" applyNumberFormat="1" applyFont="1" applyAlignment="1">
      <alignment horizontal="right" vertical="top"/>
    </xf>
    <xf numFmtId="169" fontId="0" fillId="0" borderId="0" xfId="3" applyNumberFormat="1" applyFont="1"/>
    <xf numFmtId="0" fontId="64" fillId="0" borderId="0" xfId="0" applyFont="1" applyAlignment="1">
      <alignment vertical="center" wrapText="1"/>
    </xf>
    <xf numFmtId="165" fontId="3" fillId="2" borderId="0" xfId="0" applyNumberFormat="1" applyFont="1" applyFill="1"/>
    <xf numFmtId="167" fontId="3" fillId="2" borderId="0" xfId="0" applyNumberFormat="1" applyFont="1" applyFill="1"/>
    <xf numFmtId="165" fontId="65" fillId="2" borderId="0" xfId="0" applyNumberFormat="1" applyFont="1" applyFill="1"/>
    <xf numFmtId="165" fontId="66" fillId="2" borderId="0" xfId="0" applyNumberFormat="1" applyFont="1" applyFill="1" applyAlignment="1">
      <alignment horizontal="right"/>
    </xf>
    <xf numFmtId="165" fontId="1" fillId="2" borderId="0" xfId="0" applyNumberFormat="1" applyFont="1" applyFill="1" applyAlignment="1">
      <alignment horizontal="right"/>
    </xf>
    <xf numFmtId="165" fontId="7" fillId="2" borderId="0" xfId="0" applyNumberFormat="1" applyFont="1" applyFill="1" applyAlignment="1">
      <alignment horizontal="right"/>
    </xf>
    <xf numFmtId="179" fontId="3" fillId="2" borderId="3" xfId="0" applyNumberFormat="1" applyFont="1" applyFill="1" applyBorder="1"/>
    <xf numFmtId="183" fontId="3" fillId="2" borderId="3" xfId="0" applyNumberFormat="1" applyFont="1" applyFill="1" applyBorder="1"/>
    <xf numFmtId="165" fontId="1" fillId="2" borderId="0" xfId="0" applyNumberFormat="1" applyFont="1" applyFill="1" applyAlignment="1">
      <alignment horizontal="left"/>
    </xf>
    <xf numFmtId="179" fontId="8" fillId="4" borderId="0" xfId="0" applyNumberFormat="1" applyFont="1" applyFill="1"/>
    <xf numFmtId="165" fontId="1" fillId="2" borderId="0" xfId="0" applyNumberFormat="1" applyFont="1" applyFill="1" applyAlignment="1">
      <alignment horizontal="left" indent="1"/>
    </xf>
    <xf numFmtId="168" fontId="1" fillId="2" borderId="0" xfId="0" applyNumberFormat="1" applyFont="1" applyFill="1"/>
    <xf numFmtId="168" fontId="1" fillId="3" borderId="0" xfId="2" applyNumberFormat="1" applyFont="1" applyFill="1"/>
    <xf numFmtId="10" fontId="1" fillId="2" borderId="0" xfId="2" applyNumberFormat="1" applyFont="1" applyFill="1"/>
    <xf numFmtId="183" fontId="1" fillId="2" borderId="0" xfId="0" applyNumberFormat="1" applyFont="1" applyFill="1"/>
    <xf numFmtId="165" fontId="5" fillId="2" borderId="0" xfId="0" applyNumberFormat="1" applyFont="1" applyFill="1" applyAlignment="1">
      <alignment wrapText="1"/>
    </xf>
    <xf numFmtId="43" fontId="1" fillId="2" borderId="0" xfId="3" applyFont="1" applyFill="1"/>
    <xf numFmtId="0" fontId="1" fillId="2" borderId="0" xfId="3" applyNumberFormat="1" applyFont="1" applyFill="1" applyAlignment="1">
      <alignment horizontal="center"/>
    </xf>
    <xf numFmtId="0" fontId="8" fillId="4" borderId="0" xfId="3" applyNumberFormat="1" applyFont="1" applyFill="1" applyAlignment="1">
      <alignment horizontal="center"/>
    </xf>
    <xf numFmtId="165" fontId="1" fillId="2" borderId="19" xfId="0" applyNumberFormat="1" applyFont="1" applyFill="1" applyBorder="1"/>
    <xf numFmtId="165" fontId="1" fillId="2" borderId="4" xfId="0" applyNumberFormat="1" applyFont="1" applyFill="1" applyBorder="1"/>
    <xf numFmtId="165" fontId="1" fillId="2" borderId="2" xfId="0" applyNumberFormat="1" applyFont="1" applyFill="1" applyBorder="1"/>
    <xf numFmtId="10" fontId="1" fillId="2" borderId="21" xfId="2" applyNumberFormat="1" applyFont="1" applyFill="1" applyBorder="1"/>
    <xf numFmtId="10" fontId="1" fillId="2" borderId="22" xfId="2" applyNumberFormat="1" applyFont="1" applyFill="1" applyBorder="1"/>
    <xf numFmtId="10" fontId="1" fillId="2" borderId="23" xfId="2" applyNumberFormat="1" applyFont="1" applyFill="1" applyBorder="1"/>
    <xf numFmtId="167" fontId="3" fillId="3" borderId="19" xfId="0" applyNumberFormat="1" applyFont="1" applyFill="1" applyBorder="1"/>
    <xf numFmtId="167" fontId="5" fillId="3" borderId="19" xfId="0" applyNumberFormat="1" applyFont="1" applyFill="1" applyBorder="1"/>
    <xf numFmtId="184" fontId="1" fillId="2" borderId="0" xfId="0" applyNumberFormat="1" applyFont="1" applyFill="1"/>
    <xf numFmtId="169" fontId="0" fillId="0" borderId="0" xfId="3" applyNumberFormat="1" applyFont="1" applyAlignment="1">
      <alignment vertical="top"/>
    </xf>
    <xf numFmtId="165" fontId="3" fillId="2" borderId="0" xfId="0" applyNumberFormat="1" applyFont="1" applyFill="1" applyAlignment="1">
      <alignment horizontal="left"/>
    </xf>
    <xf numFmtId="165" fontId="3" fillId="2" borderId="0" xfId="0" applyNumberFormat="1" applyFont="1" applyFill="1" applyAlignment="1">
      <alignment horizontal="left" indent="1"/>
    </xf>
    <xf numFmtId="167" fontId="3" fillId="3" borderId="0" xfId="0" applyNumberFormat="1" applyFont="1" applyFill="1"/>
    <xf numFmtId="37" fontId="63" fillId="0" borderId="0" xfId="0" applyNumberFormat="1" applyFont="1" applyAlignment="1">
      <alignment horizontal="right" vertical="top"/>
    </xf>
    <xf numFmtId="169" fontId="67" fillId="0" borderId="0" xfId="3" applyNumberFormat="1" applyFont="1"/>
    <xf numFmtId="165" fontId="68" fillId="2" borderId="0" xfId="0" applyNumberFormat="1" applyFont="1" applyFill="1"/>
    <xf numFmtId="165" fontId="69" fillId="2" borderId="0" xfId="0" applyNumberFormat="1" applyFont="1" applyFill="1"/>
    <xf numFmtId="165" fontId="1" fillId="0" borderId="0" xfId="0" applyNumberFormat="1" applyFont="1" applyAlignment="1">
      <alignment horizontal="left"/>
    </xf>
    <xf numFmtId="167" fontId="1" fillId="2" borderId="2" xfId="0" applyNumberFormat="1" applyFont="1" applyFill="1" applyBorder="1"/>
    <xf numFmtId="167" fontId="1" fillId="3" borderId="2" xfId="0" applyNumberFormat="1" applyFont="1" applyFill="1" applyBorder="1"/>
    <xf numFmtId="165" fontId="1" fillId="2" borderId="24" xfId="0" applyNumberFormat="1" applyFont="1" applyFill="1" applyBorder="1" applyAlignment="1">
      <alignment horizontal="left"/>
    </xf>
    <xf numFmtId="167" fontId="1" fillId="2" borderId="24" xfId="0" applyNumberFormat="1" applyFont="1" applyFill="1" applyBorder="1"/>
    <xf numFmtId="167" fontId="1" fillId="3" borderId="24" xfId="0" applyNumberFormat="1" applyFont="1" applyFill="1" applyBorder="1"/>
    <xf numFmtId="0" fontId="0" fillId="47" borderId="0" xfId="0" applyFill="1"/>
    <xf numFmtId="169" fontId="0" fillId="0" borderId="0" xfId="0" applyNumberFormat="1"/>
    <xf numFmtId="168" fontId="70" fillId="2" borderId="0" xfId="2" applyNumberFormat="1" applyFont="1" applyFill="1"/>
    <xf numFmtId="10" fontId="3" fillId="2" borderId="0" xfId="2" applyNumberFormat="1" applyFont="1" applyFill="1"/>
    <xf numFmtId="165" fontId="70" fillId="2" borderId="0" xfId="0" applyNumberFormat="1" applyFont="1" applyFill="1" applyAlignment="1">
      <alignment horizontal="left" indent="1"/>
    </xf>
    <xf numFmtId="0" fontId="0" fillId="2" borderId="0" xfId="0" applyFill="1"/>
    <xf numFmtId="168" fontId="70" fillId="3" borderId="0" xfId="2" applyNumberFormat="1" applyFont="1" applyFill="1"/>
    <xf numFmtId="165" fontId="1" fillId="0" borderId="0" xfId="0" applyNumberFormat="1" applyFont="1" applyAlignment="1">
      <alignment horizontal="left" indent="1"/>
    </xf>
    <xf numFmtId="167" fontId="70" fillId="2" borderId="0" xfId="0" applyNumberFormat="1" applyFont="1" applyFill="1"/>
    <xf numFmtId="165" fontId="70" fillId="0" borderId="0" xfId="0" applyNumberFormat="1" applyFont="1" applyAlignment="1">
      <alignment horizontal="left" indent="1"/>
    </xf>
    <xf numFmtId="169" fontId="1" fillId="2" borderId="19" xfId="3" applyNumberFormat="1" applyFont="1" applyFill="1" applyBorder="1"/>
    <xf numFmtId="169" fontId="1" fillId="3" borderId="19" xfId="3" applyNumberFormat="1" applyFont="1" applyFill="1" applyBorder="1"/>
    <xf numFmtId="167" fontId="1" fillId="2" borderId="25" xfId="0" applyNumberFormat="1" applyFont="1" applyFill="1" applyBorder="1"/>
    <xf numFmtId="167" fontId="1" fillId="3" borderId="25" xfId="0" applyNumberFormat="1" applyFont="1" applyFill="1" applyBorder="1"/>
    <xf numFmtId="165" fontId="5" fillId="3" borderId="0" xfId="0" applyNumberFormat="1" applyFont="1" applyFill="1" applyAlignment="1">
      <alignment horizontal="right" wrapText="1"/>
    </xf>
    <xf numFmtId="165" fontId="1" fillId="2" borderId="0" xfId="0" applyNumberFormat="1" applyFont="1" applyFill="1" applyAlignment="1">
      <alignment horizontal="left" indent="2"/>
    </xf>
    <xf numFmtId="183" fontId="3" fillId="2" borderId="0" xfId="0" applyNumberFormat="1" applyFont="1" applyFill="1"/>
    <xf numFmtId="185" fontId="3" fillId="2" borderId="0" xfId="3" applyNumberFormat="1" applyFont="1" applyFill="1"/>
    <xf numFmtId="185" fontId="3" fillId="3" borderId="0" xfId="3" applyNumberFormat="1" applyFont="1" applyFill="1"/>
    <xf numFmtId="183" fontId="1" fillId="3" borderId="0" xfId="0" applyNumberFormat="1" applyFont="1" applyFill="1"/>
    <xf numFmtId="183" fontId="1" fillId="2" borderId="0" xfId="3" applyNumberFormat="1" applyFont="1" applyFill="1"/>
    <xf numFmtId="167" fontId="5" fillId="3" borderId="0" xfId="0" applyNumberFormat="1" applyFont="1" applyFill="1" applyAlignment="1">
      <alignment horizontal="right" wrapText="1"/>
    </xf>
    <xf numFmtId="0" fontId="71" fillId="48" borderId="0" xfId="0" applyFont="1" applyFill="1" applyAlignment="1">
      <alignment horizontal="center"/>
    </xf>
    <xf numFmtId="0" fontId="64" fillId="2" borderId="0" xfId="0" applyFont="1" applyFill="1" applyAlignment="1">
      <alignment vertical="top" wrapText="1"/>
    </xf>
    <xf numFmtId="0" fontId="63" fillId="2" borderId="0" xfId="0" applyFont="1" applyFill="1" applyAlignment="1">
      <alignment vertical="top" wrapText="1"/>
    </xf>
    <xf numFmtId="0" fontId="60" fillId="2" borderId="0" xfId="165" applyFill="1"/>
    <xf numFmtId="14" fontId="72" fillId="2" borderId="0" xfId="0" applyNumberFormat="1" applyFont="1" applyFill="1"/>
    <xf numFmtId="10" fontId="0" fillId="2" borderId="0" xfId="0" applyNumberFormat="1" applyFill="1"/>
    <xf numFmtId="2" fontId="0" fillId="2" borderId="0" xfId="0" applyNumberFormat="1" applyFill="1"/>
    <xf numFmtId="165" fontId="41" fillId="2" borderId="19" xfId="0" applyNumberFormat="1" applyFont="1" applyFill="1" applyBorder="1"/>
    <xf numFmtId="9" fontId="1" fillId="2" borderId="0" xfId="2" applyFont="1" applyFill="1"/>
    <xf numFmtId="165" fontId="62" fillId="2" borderId="0" xfId="0" applyNumberFormat="1" applyFont="1" applyFill="1"/>
    <xf numFmtId="165" fontId="1" fillId="2" borderId="0" xfId="0" applyNumberFormat="1" applyFont="1" applyFill="1" applyAlignment="1">
      <alignment horizontal="center"/>
    </xf>
    <xf numFmtId="165" fontId="5" fillId="2" borderId="4" xfId="0" applyNumberFormat="1" applyFont="1" applyFill="1" applyBorder="1" applyAlignment="1">
      <alignment horizontal="center" wrapText="1"/>
    </xf>
    <xf numFmtId="10" fontId="1" fillId="2" borderId="0" xfId="2" applyNumberFormat="1" applyFont="1" applyFill="1" applyAlignment="1">
      <alignment horizontal="center"/>
    </xf>
    <xf numFmtId="167" fontId="3" fillId="2" borderId="0" xfId="0" applyNumberFormat="1" applyFont="1" applyFill="1" applyAlignment="1">
      <alignment horizontal="left" indent="1"/>
    </xf>
    <xf numFmtId="165" fontId="1" fillId="2" borderId="26" xfId="0" applyNumberFormat="1" applyFont="1" applyFill="1" applyBorder="1"/>
    <xf numFmtId="165" fontId="1" fillId="2" borderId="27" xfId="0" applyNumberFormat="1" applyFont="1" applyFill="1" applyBorder="1"/>
    <xf numFmtId="165" fontId="1" fillId="2" borderId="28" xfId="0" applyNumberFormat="1" applyFont="1" applyFill="1" applyBorder="1"/>
    <xf numFmtId="168" fontId="1" fillId="2" borderId="26" xfId="2" applyNumberFormat="1" applyFont="1" applyFill="1" applyBorder="1"/>
    <xf numFmtId="168" fontId="1" fillId="2" borderId="27" xfId="2" applyNumberFormat="1" applyFont="1" applyFill="1" applyBorder="1"/>
    <xf numFmtId="168" fontId="1" fillId="2" borderId="28" xfId="2" applyNumberFormat="1" applyFont="1" applyFill="1" applyBorder="1"/>
    <xf numFmtId="10" fontId="1" fillId="2" borderId="26" xfId="2" applyNumberFormat="1" applyFont="1" applyFill="1" applyBorder="1"/>
    <xf numFmtId="10" fontId="1" fillId="2" borderId="27" xfId="2" applyNumberFormat="1" applyFont="1" applyFill="1" applyBorder="1"/>
    <xf numFmtId="10" fontId="1" fillId="2" borderId="28" xfId="2" applyNumberFormat="1" applyFont="1" applyFill="1" applyBorder="1"/>
    <xf numFmtId="10" fontId="1" fillId="2" borderId="0" xfId="2" applyNumberFormat="1" applyFont="1" applyFill="1" applyBorder="1"/>
    <xf numFmtId="167" fontId="73" fillId="2" borderId="0" xfId="0" applyNumberFormat="1" applyFont="1" applyFill="1"/>
    <xf numFmtId="165" fontId="74" fillId="2" borderId="0" xfId="0" applyNumberFormat="1" applyFont="1" applyFill="1"/>
    <xf numFmtId="165" fontId="75" fillId="2" borderId="0" xfId="0" applyNumberFormat="1" applyFont="1" applyFill="1"/>
    <xf numFmtId="165" fontId="75" fillId="2" borderId="3" xfId="0" applyNumberFormat="1" applyFont="1" applyFill="1" applyBorder="1"/>
    <xf numFmtId="167" fontId="75" fillId="2" borderId="3" xfId="0" applyNumberFormat="1" applyFont="1" applyFill="1" applyBorder="1"/>
    <xf numFmtId="167" fontId="1" fillId="2" borderId="0" xfId="0" applyNumberFormat="1" applyFont="1" applyFill="1" applyAlignment="1">
      <alignment vertical="center"/>
    </xf>
    <xf numFmtId="165" fontId="75" fillId="2" borderId="3" xfId="0" applyNumberFormat="1" applyFont="1" applyFill="1" applyBorder="1" applyAlignment="1">
      <alignment vertical="center"/>
    </xf>
    <xf numFmtId="167" fontId="75" fillId="2" borderId="3" xfId="0" applyNumberFormat="1" applyFont="1" applyFill="1" applyBorder="1" applyAlignment="1">
      <alignment vertical="center"/>
    </xf>
    <xf numFmtId="165" fontId="1" fillId="2" borderId="0" xfId="0" applyNumberFormat="1" applyFont="1" applyFill="1" applyAlignment="1">
      <alignment vertical="center"/>
    </xf>
    <xf numFmtId="0" fontId="77" fillId="2" borderId="0" xfId="0" applyFont="1" applyFill="1"/>
    <xf numFmtId="186" fontId="5" fillId="2" borderId="0" xfId="3" applyNumberFormat="1" applyFont="1" applyFill="1" applyBorder="1"/>
    <xf numFmtId="186" fontId="5" fillId="2" borderId="19" xfId="3" applyNumberFormat="1" applyFont="1" applyFill="1" applyBorder="1"/>
    <xf numFmtId="186" fontId="8" fillId="4" borderId="0" xfId="3" applyNumberFormat="1" applyFont="1" applyFill="1"/>
    <xf numFmtId="49" fontId="8" fillId="4" borderId="0" xfId="0" applyNumberFormat="1" applyFont="1" applyFill="1" applyAlignment="1">
      <alignment vertical="center"/>
    </xf>
    <xf numFmtId="166" fontId="1" fillId="2" borderId="0" xfId="0" applyNumberFormat="1" applyFont="1" applyFill="1" applyAlignment="1">
      <alignment vertical="center"/>
    </xf>
    <xf numFmtId="165" fontId="70" fillId="2" borderId="0" xfId="0" applyNumberFormat="1" applyFont="1" applyFill="1" applyAlignment="1">
      <alignment horizontal="right"/>
    </xf>
    <xf numFmtId="166" fontId="68" fillId="2" borderId="0" xfId="0" applyNumberFormat="1" applyFont="1" applyFill="1"/>
    <xf numFmtId="166" fontId="78" fillId="2" borderId="0" xfId="0" applyNumberFormat="1" applyFont="1" applyFill="1"/>
    <xf numFmtId="10" fontId="0" fillId="2" borderId="0" xfId="2" applyNumberFormat="1" applyFont="1" applyFill="1"/>
    <xf numFmtId="10" fontId="8" fillId="4" borderId="0" xfId="2" applyNumberFormat="1" applyFont="1" applyFill="1"/>
    <xf numFmtId="165" fontId="8" fillId="2" borderId="0" xfId="0" applyNumberFormat="1" applyFont="1" applyFill="1"/>
    <xf numFmtId="186" fontId="1" fillId="2" borderId="0" xfId="3" applyNumberFormat="1" applyFont="1" applyFill="1"/>
    <xf numFmtId="43" fontId="7" fillId="2" borderId="0" xfId="3" applyFont="1" applyFill="1"/>
    <xf numFmtId="165" fontId="1" fillId="2" borderId="0" xfId="0" quotePrefix="1" applyNumberFormat="1" applyFont="1" applyFill="1" applyAlignment="1">
      <alignment horizontal="left" indent="1"/>
    </xf>
    <xf numFmtId="182" fontId="5" fillId="2" borderId="0" xfId="0" applyNumberFormat="1" applyFont="1" applyFill="1"/>
    <xf numFmtId="165" fontId="5" fillId="2" borderId="24" xfId="0" applyNumberFormat="1" applyFont="1" applyFill="1" applyBorder="1"/>
    <xf numFmtId="165" fontId="79" fillId="2" borderId="0" xfId="0" applyNumberFormat="1" applyFont="1" applyFill="1" applyAlignment="1">
      <alignment horizontal="left" indent="1"/>
    </xf>
    <xf numFmtId="0" fontId="80" fillId="2" borderId="0" xfId="0" applyFont="1" applyFill="1" applyAlignment="1">
      <alignment vertical="top" wrapText="1"/>
    </xf>
    <xf numFmtId="0" fontId="76" fillId="2" borderId="0" xfId="0" applyFont="1" applyFill="1" applyAlignment="1">
      <alignment vertical="top" wrapText="1"/>
    </xf>
    <xf numFmtId="0" fontId="83" fillId="51" borderId="29" xfId="0" applyFont="1" applyFill="1" applyBorder="1" applyAlignment="1">
      <alignment horizontal="center" vertical="center"/>
    </xf>
    <xf numFmtId="0" fontId="83" fillId="51" borderId="32" xfId="0" applyFont="1" applyFill="1" applyBorder="1" applyAlignment="1">
      <alignment horizontal="center" vertical="center"/>
    </xf>
    <xf numFmtId="0" fontId="81" fillId="51" borderId="38" xfId="0" applyFont="1" applyFill="1" applyBorder="1" applyAlignment="1">
      <alignment horizontal="center" vertical="center" wrapText="1"/>
    </xf>
    <xf numFmtId="0" fontId="82" fillId="53" borderId="38" xfId="0" applyFont="1" applyFill="1" applyBorder="1" applyAlignment="1">
      <alignment horizontal="left" vertical="center" wrapText="1"/>
    </xf>
    <xf numFmtId="0" fontId="0" fillId="0" borderId="38" xfId="0" applyBorder="1"/>
    <xf numFmtId="169" fontId="82" fillId="52" borderId="33" xfId="3" applyNumberFormat="1" applyFont="1" applyFill="1" applyBorder="1" applyAlignment="1">
      <alignment horizontal="right" vertical="center" indent="2"/>
    </xf>
    <xf numFmtId="169" fontId="82" fillId="52" borderId="33" xfId="3" applyNumberFormat="1" applyFont="1" applyFill="1" applyBorder="1" applyAlignment="1">
      <alignment horizontal="left" vertical="center" wrapText="1"/>
    </xf>
    <xf numFmtId="169" fontId="82" fillId="53" borderId="33" xfId="3" applyNumberFormat="1" applyFont="1" applyFill="1" applyBorder="1" applyAlignment="1">
      <alignment horizontal="left" vertical="center" wrapText="1"/>
    </xf>
    <xf numFmtId="169" fontId="82" fillId="50" borderId="33" xfId="3" applyNumberFormat="1" applyFont="1" applyFill="1" applyBorder="1" applyAlignment="1">
      <alignment horizontal="right" vertical="center" indent="2"/>
    </xf>
    <xf numFmtId="169" fontId="82" fillId="53" borderId="33" xfId="3" applyNumberFormat="1" applyFont="1" applyFill="1" applyBorder="1" applyAlignment="1">
      <alignment horizontal="right" vertical="center" indent="2"/>
    </xf>
    <xf numFmtId="169" fontId="82" fillId="50" borderId="33" xfId="3" applyNumberFormat="1" applyFont="1" applyFill="1" applyBorder="1" applyAlignment="1">
      <alignment horizontal="right" vertical="center"/>
    </xf>
    <xf numFmtId="169" fontId="82" fillId="50" borderId="33" xfId="3" applyNumberFormat="1" applyFont="1" applyFill="1" applyBorder="1" applyAlignment="1">
      <alignment horizontal="left" vertical="center" wrapText="1"/>
    </xf>
    <xf numFmtId="169" fontId="82" fillId="53" borderId="33" xfId="3" applyNumberFormat="1" applyFont="1" applyFill="1" applyBorder="1" applyAlignment="1">
      <alignment horizontal="right" vertical="center"/>
    </xf>
    <xf numFmtId="0" fontId="81" fillId="51" borderId="35" xfId="0" applyFont="1" applyFill="1" applyBorder="1" applyAlignment="1">
      <alignment horizontal="center" vertical="center" wrapText="1"/>
    </xf>
    <xf numFmtId="0" fontId="81" fillId="51" borderId="36" xfId="0" applyFont="1" applyFill="1" applyBorder="1" applyAlignment="1">
      <alignment horizontal="center" vertical="center" wrapText="1"/>
    </xf>
    <xf numFmtId="0" fontId="81" fillId="51" borderId="40" xfId="0" applyFont="1" applyFill="1" applyBorder="1" applyAlignment="1">
      <alignment horizontal="center" vertical="center" wrapText="1"/>
    </xf>
    <xf numFmtId="0" fontId="82" fillId="50" borderId="38" xfId="0" applyFont="1" applyFill="1" applyBorder="1" applyAlignment="1">
      <alignment horizontal="left" vertical="center" wrapText="1"/>
    </xf>
    <xf numFmtId="169" fontId="82" fillId="52" borderId="36" xfId="3" applyNumberFormat="1" applyFont="1" applyFill="1" applyBorder="1" applyAlignment="1">
      <alignment horizontal="right" vertical="center" indent="2"/>
    </xf>
    <xf numFmtId="169" fontId="82" fillId="52" borderId="38" xfId="3" applyNumberFormat="1" applyFont="1" applyFill="1" applyBorder="1" applyAlignment="1">
      <alignment horizontal="right" vertical="center" indent="2"/>
    </xf>
    <xf numFmtId="169" fontId="82" fillId="52" borderId="38" xfId="3" applyNumberFormat="1" applyFont="1" applyFill="1" applyBorder="1" applyAlignment="1">
      <alignment horizontal="right" vertical="center"/>
    </xf>
    <xf numFmtId="169" fontId="82" fillId="52" borderId="38" xfId="3" applyNumberFormat="1" applyFont="1" applyFill="1" applyBorder="1" applyAlignment="1">
      <alignment horizontal="left" vertical="center" wrapText="1"/>
    </xf>
    <xf numFmtId="169" fontId="82" fillId="53" borderId="36" xfId="3" applyNumberFormat="1" applyFont="1" applyFill="1" applyBorder="1" applyAlignment="1">
      <alignment horizontal="left" vertical="center" wrapText="1"/>
    </xf>
    <xf numFmtId="169" fontId="82" fillId="53" borderId="38" xfId="3" applyNumberFormat="1" applyFont="1" applyFill="1" applyBorder="1" applyAlignment="1">
      <alignment horizontal="left" vertical="center" wrapText="1"/>
    </xf>
    <xf numFmtId="169" fontId="82" fillId="50" borderId="36" xfId="3" applyNumberFormat="1" applyFont="1" applyFill="1" applyBorder="1" applyAlignment="1">
      <alignment horizontal="left" vertical="center" wrapText="1"/>
    </xf>
    <xf numFmtId="169" fontId="82" fillId="50" borderId="38" xfId="3" applyNumberFormat="1" applyFont="1" applyFill="1" applyBorder="1" applyAlignment="1">
      <alignment horizontal="left" vertical="center" wrapText="1"/>
    </xf>
    <xf numFmtId="169" fontId="82" fillId="53" borderId="36" xfId="3" applyNumberFormat="1" applyFont="1" applyFill="1" applyBorder="1" applyAlignment="1">
      <alignment horizontal="right" vertical="center" indent="2"/>
    </xf>
    <xf numFmtId="169" fontId="82" fillId="50" borderId="36" xfId="3" applyNumberFormat="1" applyFont="1" applyFill="1" applyBorder="1" applyAlignment="1">
      <alignment horizontal="right" vertical="center" indent="2"/>
    </xf>
    <xf numFmtId="169" fontId="0" fillId="0" borderId="36" xfId="3" applyNumberFormat="1" applyFont="1" applyBorder="1"/>
    <xf numFmtId="169" fontId="0" fillId="0" borderId="38" xfId="3" applyNumberFormat="1" applyFont="1" applyBorder="1"/>
    <xf numFmtId="169" fontId="82" fillId="52" borderId="36" xfId="3" applyNumberFormat="1" applyFont="1" applyFill="1" applyBorder="1" applyAlignment="1">
      <alignment vertical="center"/>
    </xf>
    <xf numFmtId="169" fontId="82" fillId="52" borderId="38" xfId="3" applyNumberFormat="1" applyFont="1" applyFill="1" applyBorder="1" applyAlignment="1">
      <alignment vertical="center"/>
    </xf>
    <xf numFmtId="169" fontId="82" fillId="52" borderId="33" xfId="3" applyNumberFormat="1" applyFont="1" applyFill="1" applyBorder="1" applyAlignment="1">
      <alignment vertical="center"/>
    </xf>
    <xf numFmtId="169" fontId="82" fillId="52" borderId="38" xfId="3" applyNumberFormat="1" applyFont="1" applyFill="1" applyBorder="1" applyAlignment="1">
      <alignment vertical="center" wrapText="1"/>
    </xf>
    <xf numFmtId="169" fontId="82" fillId="52" borderId="33" xfId="3" applyNumberFormat="1" applyFont="1" applyFill="1" applyBorder="1" applyAlignment="1">
      <alignment vertical="center" wrapText="1"/>
    </xf>
    <xf numFmtId="169" fontId="82" fillId="53" borderId="36" xfId="3" applyNumberFormat="1" applyFont="1" applyFill="1" applyBorder="1" applyAlignment="1">
      <alignment vertical="center" wrapText="1"/>
    </xf>
    <xf numFmtId="169" fontId="82" fillId="53" borderId="38" xfId="3" applyNumberFormat="1" applyFont="1" applyFill="1" applyBorder="1" applyAlignment="1">
      <alignment vertical="center" wrapText="1"/>
    </xf>
    <xf numFmtId="169" fontId="82" fillId="53" borderId="33" xfId="3" applyNumberFormat="1" applyFont="1" applyFill="1" applyBorder="1" applyAlignment="1">
      <alignment vertical="center" wrapText="1"/>
    </xf>
    <xf numFmtId="169" fontId="82" fillId="50" borderId="36" xfId="3" applyNumberFormat="1" applyFont="1" applyFill="1" applyBorder="1" applyAlignment="1">
      <alignment vertical="center" wrapText="1"/>
    </xf>
    <xf numFmtId="169" fontId="82" fillId="50" borderId="38" xfId="3" applyNumberFormat="1" applyFont="1" applyFill="1" applyBorder="1" applyAlignment="1">
      <alignment vertical="center" wrapText="1"/>
    </xf>
    <xf numFmtId="169" fontId="82" fillId="50" borderId="38" xfId="3" applyNumberFormat="1" applyFont="1" applyFill="1" applyBorder="1" applyAlignment="1">
      <alignment vertical="center"/>
    </xf>
    <xf numFmtId="169" fontId="82" fillId="50" borderId="33" xfId="3" applyNumberFormat="1" applyFont="1" applyFill="1" applyBorder="1" applyAlignment="1">
      <alignment vertical="center"/>
    </xf>
    <xf numFmtId="169" fontId="82" fillId="53" borderId="38" xfId="3" applyNumberFormat="1" applyFont="1" applyFill="1" applyBorder="1" applyAlignment="1">
      <alignment vertical="center"/>
    </xf>
    <xf numFmtId="169" fontId="82" fillId="53" borderId="33" xfId="3" applyNumberFormat="1" applyFont="1" applyFill="1" applyBorder="1" applyAlignment="1">
      <alignment vertical="center"/>
    </xf>
    <xf numFmtId="169" fontId="82" fillId="53" borderId="36" xfId="3" applyNumberFormat="1" applyFont="1" applyFill="1" applyBorder="1" applyAlignment="1">
      <alignment vertical="center"/>
    </xf>
    <xf numFmtId="169" fontId="82" fillId="50" borderId="36" xfId="3" applyNumberFormat="1" applyFont="1" applyFill="1" applyBorder="1" applyAlignment="1">
      <alignment vertical="center"/>
    </xf>
    <xf numFmtId="169" fontId="82" fillId="50" borderId="33" xfId="3" applyNumberFormat="1" applyFont="1" applyFill="1" applyBorder="1" applyAlignment="1">
      <alignment vertical="center" wrapText="1"/>
    </xf>
    <xf numFmtId="169" fontId="82" fillId="52" borderId="37" xfId="3" applyNumberFormat="1" applyFont="1" applyFill="1" applyBorder="1" applyAlignment="1">
      <alignment vertical="center"/>
    </xf>
    <xf numFmtId="169" fontId="82" fillId="52" borderId="39" xfId="3" applyNumberFormat="1" applyFont="1" applyFill="1" applyBorder="1" applyAlignment="1">
      <alignment vertical="center" wrapText="1"/>
    </xf>
    <xf numFmtId="169" fontId="82" fillId="52" borderId="34" xfId="3" applyNumberFormat="1" applyFont="1" applyFill="1" applyBorder="1" applyAlignment="1">
      <alignment vertical="center" wrapText="1"/>
    </xf>
    <xf numFmtId="169" fontId="0" fillId="0" borderId="36" xfId="3" applyNumberFormat="1" applyFont="1" applyBorder="1" applyAlignment="1"/>
    <xf numFmtId="169" fontId="0" fillId="0" borderId="38" xfId="3" applyNumberFormat="1" applyFont="1" applyBorder="1" applyAlignment="1"/>
    <xf numFmtId="169" fontId="0" fillId="0" borderId="0" xfId="3" applyNumberFormat="1" applyFont="1" applyAlignment="1"/>
    <xf numFmtId="0" fontId="0" fillId="2" borderId="32" xfId="165" applyFont="1" applyFill="1" applyBorder="1" applyAlignment="1">
      <alignment horizontal="left" vertical="top"/>
    </xf>
    <xf numFmtId="169" fontId="82" fillId="2" borderId="36" xfId="3" applyNumberFormat="1" applyFont="1" applyFill="1" applyBorder="1" applyAlignment="1">
      <alignment vertical="center"/>
    </xf>
    <xf numFmtId="169" fontId="82" fillId="2" borderId="38" xfId="3" applyNumberFormat="1" applyFont="1" applyFill="1" applyBorder="1" applyAlignment="1">
      <alignment vertical="center" wrapText="1"/>
    </xf>
    <xf numFmtId="169" fontId="82" fillId="2" borderId="33" xfId="3" applyNumberFormat="1" applyFont="1" applyFill="1" applyBorder="1" applyAlignment="1">
      <alignment vertical="center" wrapText="1"/>
    </xf>
    <xf numFmtId="0" fontId="84" fillId="2" borderId="32" xfId="165" applyFont="1" applyFill="1" applyBorder="1" applyAlignment="1">
      <alignment horizontal="left" vertical="top"/>
    </xf>
    <xf numFmtId="169" fontId="82" fillId="47" borderId="33" xfId="3" applyNumberFormat="1" applyFont="1" applyFill="1" applyBorder="1" applyAlignment="1">
      <alignment vertical="center"/>
    </xf>
    <xf numFmtId="169" fontId="82" fillId="47" borderId="36" xfId="3" applyNumberFormat="1" applyFont="1" applyFill="1" applyBorder="1" applyAlignment="1">
      <alignment vertical="center" wrapText="1"/>
    </xf>
    <xf numFmtId="169" fontId="82" fillId="47" borderId="38" xfId="3" applyNumberFormat="1" applyFont="1" applyFill="1" applyBorder="1" applyAlignment="1">
      <alignment vertical="center" wrapText="1"/>
    </xf>
    <xf numFmtId="169" fontId="82" fillId="47" borderId="38" xfId="3" applyNumberFormat="1" applyFont="1" applyFill="1" applyBorder="1" applyAlignment="1">
      <alignment vertical="center"/>
    </xf>
    <xf numFmtId="169" fontId="82" fillId="0" borderId="36" xfId="3" applyNumberFormat="1" applyFont="1" applyFill="1" applyBorder="1" applyAlignment="1">
      <alignment vertical="center" wrapText="1"/>
    </xf>
    <xf numFmtId="169" fontId="82" fillId="0" borderId="38" xfId="3" applyNumberFormat="1" applyFont="1" applyFill="1" applyBorder="1" applyAlignment="1">
      <alignment vertical="center" wrapText="1"/>
    </xf>
    <xf numFmtId="169" fontId="82" fillId="0" borderId="33" xfId="3" applyNumberFormat="1" applyFont="1" applyFill="1" applyBorder="1" applyAlignment="1">
      <alignment vertical="center"/>
    </xf>
    <xf numFmtId="0" fontId="0" fillId="51" borderId="32" xfId="0" applyFill="1" applyBorder="1" applyAlignment="1">
      <alignment horizontal="center" vertical="center"/>
    </xf>
    <xf numFmtId="0" fontId="0" fillId="51" borderId="36" xfId="0" applyFill="1" applyBorder="1" applyAlignment="1">
      <alignment horizontal="center" vertical="center" wrapText="1"/>
    </xf>
    <xf numFmtId="169" fontId="82" fillId="53" borderId="36" xfId="3" applyNumberFormat="1" applyFont="1" applyFill="1" applyBorder="1" applyAlignment="1">
      <alignment horizontal="right" vertical="center"/>
    </xf>
    <xf numFmtId="169" fontId="82" fillId="50" borderId="36" xfId="3" applyNumberFormat="1" applyFont="1" applyFill="1" applyBorder="1" applyAlignment="1">
      <alignment horizontal="right" vertical="center"/>
    </xf>
    <xf numFmtId="169" fontId="82" fillId="52" borderId="36" xfId="3" applyNumberFormat="1" applyFont="1" applyFill="1" applyBorder="1" applyAlignment="1">
      <alignment horizontal="left" vertical="center" wrapText="1"/>
    </xf>
    <xf numFmtId="169" fontId="82" fillId="52" borderId="36" xfId="3" applyNumberFormat="1" applyFont="1" applyFill="1" applyBorder="1" applyAlignment="1">
      <alignment horizontal="right" vertical="center"/>
    </xf>
    <xf numFmtId="0" fontId="0" fillId="51" borderId="38" xfId="0" applyFill="1" applyBorder="1" applyAlignment="1">
      <alignment horizontal="center" vertical="center" wrapText="1"/>
    </xf>
    <xf numFmtId="169" fontId="81" fillId="52" borderId="38" xfId="3" applyNumberFormat="1" applyFont="1" applyFill="1" applyBorder="1" applyAlignment="1">
      <alignment horizontal="left" vertical="center" wrapText="1"/>
    </xf>
    <xf numFmtId="169" fontId="81" fillId="52" borderId="36" xfId="3" applyNumberFormat="1" applyFont="1" applyFill="1" applyBorder="1" applyAlignment="1">
      <alignment horizontal="left" vertical="center" wrapText="1"/>
    </xf>
    <xf numFmtId="169" fontId="81" fillId="52" borderId="36" xfId="3" applyNumberFormat="1" applyFont="1" applyFill="1" applyBorder="1" applyAlignment="1">
      <alignment horizontal="right" vertical="center" indent="2"/>
    </xf>
    <xf numFmtId="169" fontId="81" fillId="52" borderId="36" xfId="3" applyNumberFormat="1" applyFont="1" applyFill="1" applyBorder="1" applyAlignment="1">
      <alignment horizontal="right" vertical="center"/>
    </xf>
    <xf numFmtId="169" fontId="81" fillId="52" borderId="33" xfId="3" applyNumberFormat="1" applyFont="1" applyFill="1" applyBorder="1" applyAlignment="1">
      <alignment horizontal="right" vertical="center" indent="2"/>
    </xf>
    <xf numFmtId="0" fontId="67" fillId="0" borderId="0" xfId="0" applyFont="1"/>
    <xf numFmtId="169" fontId="81" fillId="52" borderId="33" xfId="3" applyNumberFormat="1" applyFont="1" applyFill="1" applyBorder="1" applyAlignment="1">
      <alignment horizontal="left" vertical="center" wrapText="1"/>
    </xf>
    <xf numFmtId="169" fontId="81" fillId="52" borderId="39" xfId="3" applyNumberFormat="1" applyFont="1" applyFill="1" applyBorder="1" applyAlignment="1">
      <alignment horizontal="left" vertical="center" wrapText="1"/>
    </xf>
    <xf numFmtId="169" fontId="81" fillId="52" borderId="37" xfId="3" applyNumberFormat="1" applyFont="1" applyFill="1" applyBorder="1" applyAlignment="1">
      <alignment horizontal="left" vertical="center" wrapText="1"/>
    </xf>
    <xf numFmtId="169" fontId="81" fillId="52" borderId="37" xfId="3" applyNumberFormat="1" applyFont="1" applyFill="1" applyBorder="1" applyAlignment="1">
      <alignment horizontal="right" vertical="center" indent="2"/>
    </xf>
    <xf numFmtId="169" fontId="81" fillId="52" borderId="34" xfId="3" applyNumberFormat="1" applyFont="1" applyFill="1" applyBorder="1" applyAlignment="1">
      <alignment horizontal="left" vertical="center" wrapText="1"/>
    </xf>
    <xf numFmtId="169" fontId="82" fillId="47" borderId="36" xfId="3" applyNumberFormat="1" applyFont="1" applyFill="1" applyBorder="1" applyAlignment="1">
      <alignment horizontal="right" vertical="center"/>
    </xf>
    <xf numFmtId="169" fontId="82" fillId="47" borderId="38" xfId="3" applyNumberFormat="1" applyFont="1" applyFill="1" applyBorder="1" applyAlignment="1">
      <alignment horizontal="left" vertical="center" wrapText="1"/>
    </xf>
    <xf numFmtId="169" fontId="82" fillId="47" borderId="36" xfId="3" applyNumberFormat="1" applyFont="1" applyFill="1" applyBorder="1" applyAlignment="1">
      <alignment horizontal="left" vertical="center" wrapText="1"/>
    </xf>
    <xf numFmtId="0" fontId="81" fillId="51" borderId="29" xfId="0" applyFont="1" applyFill="1" applyBorder="1" applyAlignment="1">
      <alignment horizontal="center" vertical="center"/>
    </xf>
    <xf numFmtId="0" fontId="81" fillId="51" borderId="32" xfId="0" applyFont="1" applyFill="1" applyBorder="1" applyAlignment="1">
      <alignment horizontal="center" vertical="center"/>
    </xf>
    <xf numFmtId="182" fontId="1" fillId="2" borderId="0" xfId="166" applyNumberFormat="1" applyFont="1" applyFill="1"/>
    <xf numFmtId="182" fontId="1" fillId="2" borderId="0" xfId="0" applyNumberFormat="1" applyFont="1" applyFill="1"/>
    <xf numFmtId="188" fontId="1" fillId="2" borderId="0" xfId="0" applyNumberFormat="1" applyFont="1" applyFill="1"/>
    <xf numFmtId="167" fontId="70" fillId="2" borderId="26" xfId="0" applyNumberFormat="1" applyFont="1" applyFill="1" applyBorder="1"/>
    <xf numFmtId="167" fontId="70" fillId="2" borderId="27" xfId="0" applyNumberFormat="1" applyFont="1" applyFill="1" applyBorder="1"/>
    <xf numFmtId="167" fontId="70" fillId="2" borderId="28" xfId="0" applyNumberFormat="1" applyFont="1" applyFill="1" applyBorder="1"/>
    <xf numFmtId="179" fontId="70" fillId="2" borderId="26" xfId="0" applyNumberFormat="1" applyFont="1" applyFill="1" applyBorder="1"/>
    <xf numFmtId="179" fontId="70" fillId="2" borderId="27" xfId="0" applyNumberFormat="1" applyFont="1" applyFill="1" applyBorder="1"/>
    <xf numFmtId="179" fontId="70" fillId="2" borderId="28" xfId="0" applyNumberFormat="1" applyFont="1" applyFill="1" applyBorder="1"/>
    <xf numFmtId="10" fontId="70" fillId="2" borderId="26" xfId="2" applyNumberFormat="1" applyFont="1" applyFill="1" applyBorder="1"/>
    <xf numFmtId="10" fontId="70" fillId="2" borderId="27" xfId="2" applyNumberFormat="1" applyFont="1" applyFill="1" applyBorder="1"/>
    <xf numFmtId="10" fontId="70" fillId="2" borderId="28" xfId="2" applyNumberFormat="1" applyFont="1" applyFill="1" applyBorder="1"/>
    <xf numFmtId="188" fontId="1" fillId="2" borderId="0" xfId="166" applyNumberFormat="1" applyFont="1" applyFill="1"/>
    <xf numFmtId="188" fontId="1" fillId="2" borderId="0" xfId="3" applyNumberFormat="1" applyFont="1" applyFill="1"/>
    <xf numFmtId="10" fontId="70" fillId="2" borderId="0" xfId="2" applyNumberFormat="1" applyFont="1" applyFill="1" applyBorder="1"/>
    <xf numFmtId="165" fontId="3" fillId="2" borderId="19" xfId="0" applyNumberFormat="1" applyFont="1" applyFill="1" applyBorder="1" applyAlignment="1">
      <alignment vertical="center"/>
    </xf>
    <xf numFmtId="167" fontId="3" fillId="2" borderId="19" xfId="0" applyNumberFormat="1" applyFont="1" applyFill="1" applyBorder="1" applyAlignment="1">
      <alignment vertical="center"/>
    </xf>
    <xf numFmtId="167" fontId="1" fillId="3" borderId="0" xfId="0" applyNumberFormat="1" applyFont="1" applyFill="1" applyAlignment="1">
      <alignment vertical="center"/>
    </xf>
    <xf numFmtId="9" fontId="1" fillId="3" borderId="0" xfId="2" applyFont="1" applyFill="1"/>
    <xf numFmtId="10" fontId="1" fillId="3" borderId="0" xfId="2" applyNumberFormat="1" applyFont="1" applyFill="1"/>
    <xf numFmtId="169" fontId="1" fillId="3" borderId="0" xfId="3" applyNumberFormat="1" applyFont="1" applyFill="1"/>
    <xf numFmtId="169" fontId="70" fillId="3" borderId="0" xfId="3" applyNumberFormat="1" applyFont="1" applyFill="1"/>
    <xf numFmtId="169" fontId="1" fillId="3" borderId="0" xfId="0" applyNumberFormat="1" applyFont="1" applyFill="1"/>
    <xf numFmtId="189" fontId="1" fillId="2" borderId="0" xfId="2" applyNumberFormat="1" applyFont="1" applyFill="1"/>
    <xf numFmtId="169" fontId="64" fillId="0" borderId="0" xfId="3" applyNumberFormat="1" applyFont="1" applyAlignment="1">
      <alignment vertical="center" wrapText="1"/>
    </xf>
    <xf numFmtId="15" fontId="64" fillId="0" borderId="0" xfId="0" applyNumberFormat="1" applyFont="1" applyAlignment="1">
      <alignment horizontal="center" vertical="center" wrapText="1"/>
    </xf>
    <xf numFmtId="17" fontId="64" fillId="0" borderId="0" xfId="0" applyNumberFormat="1" applyFont="1" applyAlignment="1">
      <alignment horizontal="center" vertical="center" wrapText="1"/>
    </xf>
    <xf numFmtId="0" fontId="64" fillId="0" borderId="0" xfId="0" applyFont="1" applyAlignment="1">
      <alignment horizontal="left" vertical="center" wrapText="1"/>
    </xf>
    <xf numFmtId="0" fontId="85" fillId="0" borderId="0" xfId="0" applyFont="1" applyAlignment="1">
      <alignment vertical="top" wrapText="1"/>
    </xf>
    <xf numFmtId="169" fontId="86" fillId="0" borderId="0" xfId="3" applyNumberFormat="1" applyFont="1"/>
    <xf numFmtId="180" fontId="85" fillId="0" borderId="0" xfId="0" applyNumberFormat="1" applyFont="1" applyAlignment="1">
      <alignment horizontal="right" vertical="top"/>
    </xf>
    <xf numFmtId="37" fontId="85" fillId="0" borderId="0" xfId="0" applyNumberFormat="1" applyFont="1" applyAlignment="1">
      <alignment horizontal="right" vertical="top"/>
    </xf>
    <xf numFmtId="180" fontId="63" fillId="0" borderId="0" xfId="0" applyNumberFormat="1" applyFont="1" applyAlignment="1">
      <alignment horizontal="right" vertical="top"/>
    </xf>
    <xf numFmtId="169" fontId="64" fillId="0" borderId="0" xfId="3" applyNumberFormat="1" applyFont="1" applyAlignment="1">
      <alignment horizontal="right" vertical="top"/>
    </xf>
    <xf numFmtId="167" fontId="3" fillId="2" borderId="19" xfId="0" applyNumberFormat="1" applyFont="1" applyFill="1" applyBorder="1" applyAlignment="1">
      <alignment horizontal="left" indent="1"/>
    </xf>
    <xf numFmtId="165" fontId="87" fillId="2" borderId="0" xfId="0" applyNumberFormat="1" applyFont="1" applyFill="1"/>
    <xf numFmtId="169" fontId="67" fillId="0" borderId="0" xfId="3" applyNumberFormat="1" applyFont="1" applyAlignment="1"/>
    <xf numFmtId="180" fontId="63" fillId="0" borderId="0" xfId="0" applyNumberFormat="1" applyFont="1" applyAlignment="1">
      <alignment horizontal="right"/>
    </xf>
    <xf numFmtId="165" fontId="78" fillId="2" borderId="0" xfId="0" applyNumberFormat="1" applyFont="1" applyFill="1"/>
    <xf numFmtId="167" fontId="78" fillId="2" borderId="0" xfId="0" applyNumberFormat="1" applyFont="1" applyFill="1"/>
    <xf numFmtId="167" fontId="5" fillId="2" borderId="4" xfId="0" applyNumberFormat="1" applyFont="1" applyFill="1" applyBorder="1" applyAlignment="1">
      <alignment horizontal="right" wrapText="1"/>
    </xf>
    <xf numFmtId="0" fontId="0" fillId="0" borderId="36" xfId="0" applyBorder="1"/>
    <xf numFmtId="0" fontId="0" fillId="0" borderId="0" xfId="0" applyAlignment="1">
      <alignment horizontal="right"/>
    </xf>
    <xf numFmtId="0" fontId="0" fillId="54" borderId="0" xfId="0" applyFill="1"/>
    <xf numFmtId="6" fontId="82" fillId="54" borderId="38" xfId="0" applyNumberFormat="1" applyFont="1" applyFill="1" applyBorder="1" applyAlignment="1">
      <alignment horizontal="right" vertical="center" indent="2"/>
    </xf>
    <xf numFmtId="6" fontId="82" fillId="54" borderId="36" xfId="0" applyNumberFormat="1" applyFont="1" applyFill="1" applyBorder="1" applyAlignment="1">
      <alignment horizontal="right" vertical="center" indent="2"/>
    </xf>
    <xf numFmtId="6" fontId="82" fillId="54" borderId="36" xfId="0" applyNumberFormat="1" applyFont="1" applyFill="1" applyBorder="1" applyAlignment="1">
      <alignment horizontal="right" vertical="center"/>
    </xf>
    <xf numFmtId="3" fontId="82" fillId="47" borderId="38" xfId="0" applyNumberFormat="1" applyFont="1" applyFill="1" applyBorder="1" applyAlignment="1">
      <alignment horizontal="right" vertical="center" indent="2"/>
    </xf>
    <xf numFmtId="0" fontId="82" fillId="47" borderId="36" xfId="0" applyFont="1" applyFill="1" applyBorder="1" applyAlignment="1">
      <alignment horizontal="left" vertical="center" wrapText="1"/>
    </xf>
    <xf numFmtId="0" fontId="82" fillId="53" borderId="36" xfId="0" applyFont="1" applyFill="1" applyBorder="1" applyAlignment="1">
      <alignment horizontal="left" vertical="center" wrapText="1"/>
    </xf>
    <xf numFmtId="0" fontId="82" fillId="50" borderId="36" xfId="0" applyFont="1" applyFill="1" applyBorder="1" applyAlignment="1">
      <alignment horizontal="left" vertical="center" wrapText="1"/>
    </xf>
    <xf numFmtId="3" fontId="82" fillId="50" borderId="36" xfId="0" applyNumberFormat="1" applyFont="1" applyFill="1" applyBorder="1" applyAlignment="1">
      <alignment horizontal="right" vertical="center" indent="2"/>
    </xf>
    <xf numFmtId="0" fontId="82" fillId="53" borderId="36" xfId="0" applyFont="1" applyFill="1" applyBorder="1" applyAlignment="1">
      <alignment horizontal="right" vertical="center" indent="2"/>
    </xf>
    <xf numFmtId="3" fontId="82" fillId="50" borderId="36" xfId="0" applyNumberFormat="1" applyFont="1" applyFill="1" applyBorder="1" applyAlignment="1">
      <alignment horizontal="right" vertical="center"/>
    </xf>
    <xf numFmtId="6" fontId="82" fillId="53" borderId="38" xfId="0" applyNumberFormat="1" applyFont="1" applyFill="1" applyBorder="1" applyAlignment="1">
      <alignment horizontal="right" vertical="center" indent="2"/>
    </xf>
    <xf numFmtId="3" fontId="82" fillId="53" borderId="36" xfId="0" applyNumberFormat="1" applyFont="1" applyFill="1" applyBorder="1" applyAlignment="1">
      <alignment horizontal="right" vertical="center" indent="2"/>
    </xf>
    <xf numFmtId="0" fontId="82" fillId="50" borderId="38" xfId="0" applyFont="1" applyFill="1" applyBorder="1" applyAlignment="1">
      <alignment horizontal="right" vertical="center" indent="2"/>
    </xf>
    <xf numFmtId="3" fontId="82" fillId="53" borderId="36" xfId="0" applyNumberFormat="1" applyFont="1" applyFill="1" applyBorder="1" applyAlignment="1">
      <alignment horizontal="right" vertical="center"/>
    </xf>
    <xf numFmtId="6" fontId="82" fillId="52" borderId="38" xfId="0" applyNumberFormat="1" applyFont="1" applyFill="1" applyBorder="1" applyAlignment="1">
      <alignment horizontal="right" vertical="center" indent="2"/>
    </xf>
    <xf numFmtId="3" fontId="82" fillId="52" borderId="36" xfId="0" applyNumberFormat="1" applyFont="1" applyFill="1" applyBorder="1" applyAlignment="1">
      <alignment horizontal="right" vertical="center" indent="2"/>
    </xf>
    <xf numFmtId="3" fontId="82" fillId="52" borderId="36" xfId="0" applyNumberFormat="1" applyFont="1" applyFill="1" applyBorder="1" applyAlignment="1">
      <alignment horizontal="right" vertical="center"/>
    </xf>
    <xf numFmtId="0" fontId="82" fillId="52" borderId="36" xfId="0" applyFont="1" applyFill="1" applyBorder="1" applyAlignment="1">
      <alignment horizontal="right" vertical="center"/>
    </xf>
    <xf numFmtId="3" fontId="82" fillId="52" borderId="38" xfId="0" applyNumberFormat="1" applyFont="1" applyFill="1" applyBorder="1" applyAlignment="1">
      <alignment horizontal="right" vertical="center" indent="2"/>
    </xf>
    <xf numFmtId="0" fontId="82" fillId="52" borderId="36" xfId="0" applyFont="1" applyFill="1" applyBorder="1" applyAlignment="1">
      <alignment horizontal="left" vertical="center" wrapText="1"/>
    </xf>
    <xf numFmtId="3" fontId="82" fillId="54" borderId="36" xfId="0" applyNumberFormat="1" applyFont="1" applyFill="1" applyBorder="1" applyAlignment="1">
      <alignment horizontal="right" vertical="center" indent="2"/>
    </xf>
    <xf numFmtId="3" fontId="82" fillId="54" borderId="36" xfId="0" applyNumberFormat="1" applyFont="1" applyFill="1" applyBorder="1" applyAlignment="1">
      <alignment horizontal="right" vertical="center"/>
    </xf>
    <xf numFmtId="0" fontId="82" fillId="54" borderId="36" xfId="0" applyFont="1" applyFill="1" applyBorder="1" applyAlignment="1">
      <alignment horizontal="right" vertical="center"/>
    </xf>
    <xf numFmtId="0" fontId="0" fillId="49" borderId="0" xfId="0" applyFill="1" applyAlignment="1">
      <alignment horizontal="right"/>
    </xf>
    <xf numFmtId="0" fontId="82" fillId="50" borderId="36" xfId="0" applyFont="1" applyFill="1" applyBorder="1" applyAlignment="1">
      <alignment horizontal="right" vertical="center"/>
    </xf>
    <xf numFmtId="6" fontId="82" fillId="55" borderId="38" xfId="0" applyNumberFormat="1" applyFont="1" applyFill="1" applyBorder="1" applyAlignment="1">
      <alignment horizontal="right" vertical="center" indent="2"/>
    </xf>
    <xf numFmtId="3" fontId="82" fillId="55" borderId="36" xfId="0" applyNumberFormat="1" applyFont="1" applyFill="1" applyBorder="1" applyAlignment="1">
      <alignment horizontal="right" vertical="center" indent="2"/>
    </xf>
    <xf numFmtId="3" fontId="82" fillId="55" borderId="36" xfId="0" applyNumberFormat="1" applyFont="1" applyFill="1" applyBorder="1" applyAlignment="1">
      <alignment horizontal="right" vertical="center"/>
    </xf>
    <xf numFmtId="3" fontId="82" fillId="2" borderId="38" xfId="0" applyNumberFormat="1" applyFont="1" applyFill="1" applyBorder="1" applyAlignment="1">
      <alignment horizontal="right" vertical="center" indent="2"/>
    </xf>
    <xf numFmtId="0" fontId="82" fillId="2" borderId="36" xfId="0" applyFont="1" applyFill="1" applyBorder="1" applyAlignment="1">
      <alignment horizontal="left" vertical="center" wrapText="1"/>
    </xf>
    <xf numFmtId="6" fontId="82" fillId="50" borderId="38" xfId="0" applyNumberFormat="1" applyFont="1" applyFill="1" applyBorder="1" applyAlignment="1">
      <alignment horizontal="right" vertical="center" indent="2"/>
    </xf>
    <xf numFmtId="0" fontId="82" fillId="53" borderId="38" xfId="0" applyFont="1" applyFill="1" applyBorder="1" applyAlignment="1">
      <alignment horizontal="right" vertical="center" indent="2"/>
    </xf>
    <xf numFmtId="0" fontId="82" fillId="53" borderId="36" xfId="0" applyFont="1" applyFill="1" applyBorder="1" applyAlignment="1">
      <alignment horizontal="right" vertical="center"/>
    </xf>
    <xf numFmtId="6" fontId="82" fillId="50" borderId="36" xfId="0" applyNumberFormat="1" applyFont="1" applyFill="1" applyBorder="1" applyAlignment="1">
      <alignment horizontal="right" vertical="center"/>
    </xf>
    <xf numFmtId="6" fontId="82" fillId="53" borderId="36" xfId="0" applyNumberFormat="1" applyFont="1" applyFill="1" applyBorder="1" applyAlignment="1">
      <alignment horizontal="right" vertical="center"/>
    </xf>
    <xf numFmtId="3" fontId="82" fillId="47" borderId="39" xfId="0" applyNumberFormat="1" applyFont="1" applyFill="1" applyBorder="1" applyAlignment="1">
      <alignment horizontal="right" vertical="center" indent="2"/>
    </xf>
    <xf numFmtId="0" fontId="82" fillId="47" borderId="37" xfId="0" applyFont="1" applyFill="1" applyBorder="1" applyAlignment="1">
      <alignment horizontal="left" vertical="center" wrapText="1"/>
    </xf>
    <xf numFmtId="3" fontId="89" fillId="0" borderId="0" xfId="0" applyNumberFormat="1" applyFont="1"/>
    <xf numFmtId="167" fontId="5" fillId="2" borderId="0" xfId="0" applyNumberFormat="1" applyFont="1" applyFill="1" applyAlignment="1">
      <alignment horizontal="right" wrapText="1"/>
    </xf>
    <xf numFmtId="167" fontId="90" fillId="2" borderId="0" xfId="0" applyNumberFormat="1" applyFont="1" applyFill="1"/>
    <xf numFmtId="165" fontId="90" fillId="2" borderId="0" xfId="0" applyNumberFormat="1" applyFont="1" applyFill="1"/>
    <xf numFmtId="165" fontId="90" fillId="2" borderId="0" xfId="0" applyNumberFormat="1" applyFont="1" applyFill="1" applyAlignment="1">
      <alignment horizontal="left"/>
    </xf>
    <xf numFmtId="167" fontId="91" fillId="2" borderId="0" xfId="0" applyNumberFormat="1" applyFont="1" applyFill="1"/>
    <xf numFmtId="169" fontId="63" fillId="2" borderId="0" xfId="3" applyNumberFormat="1" applyFont="1" applyFill="1" applyAlignment="1">
      <alignment horizontal="center" vertical="center" wrapText="1"/>
    </xf>
    <xf numFmtId="0" fontId="63" fillId="2" borderId="0" xfId="0" applyFont="1" applyFill="1" applyAlignment="1">
      <alignment horizontal="center" vertical="center" wrapText="1"/>
    </xf>
    <xf numFmtId="169" fontId="64" fillId="2" borderId="0" xfId="3" applyNumberFormat="1" applyFont="1" applyFill="1" applyAlignment="1">
      <alignment horizontal="center" vertical="center" wrapText="1"/>
    </xf>
    <xf numFmtId="0" fontId="63" fillId="2" borderId="2" xfId="0" applyFont="1" applyFill="1" applyBorder="1" applyAlignment="1">
      <alignment vertical="top" wrapText="1"/>
    </xf>
    <xf numFmtId="0" fontId="64" fillId="2" borderId="0" xfId="0" applyFont="1" applyFill="1" applyAlignment="1">
      <alignment horizontal="center" vertical="center" wrapText="1"/>
    </xf>
    <xf numFmtId="169" fontId="63" fillId="2" borderId="2" xfId="3" applyNumberFormat="1" applyFont="1" applyFill="1" applyBorder="1" applyAlignment="1">
      <alignment horizontal="center" vertical="top" wrapText="1"/>
    </xf>
    <xf numFmtId="169" fontId="64" fillId="2" borderId="0" xfId="3" applyNumberFormat="1" applyFont="1" applyFill="1" applyAlignment="1">
      <alignment horizontal="center" vertical="top" wrapText="1"/>
    </xf>
    <xf numFmtId="169" fontId="0" fillId="2" borderId="0" xfId="3" applyNumberFormat="1" applyFont="1" applyFill="1" applyAlignment="1">
      <alignment horizontal="center"/>
    </xf>
    <xf numFmtId="0" fontId="0" fillId="2" borderId="0" xfId="0" applyFill="1" applyAlignment="1">
      <alignment horizontal="center"/>
    </xf>
    <xf numFmtId="0" fontId="63" fillId="2" borderId="2" xfId="0" applyFont="1" applyFill="1" applyBorder="1" applyAlignment="1">
      <alignment horizontal="center" vertical="top" wrapText="1"/>
    </xf>
    <xf numFmtId="169" fontId="64" fillId="2" borderId="0" xfId="0" applyNumberFormat="1" applyFont="1" applyFill="1" applyAlignment="1">
      <alignment horizontal="center" vertical="top" wrapText="1"/>
    </xf>
    <xf numFmtId="180" fontId="64" fillId="2" borderId="0" xfId="0" applyNumberFormat="1" applyFont="1" applyFill="1" applyAlignment="1">
      <alignment horizontal="center" vertical="top" wrapText="1"/>
    </xf>
    <xf numFmtId="0" fontId="64" fillId="2" borderId="0" xfId="0" applyFont="1" applyFill="1" applyAlignment="1">
      <alignment vertical="top"/>
    </xf>
    <xf numFmtId="169" fontId="80" fillId="2" borderId="0" xfId="3" applyNumberFormat="1" applyFont="1" applyFill="1" applyAlignment="1">
      <alignment horizontal="center" vertical="top" wrapText="1"/>
    </xf>
    <xf numFmtId="169" fontId="80" fillId="2" borderId="0" xfId="0" applyNumberFormat="1" applyFont="1" applyFill="1" applyAlignment="1">
      <alignment horizontal="center" vertical="top" wrapText="1"/>
    </xf>
    <xf numFmtId="0" fontId="92" fillId="2" borderId="0" xfId="0" applyFont="1" applyFill="1"/>
    <xf numFmtId="169" fontId="76" fillId="2" borderId="0" xfId="3" applyNumberFormat="1" applyFont="1" applyFill="1" applyAlignment="1">
      <alignment horizontal="center" vertical="top" wrapText="1"/>
    </xf>
    <xf numFmtId="169" fontId="76" fillId="2" borderId="0" xfId="0" applyNumberFormat="1" applyFont="1" applyFill="1" applyAlignment="1">
      <alignment horizontal="center" vertical="top" wrapText="1"/>
    </xf>
    <xf numFmtId="0" fontId="93" fillId="2" borderId="0" xfId="0" applyFont="1" applyFill="1"/>
    <xf numFmtId="0" fontId="94" fillId="2" borderId="0" xfId="0" applyFont="1" applyFill="1"/>
    <xf numFmtId="165" fontId="95" fillId="2" borderId="4" xfId="0" applyNumberFormat="1" applyFont="1" applyFill="1" applyBorder="1"/>
    <xf numFmtId="165" fontId="95" fillId="2" borderId="4" xfId="0" applyNumberFormat="1" applyFont="1" applyFill="1" applyBorder="1" applyAlignment="1">
      <alignment horizontal="right" wrapText="1"/>
    </xf>
    <xf numFmtId="165" fontId="95" fillId="3" borderId="4" xfId="0" applyNumberFormat="1" applyFont="1" applyFill="1" applyBorder="1" applyAlignment="1">
      <alignment horizontal="right" wrapText="1"/>
    </xf>
    <xf numFmtId="3" fontId="94" fillId="2" borderId="0" xfId="0" applyNumberFormat="1" applyFont="1" applyFill="1"/>
    <xf numFmtId="169" fontId="94" fillId="3" borderId="0" xfId="3" applyNumberFormat="1" applyFont="1" applyFill="1"/>
    <xf numFmtId="0" fontId="96" fillId="2" borderId="41" xfId="0" applyFont="1" applyFill="1" applyBorder="1"/>
    <xf numFmtId="165" fontId="95" fillId="2" borderId="0" xfId="0" applyNumberFormat="1" applyFont="1" applyFill="1"/>
    <xf numFmtId="169" fontId="94" fillId="2" borderId="0" xfId="3" applyNumberFormat="1" applyFont="1" applyFill="1"/>
    <xf numFmtId="0" fontId="94" fillId="3" borderId="0" xfId="0" applyFont="1" applyFill="1"/>
    <xf numFmtId="0" fontId="97" fillId="2" borderId="0" xfId="0" applyFont="1" applyFill="1"/>
    <xf numFmtId="0" fontId="98" fillId="2" borderId="0" xfId="0" applyFont="1" applyFill="1"/>
    <xf numFmtId="165" fontId="99" fillId="2" borderId="4" xfId="0" applyNumberFormat="1" applyFont="1" applyFill="1" applyBorder="1"/>
    <xf numFmtId="165" fontId="66" fillId="2" borderId="4" xfId="0" applyNumberFormat="1" applyFont="1" applyFill="1" applyBorder="1"/>
    <xf numFmtId="165" fontId="66" fillId="2" borderId="0" xfId="0" applyNumberFormat="1" applyFont="1" applyFill="1"/>
    <xf numFmtId="0" fontId="100" fillId="4" borderId="0" xfId="3" applyNumberFormat="1" applyFont="1" applyFill="1" applyAlignment="1">
      <alignment horizontal="center"/>
    </xf>
    <xf numFmtId="0" fontId="66" fillId="2" borderId="0" xfId="3" applyNumberFormat="1" applyFont="1" applyFill="1" applyAlignment="1">
      <alignment horizontal="center"/>
    </xf>
    <xf numFmtId="165" fontId="66" fillId="2" borderId="2" xfId="0" applyNumberFormat="1" applyFont="1" applyFill="1" applyBorder="1"/>
    <xf numFmtId="165" fontId="66" fillId="2" borderId="19" xfId="0" applyNumberFormat="1" applyFont="1" applyFill="1" applyBorder="1"/>
    <xf numFmtId="168" fontId="66" fillId="2" borderId="0" xfId="2" applyNumberFormat="1" applyFont="1" applyFill="1"/>
    <xf numFmtId="10" fontId="66" fillId="2" borderId="0" xfId="2" applyNumberFormat="1" applyFont="1" applyFill="1"/>
    <xf numFmtId="10" fontId="66" fillId="2" borderId="21" xfId="2" applyNumberFormat="1" applyFont="1" applyFill="1" applyBorder="1"/>
    <xf numFmtId="10" fontId="66" fillId="2" borderId="22" xfId="2" applyNumberFormat="1" applyFont="1" applyFill="1" applyBorder="1"/>
    <xf numFmtId="10" fontId="66" fillId="2" borderId="23" xfId="2" applyNumberFormat="1" applyFont="1" applyFill="1" applyBorder="1"/>
    <xf numFmtId="165" fontId="66" fillId="2" borderId="0" xfId="0" applyNumberFormat="1" applyFont="1" applyFill="1" applyAlignment="1">
      <alignment horizontal="left" indent="1"/>
    </xf>
    <xf numFmtId="168" fontId="66" fillId="3" borderId="0" xfId="2" applyNumberFormat="1" applyFont="1" applyFill="1"/>
    <xf numFmtId="9" fontId="66" fillId="2" borderId="0" xfId="2" applyFont="1" applyFill="1"/>
    <xf numFmtId="3" fontId="96" fillId="2" borderId="41" xfId="0" applyNumberFormat="1" applyFont="1" applyFill="1" applyBorder="1"/>
    <xf numFmtId="169" fontId="96" fillId="3" borderId="41" xfId="3" applyNumberFormat="1" applyFont="1" applyFill="1" applyBorder="1"/>
    <xf numFmtId="0" fontId="101" fillId="2" borderId="0" xfId="0" applyFont="1" applyFill="1"/>
    <xf numFmtId="0" fontId="102" fillId="2" borderId="0" xfId="0" applyFont="1" applyFill="1"/>
    <xf numFmtId="0" fontId="96" fillId="2" borderId="42" xfId="0" applyFont="1" applyFill="1" applyBorder="1"/>
    <xf numFmtId="0" fontId="96" fillId="3" borderId="42" xfId="0" applyFont="1" applyFill="1" applyBorder="1"/>
    <xf numFmtId="168" fontId="66" fillId="2" borderId="0" xfId="2" applyNumberFormat="1" applyFont="1" applyFill="1" applyBorder="1"/>
    <xf numFmtId="10" fontId="66" fillId="2" borderId="0" xfId="2" applyNumberFormat="1" applyFont="1" applyFill="1" applyBorder="1"/>
    <xf numFmtId="168" fontId="1" fillId="2" borderId="0" xfId="2" applyNumberFormat="1" applyFont="1" applyFill="1" applyBorder="1"/>
    <xf numFmtId="169" fontId="64" fillId="47" borderId="0" xfId="3" applyNumberFormat="1" applyFont="1" applyFill="1" applyAlignment="1">
      <alignment horizontal="center" vertical="top" wrapText="1"/>
    </xf>
    <xf numFmtId="169" fontId="64" fillId="47" borderId="0" xfId="0" applyNumberFormat="1" applyFont="1" applyFill="1" applyAlignment="1">
      <alignment horizontal="center" vertical="top" wrapText="1"/>
    </xf>
    <xf numFmtId="166" fontId="1" fillId="3" borderId="0" xfId="0" applyNumberFormat="1" applyFont="1" applyFill="1"/>
    <xf numFmtId="186" fontId="5" fillId="3" borderId="19" xfId="3" applyNumberFormat="1" applyFont="1" applyFill="1" applyBorder="1"/>
    <xf numFmtId="186" fontId="5" fillId="3" borderId="0" xfId="3" applyNumberFormat="1" applyFont="1" applyFill="1" applyBorder="1"/>
    <xf numFmtId="166" fontId="5" fillId="2" borderId="19" xfId="0" applyNumberFormat="1" applyFont="1" applyFill="1" applyBorder="1"/>
    <xf numFmtId="166" fontId="5" fillId="3" borderId="19" xfId="0" applyNumberFormat="1" applyFont="1" applyFill="1" applyBorder="1"/>
    <xf numFmtId="169" fontId="3" fillId="3" borderId="0" xfId="3" applyNumberFormat="1" applyFont="1" applyFill="1"/>
    <xf numFmtId="167" fontId="103" fillId="3" borderId="0" xfId="0" applyNumberFormat="1" applyFont="1" applyFill="1"/>
    <xf numFmtId="165" fontId="91" fillId="2" borderId="0" xfId="0" applyNumberFormat="1" applyFont="1" applyFill="1"/>
    <xf numFmtId="165" fontId="104" fillId="2" borderId="4" xfId="0" applyNumberFormat="1" applyFont="1" applyFill="1" applyBorder="1" applyAlignment="1">
      <alignment wrapText="1"/>
    </xf>
    <xf numFmtId="10" fontId="91" fillId="2" borderId="0" xfId="2" applyNumberFormat="1" applyFont="1" applyFill="1"/>
    <xf numFmtId="184" fontId="91" fillId="2" borderId="0" xfId="0" applyNumberFormat="1" applyFont="1" applyFill="1"/>
    <xf numFmtId="165" fontId="104" fillId="2" borderId="0" xfId="0" applyNumberFormat="1" applyFont="1" applyFill="1" applyAlignment="1">
      <alignment wrapText="1"/>
    </xf>
    <xf numFmtId="165" fontId="105" fillId="2" borderId="0" xfId="0" applyNumberFormat="1" applyFont="1" applyFill="1"/>
    <xf numFmtId="165" fontId="106" fillId="2" borderId="4" xfId="0" applyNumberFormat="1" applyFont="1" applyFill="1" applyBorder="1"/>
    <xf numFmtId="0" fontId="107" fillId="2" borderId="0" xfId="0" applyFont="1" applyFill="1"/>
    <xf numFmtId="10" fontId="107" fillId="2" borderId="0" xfId="2" applyNumberFormat="1" applyFont="1" applyFill="1"/>
    <xf numFmtId="0" fontId="108" fillId="2" borderId="0" xfId="0" applyFont="1" applyFill="1"/>
    <xf numFmtId="165" fontId="91" fillId="2" borderId="0" xfId="0" applyNumberFormat="1" applyFont="1" applyFill="1" applyAlignment="1">
      <alignment horizontal="left" indent="1"/>
    </xf>
    <xf numFmtId="165" fontId="91" fillId="2" borderId="0" xfId="0" applyNumberFormat="1" applyFont="1" applyFill="1" applyAlignment="1">
      <alignment vertical="center"/>
    </xf>
    <xf numFmtId="166" fontId="9" fillId="2" borderId="0" xfId="0" applyNumberFormat="1" applyFont="1" applyFill="1"/>
    <xf numFmtId="165" fontId="9" fillId="2" borderId="0" xfId="0" applyNumberFormat="1" applyFont="1" applyFill="1"/>
    <xf numFmtId="0" fontId="8" fillId="4" borderId="0" xfId="0" applyFont="1" applyFill="1" applyAlignment="1">
      <alignment horizontal="center"/>
    </xf>
    <xf numFmtId="166" fontId="91" fillId="2" borderId="0" xfId="0" applyNumberFormat="1" applyFont="1" applyFill="1"/>
    <xf numFmtId="0" fontId="109" fillId="2" borderId="0" xfId="0" applyFont="1" applyFill="1"/>
    <xf numFmtId="0" fontId="110" fillId="2" borderId="0" xfId="0" applyFont="1" applyFill="1"/>
    <xf numFmtId="0" fontId="111" fillId="2" borderId="0" xfId="165" applyFont="1" applyFill="1"/>
    <xf numFmtId="189" fontId="0" fillId="2" borderId="0" xfId="2" applyNumberFormat="1" applyFont="1" applyFill="1"/>
    <xf numFmtId="189" fontId="0" fillId="2" borderId="0" xfId="0" applyNumberFormat="1" applyFill="1"/>
    <xf numFmtId="0" fontId="81" fillId="51" borderId="31" xfId="0" applyFont="1" applyFill="1" applyBorder="1" applyAlignment="1">
      <alignment horizontal="center" vertical="center" wrapText="1"/>
    </xf>
    <xf numFmtId="0" fontId="63" fillId="0" borderId="0" xfId="0" applyFont="1" applyAlignment="1">
      <alignment horizontal="center" vertical="center" wrapText="1"/>
    </xf>
    <xf numFmtId="0" fontId="0" fillId="0" borderId="0" xfId="0"/>
    <xf numFmtId="0" fontId="81" fillId="51" borderId="35" xfId="0" applyFont="1" applyFill="1" applyBorder="1" applyAlignment="1">
      <alignment horizontal="center" vertical="center" wrapText="1"/>
    </xf>
    <xf numFmtId="0" fontId="81" fillId="51" borderId="36" xfId="0" applyFont="1" applyFill="1" applyBorder="1" applyAlignment="1">
      <alignment horizontal="center" vertical="center" wrapText="1"/>
    </xf>
    <xf numFmtId="0" fontId="81" fillId="51" borderId="40" xfId="0" applyFont="1" applyFill="1" applyBorder="1" applyAlignment="1">
      <alignment horizontal="center" vertical="center" wrapText="1"/>
    </xf>
    <xf numFmtId="0" fontId="81" fillId="51" borderId="38" xfId="0" applyFont="1" applyFill="1" applyBorder="1" applyAlignment="1">
      <alignment horizontal="center" vertical="center" wrapText="1"/>
    </xf>
    <xf numFmtId="0" fontId="63" fillId="2" borderId="0" xfId="0" applyFont="1" applyFill="1" applyAlignment="1">
      <alignment horizontal="center" vertical="center" wrapText="1"/>
    </xf>
    <xf numFmtId="0" fontId="0" fillId="2" borderId="0" xfId="0" applyFill="1"/>
    <xf numFmtId="0" fontId="0" fillId="0" borderId="30" xfId="0" applyBorder="1" applyAlignment="1">
      <alignment vertical="top" wrapText="1"/>
    </xf>
    <xf numFmtId="0" fontId="0" fillId="0" borderId="0" xfId="0" applyAlignment="1">
      <alignment vertical="top" wrapText="1"/>
    </xf>
    <xf numFmtId="169" fontId="81" fillId="51" borderId="35" xfId="3" applyNumberFormat="1" applyFont="1" applyFill="1" applyBorder="1" applyAlignment="1">
      <alignment vertical="center" wrapText="1"/>
    </xf>
    <xf numFmtId="169" fontId="81" fillId="51" borderId="36" xfId="3" applyNumberFormat="1" applyFont="1" applyFill="1" applyBorder="1" applyAlignment="1">
      <alignment vertical="center" wrapText="1"/>
    </xf>
    <xf numFmtId="169" fontId="81" fillId="51" borderId="40" xfId="3" applyNumberFormat="1" applyFont="1" applyFill="1" applyBorder="1" applyAlignment="1">
      <alignment vertical="center" wrapText="1"/>
    </xf>
    <xf numFmtId="169" fontId="81" fillId="51" borderId="38" xfId="3" applyNumberFormat="1" applyFont="1" applyFill="1" applyBorder="1" applyAlignment="1">
      <alignment vertical="center" wrapText="1"/>
    </xf>
    <xf numFmtId="169" fontId="81" fillId="51" borderId="31" xfId="3" applyNumberFormat="1" applyFont="1" applyFill="1" applyBorder="1" applyAlignment="1">
      <alignment vertical="center" wrapText="1"/>
    </xf>
    <xf numFmtId="169" fontId="81" fillId="51" borderId="33" xfId="3" applyNumberFormat="1" applyFont="1" applyFill="1" applyBorder="1" applyAlignment="1">
      <alignment vertical="center" wrapText="1"/>
    </xf>
    <xf numFmtId="0" fontId="81" fillId="51" borderId="33" xfId="0" applyFont="1" applyFill="1" applyBorder="1" applyAlignment="1">
      <alignment horizontal="center" vertical="center" wrapText="1"/>
    </xf>
  </cellXfs>
  <cellStyles count="167">
    <cellStyle name="%" xfId="135" xr:uid="{00000000-0005-0000-0000-000000000000}"/>
    <cellStyle name="_x0002_._x0011__x0002_._x001b__x0002_ _x0015_%_x0018__x0001_" xfId="5" xr:uid="{00000000-0005-0000-0000-000001000000}"/>
    <cellStyle name="_060510 Goal Setting CNV" xfId="6" xr:uid="{00000000-0005-0000-0000-000002000000}"/>
    <cellStyle name="_2008-08-18 WC SRL" xfId="7" xr:uid="{00000000-0005-0000-0000-000003000000}"/>
    <cellStyle name="_2008-10-06 Goodwill Test KPMG incl PL 19 (2)" xfId="8" xr:uid="{00000000-0005-0000-0000-000004000000}"/>
    <cellStyle name="_2008-10-06 Goodwill Test KPMG incl PL 19 (3)" xfId="9" xr:uid="{00000000-0005-0000-0000-000005000000}"/>
    <cellStyle name="_2009-03-17 Version für 53-19" xfId="10" xr:uid="{00000000-0005-0000-0000-000006000000}"/>
    <cellStyle name="_Access Bluebook 2007 DCL V7" xfId="11" xr:uid="{00000000-0005-0000-0000-000007000000}"/>
    <cellStyle name="_AL_cost_outlook_070405_Bluebook2007" xfId="12" xr:uid="{00000000-0005-0000-0000-000008000000}"/>
    <cellStyle name="_BB_08_BG_COM" xfId="13" xr:uid="{00000000-0005-0000-0000-000009000000}"/>
    <cellStyle name="_Bluebook-2005-PL-Projections-COM-SR2" xfId="14" xr:uid="{00000000-0005-0000-0000-00000A000000}"/>
    <cellStyle name="_COM Cash Flow Bluebook 2008" xfId="15" xr:uid="{00000000-0005-0000-0000-00000B000000}"/>
    <cellStyle name="_Cordless_Bizcase_070524" xfId="16" xr:uid="{00000000-0005-0000-0000-00000C000000}"/>
    <cellStyle name="_Cordless_Bizcase_Bluebook (2)" xfId="17" xr:uid="{00000000-0005-0000-0000-00000D000000}"/>
    <cellStyle name="_Cordless_Bizcase_Master" xfId="18" xr:uid="{00000000-0005-0000-0000-00000E000000}"/>
    <cellStyle name="_Data" xfId="19" xr:uid="{00000000-0005-0000-0000-00000F000000}"/>
    <cellStyle name="_Foundry Wafer Price Database - BU" xfId="20" xr:uid="{00000000-0005-0000-0000-000010000000}"/>
    <cellStyle name="_Segment_DCL_FRFC_2007_03" xfId="21" xr:uid="{00000000-0005-0000-0000-000011000000}"/>
    <cellStyle name="_SR_CSP_Segments" xfId="22" xr:uid="{00000000-0005-0000-0000-000012000000}"/>
    <cellStyle name="_Wireless_MPP_FRFC0810_V3" xfId="23" xr:uid="{00000000-0005-0000-0000-000013000000}"/>
    <cellStyle name="_WLS_MPP_BB2008_vs_VRFC0904_bw (2)" xfId="24" xr:uid="{00000000-0005-0000-0000-000014000000}"/>
    <cellStyle name="0,0_x000d__x000a_NA_x000d__x000a_" xfId="25" xr:uid="{00000000-0005-0000-0000-000015000000}"/>
    <cellStyle name="20% - Accent1 2" xfId="26" xr:uid="{00000000-0005-0000-0000-000016000000}"/>
    <cellStyle name="20% - Accent2 2" xfId="27" xr:uid="{00000000-0005-0000-0000-000017000000}"/>
    <cellStyle name="20% - Accent3 2" xfId="28" xr:uid="{00000000-0005-0000-0000-000018000000}"/>
    <cellStyle name="20% - Accent4 2" xfId="29" xr:uid="{00000000-0005-0000-0000-000019000000}"/>
    <cellStyle name="20% - Accent5 2" xfId="30" xr:uid="{00000000-0005-0000-0000-00001A000000}"/>
    <cellStyle name="20% - Accent6 2" xfId="31" xr:uid="{00000000-0005-0000-0000-00001B000000}"/>
    <cellStyle name="40% - Accent1 2" xfId="32" xr:uid="{00000000-0005-0000-0000-00001C000000}"/>
    <cellStyle name="40% - Accent2 2" xfId="33" xr:uid="{00000000-0005-0000-0000-00001D000000}"/>
    <cellStyle name="40% - Accent3 2" xfId="34" xr:uid="{00000000-0005-0000-0000-00001E000000}"/>
    <cellStyle name="40% - Accent4 2" xfId="35" xr:uid="{00000000-0005-0000-0000-00001F000000}"/>
    <cellStyle name="40% - Accent5 2" xfId="36" xr:uid="{00000000-0005-0000-0000-000020000000}"/>
    <cellStyle name="40% - Accent6 2" xfId="37" xr:uid="{00000000-0005-0000-0000-000021000000}"/>
    <cellStyle name="60% - Accent1 2" xfId="38" xr:uid="{00000000-0005-0000-0000-000022000000}"/>
    <cellStyle name="60% - Accent2 2" xfId="39" xr:uid="{00000000-0005-0000-0000-000023000000}"/>
    <cellStyle name="60% - Accent3 2" xfId="40" xr:uid="{00000000-0005-0000-0000-000024000000}"/>
    <cellStyle name="60% - Accent4 2" xfId="41" xr:uid="{00000000-0005-0000-0000-000025000000}"/>
    <cellStyle name="60% - Accent5 2" xfId="42" xr:uid="{00000000-0005-0000-0000-000026000000}"/>
    <cellStyle name="60% - Accent6 2" xfId="43" xr:uid="{00000000-0005-0000-0000-000027000000}"/>
    <cellStyle name="Accent1 2" xfId="44" xr:uid="{00000000-0005-0000-0000-000028000000}"/>
    <cellStyle name="Accent2 2" xfId="45" xr:uid="{00000000-0005-0000-0000-000029000000}"/>
    <cellStyle name="Accent3 2" xfId="46" xr:uid="{00000000-0005-0000-0000-00002A000000}"/>
    <cellStyle name="Accent4 2" xfId="47" xr:uid="{00000000-0005-0000-0000-00002B000000}"/>
    <cellStyle name="Accent5 2" xfId="48" xr:uid="{00000000-0005-0000-0000-00002C000000}"/>
    <cellStyle name="Accent6 2" xfId="49" xr:uid="{00000000-0005-0000-0000-00002D000000}"/>
    <cellStyle name="AFE" xfId="50" xr:uid="{00000000-0005-0000-0000-00002E000000}"/>
    <cellStyle name="AFE 2" xfId="133" xr:uid="{00000000-0005-0000-0000-00002F000000}"/>
    <cellStyle name="Bad 2" xfId="51" xr:uid="{00000000-0005-0000-0000-000030000000}"/>
    <cellStyle name="Calculation 2" xfId="52" xr:uid="{00000000-0005-0000-0000-000031000000}"/>
    <cellStyle name="Check Cell 2" xfId="53" xr:uid="{00000000-0005-0000-0000-000032000000}"/>
    <cellStyle name="Comma" xfId="3" builtinId="3"/>
    <cellStyle name="Comma 2" xfId="154" xr:uid="{00000000-0005-0000-0000-000034000000}"/>
    <cellStyle name="Currency" xfId="166" builtinId="4"/>
    <cellStyle name="Detail" xfId="54" xr:uid="{00000000-0005-0000-0000-000035000000}"/>
    <cellStyle name="Euro" xfId="55" xr:uid="{00000000-0005-0000-0000-000036000000}"/>
    <cellStyle name="Explanatory Text 2" xfId="56" xr:uid="{00000000-0005-0000-0000-000037000000}"/>
    <cellStyle name="EY Narrative text" xfId="148" xr:uid="{00000000-0005-0000-0000-000038000000}"/>
    <cellStyle name="EY0dp" xfId="146" xr:uid="{00000000-0005-0000-0000-000039000000}"/>
    <cellStyle name="EY1dp" xfId="147" xr:uid="{00000000-0005-0000-0000-00003A000000}"/>
    <cellStyle name="EYChartTitle" xfId="141" xr:uid="{00000000-0005-0000-0000-00003B000000}"/>
    <cellStyle name="EYColumnHeading" xfId="144" xr:uid="{00000000-0005-0000-0000-00003C000000}"/>
    <cellStyle name="EYCurrency" xfId="143" xr:uid="{00000000-0005-0000-0000-00003D000000}"/>
    <cellStyle name="EYnumber" xfId="142" xr:uid="{00000000-0005-0000-0000-00003E000000}"/>
    <cellStyle name="EYSectionHeading" xfId="138" xr:uid="{00000000-0005-0000-0000-00003F000000}"/>
    <cellStyle name="EYSheetHeading" xfId="140" xr:uid="{00000000-0005-0000-0000-000040000000}"/>
    <cellStyle name="EYsmallheading" xfId="139" xr:uid="{00000000-0005-0000-0000-000041000000}"/>
    <cellStyle name="EYSource" xfId="149" xr:uid="{00000000-0005-0000-0000-000042000000}"/>
    <cellStyle name="EYtext" xfId="145" xr:uid="{00000000-0005-0000-0000-000043000000}"/>
    <cellStyle name="Good 2" xfId="57" xr:uid="{00000000-0005-0000-0000-000044000000}"/>
    <cellStyle name="Grey" xfId="58" xr:uid="{00000000-0005-0000-0000-000045000000}"/>
    <cellStyle name="Heading 1 2" xfId="59" xr:uid="{00000000-0005-0000-0000-000046000000}"/>
    <cellStyle name="Heading 2 2" xfId="60" xr:uid="{00000000-0005-0000-0000-000047000000}"/>
    <cellStyle name="Heading 3 2" xfId="61" xr:uid="{00000000-0005-0000-0000-000048000000}"/>
    <cellStyle name="Heading 4 2" xfId="62" xr:uid="{00000000-0005-0000-0000-000049000000}"/>
    <cellStyle name="Hyperlink" xfId="165" builtinId="8"/>
    <cellStyle name="Input [yellow]" xfId="64" xr:uid="{00000000-0005-0000-0000-00004B000000}"/>
    <cellStyle name="Input 2" xfId="63" xr:uid="{00000000-0005-0000-0000-00004C000000}"/>
    <cellStyle name="Linked Cell 2" xfId="65" xr:uid="{00000000-0005-0000-0000-00004D000000}"/>
    <cellStyle name="meny_33-34" xfId="66" xr:uid="{00000000-0005-0000-0000-00004E000000}"/>
    <cellStyle name="Milliers [0]_foxz" xfId="67" xr:uid="{00000000-0005-0000-0000-00004F000000}"/>
    <cellStyle name="Milliers_foxz" xfId="68" xr:uid="{00000000-0005-0000-0000-000050000000}"/>
    <cellStyle name="Monétaire [0]_foxz" xfId="69" xr:uid="{00000000-0005-0000-0000-000051000000}"/>
    <cellStyle name="Monétaire_foxz" xfId="70" xr:uid="{00000000-0005-0000-0000-000052000000}"/>
    <cellStyle name="Neutral 2" xfId="71" xr:uid="{00000000-0005-0000-0000-000053000000}"/>
    <cellStyle name="Normal" xfId="0" builtinId="0"/>
    <cellStyle name="Normal - Style1" xfId="72" xr:uid="{00000000-0005-0000-0000-000055000000}"/>
    <cellStyle name="Normal 2" xfId="150" xr:uid="{00000000-0005-0000-0000-000056000000}"/>
    <cellStyle name="Normal 2 2" xfId="152" xr:uid="{00000000-0005-0000-0000-000057000000}"/>
    <cellStyle name="Normal 3" xfId="151" xr:uid="{00000000-0005-0000-0000-000058000000}"/>
    <cellStyle name="Normal 4" xfId="153" xr:uid="{00000000-0005-0000-0000-000059000000}"/>
    <cellStyle name="Normal 5" xfId="4" xr:uid="{00000000-0005-0000-0000-00005A000000}"/>
    <cellStyle name="normální_33-34" xfId="73" xr:uid="{00000000-0005-0000-0000-00005C000000}"/>
    <cellStyle name="Note 2" xfId="74" xr:uid="{00000000-0005-0000-0000-00005D000000}"/>
    <cellStyle name="Œ…‹æØ‚è [0.00]_laroux" xfId="75" xr:uid="{00000000-0005-0000-0000-00005E000000}"/>
    <cellStyle name="Œ…‹æØ‚è_laroux" xfId="76" xr:uid="{00000000-0005-0000-0000-00005F000000}"/>
    <cellStyle name="Output 2" xfId="77" xr:uid="{00000000-0005-0000-0000-000060000000}"/>
    <cellStyle name="Percent" xfId="2" builtinId="5"/>
    <cellStyle name="Percent [2]" xfId="79" xr:uid="{00000000-0005-0000-0000-000062000000}"/>
    <cellStyle name="Percent 2" xfId="155" xr:uid="{00000000-0005-0000-0000-000063000000}"/>
    <cellStyle name="Percent 3" xfId="78" xr:uid="{00000000-0005-0000-0000-000064000000}"/>
    <cellStyle name="Percent 5" xfId="80" xr:uid="{00000000-0005-0000-0000-000065000000}"/>
    <cellStyle name="Prozent 2" xfId="134" xr:uid="{00000000-0005-0000-0000-000066000000}"/>
    <cellStyle name="PSChar" xfId="81" xr:uid="{00000000-0005-0000-0000-000067000000}"/>
    <cellStyle name="PSDate" xfId="82" xr:uid="{00000000-0005-0000-0000-000068000000}"/>
    <cellStyle name="PSDec" xfId="83" xr:uid="{00000000-0005-0000-0000-000069000000}"/>
    <cellStyle name="PSHeading" xfId="84" xr:uid="{00000000-0005-0000-0000-00006A000000}"/>
    <cellStyle name="PSInt" xfId="85" xr:uid="{00000000-0005-0000-0000-00006B000000}"/>
    <cellStyle name="PSSpacer" xfId="86" xr:uid="{00000000-0005-0000-0000-00006C000000}"/>
    <cellStyle name="Revenue" xfId="87" xr:uid="{00000000-0005-0000-0000-00006D000000}"/>
    <cellStyle name="SAPBEXaggData" xfId="88" xr:uid="{00000000-0005-0000-0000-00006E000000}"/>
    <cellStyle name="SAPBEXaggDataEmph" xfId="89" xr:uid="{00000000-0005-0000-0000-00006F000000}"/>
    <cellStyle name="SAPBEXaggItem" xfId="90" xr:uid="{00000000-0005-0000-0000-000070000000}"/>
    <cellStyle name="SAPBEXaggItemX" xfId="91" xr:uid="{00000000-0005-0000-0000-000071000000}"/>
    <cellStyle name="SAPBEXchaText" xfId="92" xr:uid="{00000000-0005-0000-0000-000072000000}"/>
    <cellStyle name="SAPBEXexcBad7" xfId="93" xr:uid="{00000000-0005-0000-0000-000073000000}"/>
    <cellStyle name="SAPBEXexcBad8" xfId="94" xr:uid="{00000000-0005-0000-0000-000074000000}"/>
    <cellStyle name="SAPBEXexcBad9" xfId="95" xr:uid="{00000000-0005-0000-0000-000075000000}"/>
    <cellStyle name="SAPBEXexcCritical4" xfId="96" xr:uid="{00000000-0005-0000-0000-000076000000}"/>
    <cellStyle name="SAPBEXexcCritical5" xfId="97" xr:uid="{00000000-0005-0000-0000-000077000000}"/>
    <cellStyle name="SAPBEXexcCritical6" xfId="98" xr:uid="{00000000-0005-0000-0000-000078000000}"/>
    <cellStyle name="SAPBEXexcGood1" xfId="99" xr:uid="{00000000-0005-0000-0000-000079000000}"/>
    <cellStyle name="SAPBEXexcGood2" xfId="100" xr:uid="{00000000-0005-0000-0000-00007A000000}"/>
    <cellStyle name="SAPBEXexcGood3" xfId="101" xr:uid="{00000000-0005-0000-0000-00007B000000}"/>
    <cellStyle name="SAPBEXfilterDrill" xfId="102" xr:uid="{00000000-0005-0000-0000-00007C000000}"/>
    <cellStyle name="SAPBEXfilterItem" xfId="103" xr:uid="{00000000-0005-0000-0000-00007D000000}"/>
    <cellStyle name="SAPBEXfilterText" xfId="104" xr:uid="{00000000-0005-0000-0000-00007E000000}"/>
    <cellStyle name="SAPBEXformats" xfId="105" xr:uid="{00000000-0005-0000-0000-00007F000000}"/>
    <cellStyle name="SAPBEXheaderItem" xfId="106" xr:uid="{00000000-0005-0000-0000-000080000000}"/>
    <cellStyle name="SAPBEXheaderText" xfId="107" xr:uid="{00000000-0005-0000-0000-000081000000}"/>
    <cellStyle name="SAPBEXHLevel0" xfId="108" xr:uid="{00000000-0005-0000-0000-000082000000}"/>
    <cellStyle name="SAPBEXHLevel0X" xfId="109" xr:uid="{00000000-0005-0000-0000-000083000000}"/>
    <cellStyle name="SAPBEXHLevel1" xfId="110" xr:uid="{00000000-0005-0000-0000-000084000000}"/>
    <cellStyle name="SAPBEXHLevel1X" xfId="111" xr:uid="{00000000-0005-0000-0000-000085000000}"/>
    <cellStyle name="SAPBEXHLevel2" xfId="112" xr:uid="{00000000-0005-0000-0000-000086000000}"/>
    <cellStyle name="SAPBEXHLevel2X" xfId="113" xr:uid="{00000000-0005-0000-0000-000087000000}"/>
    <cellStyle name="SAPBEXHLevel3" xfId="114" xr:uid="{00000000-0005-0000-0000-000088000000}"/>
    <cellStyle name="SAPBEXHLevel3X" xfId="115" xr:uid="{00000000-0005-0000-0000-000089000000}"/>
    <cellStyle name="SAPBEXresData" xfId="116" xr:uid="{00000000-0005-0000-0000-00008A000000}"/>
    <cellStyle name="SAPBEXresDataEmph" xfId="117" xr:uid="{00000000-0005-0000-0000-00008B000000}"/>
    <cellStyle name="SAPBEXresItem" xfId="118" xr:uid="{00000000-0005-0000-0000-00008C000000}"/>
    <cellStyle name="SAPBEXresItemX" xfId="119" xr:uid="{00000000-0005-0000-0000-00008D000000}"/>
    <cellStyle name="SAPBEXstdData" xfId="120" xr:uid="{00000000-0005-0000-0000-00008E000000}"/>
    <cellStyle name="SAPBEXstdDataEmph" xfId="121" xr:uid="{00000000-0005-0000-0000-00008F000000}"/>
    <cellStyle name="SAPBEXstdItem" xfId="122" xr:uid="{00000000-0005-0000-0000-000090000000}"/>
    <cellStyle name="SAPBEXstdItemX" xfId="123" xr:uid="{00000000-0005-0000-0000-000091000000}"/>
    <cellStyle name="SAPBEXtitle" xfId="124" xr:uid="{00000000-0005-0000-0000-000092000000}"/>
    <cellStyle name="SAPBEXundefined" xfId="125" xr:uid="{00000000-0005-0000-0000-000093000000}"/>
    <cellStyle name="Smart Subtitle 1" xfId="1" xr:uid="{00000000-0005-0000-0000-000094000000}"/>
    <cellStyle name="Standard 2" xfId="132" xr:uid="{00000000-0005-0000-0000-000095000000}"/>
    <cellStyle name="Standard 3" xfId="136" xr:uid="{00000000-0005-0000-0000-000096000000}"/>
    <cellStyle name="Standard 4" xfId="156" xr:uid="{00000000-0005-0000-0000-000097000000}"/>
    <cellStyle name="Stil 1" xfId="131" xr:uid="{00000000-0005-0000-0000-000098000000}"/>
    <cellStyle name="Style 1" xfId="126" xr:uid="{00000000-0005-0000-0000-000099000000}"/>
    <cellStyle name="Tahoma:10:1" xfId="160" xr:uid="{00000000-0005-0000-0000-00009A000000}"/>
    <cellStyle name="Tahoma:10:129" xfId="161" xr:uid="{00000000-0005-0000-0000-00009B000000}"/>
    <cellStyle name="Tahoma:12:1" xfId="157" xr:uid="{00000000-0005-0000-0000-00009C000000}"/>
    <cellStyle name="Tahoma:12:129" xfId="162" xr:uid="{00000000-0005-0000-0000-00009D000000}"/>
    <cellStyle name="Tahoma:8:0" xfId="158" xr:uid="{00000000-0005-0000-0000-00009E000000}"/>
    <cellStyle name="Tahoma:8:1" xfId="159" xr:uid="{00000000-0005-0000-0000-00009F000000}"/>
    <cellStyle name="Tahoma:8:128" xfId="163" xr:uid="{00000000-0005-0000-0000-0000A0000000}"/>
    <cellStyle name="Tahoma:8:129" xfId="164" xr:uid="{00000000-0005-0000-0000-0000A1000000}"/>
    <cellStyle name="Title 2" xfId="127" xr:uid="{00000000-0005-0000-0000-0000A2000000}"/>
    <cellStyle name="Total 2" xfId="128" xr:uid="{00000000-0005-0000-0000-0000A3000000}"/>
    <cellStyle name="Total Row" xfId="129" xr:uid="{00000000-0005-0000-0000-0000A4000000}"/>
    <cellStyle name="TTS" xfId="137" xr:uid="{00000000-0005-0000-0000-0000A5000000}"/>
    <cellStyle name="Warning Text 2" xfId="130" xr:uid="{00000000-0005-0000-0000-0000A6000000}"/>
  </cellStyles>
  <dxfs count="0"/>
  <tableStyles count="0" defaultTableStyle="TableStyleMedium2" defaultPivotStyle="PivotStyleMedium9"/>
  <colors>
    <mruColors>
      <color rgb="FF0033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508000</xdr:colOff>
      <xdr:row>2</xdr:row>
      <xdr:rowOff>84667</xdr:rowOff>
    </xdr:from>
    <xdr:to>
      <xdr:col>28</xdr:col>
      <xdr:colOff>21167</xdr:colOff>
      <xdr:row>31</xdr:row>
      <xdr:rowOff>21167</xdr:rowOff>
    </xdr:to>
    <xdr:pic>
      <xdr:nvPicPr>
        <xdr:cNvPr id="3" name="Picture 2">
          <a:extLst>
            <a:ext uri="{FF2B5EF4-FFF2-40B4-BE49-F238E27FC236}">
              <a16:creationId xmlns:a16="http://schemas.microsoft.com/office/drawing/2014/main" id="{ECE4CDD0-57D0-D97A-060B-DFD21A00348B}"/>
            </a:ext>
          </a:extLst>
        </xdr:cNvPr>
        <xdr:cNvPicPr>
          <a:picLocks noChangeAspect="1"/>
        </xdr:cNvPicPr>
      </xdr:nvPicPr>
      <xdr:blipFill rotWithShape="1">
        <a:blip xmlns:r="http://schemas.openxmlformats.org/officeDocument/2006/relationships" r:embed="rId1"/>
        <a:srcRect l="8852" t="41122" r="23784" b="5828"/>
        <a:stretch/>
      </xdr:blipFill>
      <xdr:spPr>
        <a:xfrm>
          <a:off x="6201833" y="550334"/>
          <a:ext cx="12403667" cy="546100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37041</xdr:colOff>
      <xdr:row>4</xdr:row>
      <xdr:rowOff>0</xdr:rowOff>
    </xdr:from>
    <xdr:to>
      <xdr:col>29</xdr:col>
      <xdr:colOff>111125</xdr:colOff>
      <xdr:row>18</xdr:row>
      <xdr:rowOff>54428</xdr:rowOff>
    </xdr:to>
    <xdr:pic>
      <xdr:nvPicPr>
        <xdr:cNvPr id="2" name="Picture 1">
          <a:extLst>
            <a:ext uri="{FF2B5EF4-FFF2-40B4-BE49-F238E27FC236}">
              <a16:creationId xmlns:a16="http://schemas.microsoft.com/office/drawing/2014/main" id="{DE9CD874-56DA-4357-AF27-2D2AA1216E96}"/>
            </a:ext>
          </a:extLst>
        </xdr:cNvPr>
        <xdr:cNvPicPr>
          <a:picLocks noChangeAspect="1"/>
        </xdr:cNvPicPr>
      </xdr:nvPicPr>
      <xdr:blipFill rotWithShape="1">
        <a:blip xmlns:r="http://schemas.openxmlformats.org/officeDocument/2006/relationships" r:embed="rId1"/>
        <a:srcRect l="7965" t="62559" r="1143" b="12126"/>
        <a:stretch/>
      </xdr:blipFill>
      <xdr:spPr>
        <a:xfrm>
          <a:off x="16365612" y="5705929"/>
          <a:ext cx="11622013" cy="2594428"/>
        </a:xfrm>
        <a:prstGeom prst="rect">
          <a:avLst/>
        </a:prstGeom>
      </xdr:spPr>
    </xdr:pic>
    <xdr:clientData/>
  </xdr:twoCellAnchor>
  <xdr:twoCellAnchor>
    <xdr:from>
      <xdr:col>10</xdr:col>
      <xdr:colOff>0</xdr:colOff>
      <xdr:row>12</xdr:row>
      <xdr:rowOff>93588</xdr:rowOff>
    </xdr:from>
    <xdr:to>
      <xdr:col>29</xdr:col>
      <xdr:colOff>230188</xdr:colOff>
      <xdr:row>13</xdr:row>
      <xdr:rowOff>141213</xdr:rowOff>
    </xdr:to>
    <xdr:sp macro="" textlink="">
      <xdr:nvSpPr>
        <xdr:cNvPr id="3" name="Rectangle 2">
          <a:extLst>
            <a:ext uri="{FF2B5EF4-FFF2-40B4-BE49-F238E27FC236}">
              <a16:creationId xmlns:a16="http://schemas.microsoft.com/office/drawing/2014/main" id="{844A751B-9D90-41D5-A441-7E1B16458CC2}"/>
            </a:ext>
          </a:extLst>
        </xdr:cNvPr>
        <xdr:cNvSpPr/>
      </xdr:nvSpPr>
      <xdr:spPr>
        <a:xfrm>
          <a:off x="16328571" y="7250945"/>
          <a:ext cx="11778117" cy="22905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578765</xdr:colOff>
      <xdr:row>9</xdr:row>
      <xdr:rowOff>109910</xdr:rowOff>
    </xdr:from>
    <xdr:to>
      <xdr:col>29</xdr:col>
      <xdr:colOff>201168</xdr:colOff>
      <xdr:row>10</xdr:row>
      <xdr:rowOff>157535</xdr:rowOff>
    </xdr:to>
    <xdr:sp macro="" textlink="">
      <xdr:nvSpPr>
        <xdr:cNvPr id="4" name="Rectangle 3">
          <a:extLst>
            <a:ext uri="{FF2B5EF4-FFF2-40B4-BE49-F238E27FC236}">
              <a16:creationId xmlns:a16="http://schemas.microsoft.com/office/drawing/2014/main" id="{049861FA-894F-4DED-890B-BF87F55AD737}"/>
            </a:ext>
          </a:extLst>
        </xdr:cNvPr>
        <xdr:cNvSpPr/>
      </xdr:nvSpPr>
      <xdr:spPr>
        <a:xfrm>
          <a:off x="16299551" y="6722981"/>
          <a:ext cx="11778117" cy="22905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ersia\Desktop\Puppy\RiskAssessmenr\CAKE\BasicModel\10Q\Q4_2022.xlsx" TargetMode="External"/><Relationship Id="rId1" Type="http://schemas.openxmlformats.org/officeDocument/2006/relationships/externalLinkPath" Target="10Q/Q4_202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Persia\Desktop\Puppy\RiskAssessmenr\CAKE\BasicModel\10Q\Historical_8Quarters_22-24.xlsx" TargetMode="External"/><Relationship Id="rId1" Type="http://schemas.openxmlformats.org/officeDocument/2006/relationships/externalLinkPath" Target="10Q/Historical_8Quarters_22-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s and Entity Informatio"/>
      <sheetName val="BS"/>
      <sheetName val="CONSOLIDATED BALANCE SHEETS (Pa"/>
      <sheetName val="PL"/>
      <sheetName val="CONSOLIDATED STATEMENTS OF COMP"/>
      <sheetName val="CONSOLIDATED STATEMENTS OF STOC"/>
      <sheetName val="CONSOLIDATED STATEMENTS OF ST_2"/>
      <sheetName val="CONSOLIDATED STATEMENTS OF CASH"/>
      <sheetName val="Summary of Significant Accounti"/>
      <sheetName val="Fair Value Measurements"/>
      <sheetName val="Accounts and Other Receivables"/>
      <sheetName val="Inventories"/>
      <sheetName val="Prepaid Expenses"/>
      <sheetName val="Property and Equipment"/>
      <sheetName val="Other Assets"/>
      <sheetName val="Gift Cards"/>
      <sheetName val="Other Accrued Expenses"/>
      <sheetName val="Long-Term Debt"/>
      <sheetName val="Leases"/>
      <sheetName val="Derivative"/>
      <sheetName val="Other Noncurrent Liabilities"/>
      <sheetName val="Commitments and Contingencies"/>
      <sheetName val="Stockholders' Equity and Series"/>
      <sheetName val="Stock-Based Compensation"/>
      <sheetName val="Employee Benefit Plans"/>
      <sheetName val="Income Taxes"/>
      <sheetName val="Segment Information"/>
      <sheetName val="Subsequent Events"/>
      <sheetName val="Summary of Significant Accoun_2"/>
      <sheetName val="Summary of Significant Accoun_3"/>
      <sheetName val="Fair Value Measurements (Tables"/>
      <sheetName val="Accounts and Other Receivables "/>
      <sheetName val="Inventories (Tables)"/>
      <sheetName val="Prepaid Expenses (Tables)"/>
      <sheetName val="Property and Equipment (Tables)"/>
      <sheetName val="Other Assets (Tables)"/>
      <sheetName val="Gift Cards (Tables)"/>
      <sheetName val="Other Accrued Expenses (Tables)"/>
      <sheetName val="Leases (Tables)"/>
      <sheetName val="Derivative (Tables)"/>
      <sheetName val="Other Noncurrent Liabilities (T"/>
      <sheetName val="Stock-Based Compensation (Table"/>
      <sheetName val="Income Taxes (Tables)"/>
      <sheetName val="Segment Information (Tables)"/>
      <sheetName val="Summary of Significant Accoun_4"/>
      <sheetName val="Summary of Significant Accoun_5"/>
      <sheetName val="Summary of Significant Accoun_6"/>
      <sheetName val="Summary of Significant Accoun_7"/>
      <sheetName val="Summary of Significant Accoun_8"/>
      <sheetName val="Summary of Significant Accoun_9"/>
      <sheetName val="Summary of Significant Accou_10"/>
      <sheetName val="Summary of Significant Accou_11"/>
      <sheetName val="Summary of Significant Accou_12"/>
      <sheetName val="Fair Value Measurements (Detail"/>
      <sheetName val="Fair Value Measurements - Begin"/>
      <sheetName val="Fair Value Measurements - Addit"/>
      <sheetName val="Accounts and Other Receivable_2"/>
      <sheetName val="Inventories (Details)"/>
      <sheetName val="Prepaid Expenses (Details)"/>
      <sheetName val="Property and Equipment (Details"/>
      <sheetName val="Other Assets (Details)"/>
      <sheetName val="Gift Cards (Details)"/>
      <sheetName val="Other Accrued Expenses (Details"/>
      <sheetName val="Long-Term Debt - Credit Facilit"/>
      <sheetName val="Long-Term Debt - Convertible Se"/>
      <sheetName val="Leases (Details)"/>
      <sheetName val="Leases - Maturity of operating "/>
      <sheetName val="Derivative (Details)"/>
      <sheetName val="Derivative - Changes in AOCL, n"/>
      <sheetName val="Other Noncurrent Liabilities (D"/>
      <sheetName val="Commitments and Contingencies ("/>
      <sheetName val="Stockholders' Equity and Seri_2"/>
      <sheetName val="Stock-Based Compensation (Detai"/>
      <sheetName val="Stock-Based Compensation - Weig"/>
      <sheetName val="Stock-Based Compensation - Net "/>
      <sheetName val="Employee Benefit Plans (Details"/>
      <sheetName val="Income Taxes - Provision &amp; Reco"/>
      <sheetName val="Income Taxes - Temporary Differ"/>
      <sheetName val="Segment Information (Details)"/>
      <sheetName val="Subsequent Events (Details)"/>
    </sheetNames>
    <sheetDataSet>
      <sheetData sheetId="0"/>
      <sheetData sheetId="1">
        <row r="1">
          <cell r="A1" t="str">
            <v>CONSOLIDATED BALANCE SHEETS - USD ($) $ in Thousands</v>
          </cell>
          <cell r="B1" t="str">
            <v>Jan. 03, 2023</v>
          </cell>
        </row>
        <row r="2">
          <cell r="A2" t="str">
            <v>Current assets:</v>
          </cell>
          <cell r="B2" t="str">
            <v> </v>
          </cell>
        </row>
        <row r="3">
          <cell r="A3" t="str">
            <v>Cash and cash equivalents</v>
          </cell>
          <cell r="B3">
            <v>114777</v>
          </cell>
        </row>
        <row r="4">
          <cell r="A4" t="str">
            <v>Accounts and other receivables</v>
          </cell>
          <cell r="B4">
            <v>105511</v>
          </cell>
        </row>
        <row r="5">
          <cell r="A5" t="str">
            <v>Income taxes receivable</v>
          </cell>
          <cell r="B5">
            <v>21522</v>
          </cell>
        </row>
        <row r="6">
          <cell r="A6" t="str">
            <v>Inventories</v>
          </cell>
          <cell r="B6">
            <v>55559</v>
          </cell>
        </row>
        <row r="7">
          <cell r="A7" t="str">
            <v>Prepaid expenses</v>
          </cell>
          <cell r="B7">
            <v>48399</v>
          </cell>
        </row>
        <row r="8">
          <cell r="A8" t="str">
            <v>Total current assets</v>
          </cell>
          <cell r="B8">
            <v>345768</v>
          </cell>
        </row>
        <row r="9">
          <cell r="A9" t="str">
            <v>Property and equipment, net</v>
          </cell>
          <cell r="B9">
            <v>746051</v>
          </cell>
        </row>
        <row r="10">
          <cell r="A10" t="str">
            <v>Other assets:</v>
          </cell>
          <cell r="B10" t="str">
            <v> </v>
          </cell>
        </row>
        <row r="11">
          <cell r="A11" t="str">
            <v>Intangible assets, net</v>
          </cell>
          <cell r="B11">
            <v>251524</v>
          </cell>
        </row>
        <row r="12">
          <cell r="A12" t="str">
            <v>Operating lease assets</v>
          </cell>
          <cell r="B12">
            <v>1268986</v>
          </cell>
        </row>
        <row r="13">
          <cell r="A13" t="str">
            <v>Other</v>
          </cell>
          <cell r="B13">
            <v>162891</v>
          </cell>
        </row>
        <row r="14">
          <cell r="A14" t="str">
            <v>Total other assets</v>
          </cell>
          <cell r="B14">
            <v>1683401</v>
          </cell>
        </row>
        <row r="15">
          <cell r="A15" t="str">
            <v>Total assets</v>
          </cell>
          <cell r="B15">
            <v>2775220</v>
          </cell>
        </row>
        <row r="16">
          <cell r="A16" t="str">
            <v>Current liabilities:</v>
          </cell>
          <cell r="B16" t="str">
            <v> </v>
          </cell>
        </row>
        <row r="17">
          <cell r="A17" t="str">
            <v>Accounts payable</v>
          </cell>
          <cell r="B17">
            <v>66638</v>
          </cell>
        </row>
        <row r="18">
          <cell r="A18" t="str">
            <v>Gift card liabilities</v>
          </cell>
          <cell r="B18">
            <v>219808</v>
          </cell>
        </row>
        <row r="19">
          <cell r="A19" t="str">
            <v>Operating lease liabilities</v>
          </cell>
          <cell r="B19">
            <v>139099</v>
          </cell>
        </row>
        <row r="20">
          <cell r="A20" t="str">
            <v>Other accrued expenses</v>
          </cell>
          <cell r="B20">
            <v>231133</v>
          </cell>
        </row>
        <row r="21">
          <cell r="A21" t="str">
            <v>Total current liabilities</v>
          </cell>
          <cell r="B21">
            <v>656678</v>
          </cell>
        </row>
        <row r="22">
          <cell r="A22" t="str">
            <v>Long-term debt</v>
          </cell>
          <cell r="B22">
            <v>468032</v>
          </cell>
        </row>
        <row r="23">
          <cell r="A23" t="str">
            <v>Operating lease liabilities</v>
          </cell>
          <cell r="B23">
            <v>1233497</v>
          </cell>
        </row>
        <row r="24">
          <cell r="A24" t="str">
            <v>Other noncurrent liabilities</v>
          </cell>
          <cell r="B24">
            <v>125010</v>
          </cell>
        </row>
        <row r="25">
          <cell r="A25" t="str">
            <v>Commitments and contingencies</v>
          </cell>
          <cell r="B25" t="str">
            <v xml:space="preserve"> </v>
          </cell>
        </row>
        <row r="26">
          <cell r="A26" t="str">
            <v>Stockholders' equity:</v>
          </cell>
          <cell r="B26" t="str">
            <v> </v>
          </cell>
        </row>
        <row r="27">
          <cell r="A27" t="str">
            <v>Preferred stock, $.01 par value, other than Series A convertible preferred stock, 4,800,000 shares authorized; none issued</v>
          </cell>
          <cell r="B27" t="str">
            <v xml:space="preserve"> </v>
          </cell>
        </row>
        <row r="28">
          <cell r="A28" t="str">
            <v>Common stock, $.01 par value, 250,000,000 shares authorized; 106,323,117 and 105,365,678 shares issued at January 3, 2023 and December 28, 2021, respectively</v>
          </cell>
          <cell r="B28">
            <v>1063</v>
          </cell>
        </row>
        <row r="29">
          <cell r="A29" t="str">
            <v>Additional paid-in capital</v>
          </cell>
          <cell r="B29">
            <v>887485</v>
          </cell>
        </row>
        <row r="30">
          <cell r="A30" t="str">
            <v>Retained earnings</v>
          </cell>
          <cell r="B30">
            <v>1170078</v>
          </cell>
        </row>
        <row r="31">
          <cell r="A31" t="str">
            <v>Treasury stock, 53,139,172 and 53,139,172 shares at cost at January 3, 2023 and December 28, 2021, respectively</v>
          </cell>
          <cell r="B31">
            <v>-1765641</v>
          </cell>
        </row>
        <row r="32">
          <cell r="A32" t="str">
            <v>Accumulated other comprehensive loss</v>
          </cell>
          <cell r="B32">
            <v>-982</v>
          </cell>
        </row>
        <row r="33">
          <cell r="A33" t="str">
            <v>Total stockholders' equity</v>
          </cell>
          <cell r="B33">
            <v>292003</v>
          </cell>
        </row>
        <row r="34">
          <cell r="A34" t="str">
            <v>Total liabilities, Series A convertible preferred stock and stockholders' equity</v>
          </cell>
          <cell r="B34">
            <v>2775220</v>
          </cell>
        </row>
      </sheetData>
      <sheetData sheetId="2"/>
      <sheetData sheetId="3">
        <row r="1">
          <cell r="A1" t="str">
            <v>CONSOLIDATED STATEMENTS OF INCOME/(LOSS) - USD ($) shares in Thousands, $ in Thousands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s and Entity Informatio"/>
      <sheetName val="BS"/>
      <sheetName val="CF"/>
      <sheetName val="INCOMESTATMEN"/>
      <sheetName val="CONDENSED CONSOLIDATED BALANC_2"/>
      <sheetName val="CONDENSED CONSOLIDATED STATEM_2"/>
      <sheetName val="CONDENSED CONSOLIDATED STATEM_3"/>
      <sheetName val="CONDENSED CONSOLIDATED STATEM_4"/>
      <sheetName val="Significant Accounting Policies"/>
      <sheetName val="Fair Value Measurements"/>
      <sheetName val="Inventories"/>
      <sheetName val="Gift Cards"/>
      <sheetName val="Long-Term Debt"/>
      <sheetName val="Leases"/>
      <sheetName val="Commitments and Contingencies"/>
      <sheetName val="Stockholders' Equity"/>
      <sheetName val="Stock-Based Compensation"/>
      <sheetName val="Net Income Per Share"/>
      <sheetName val="Segment Information"/>
      <sheetName val="Subsequent Events"/>
      <sheetName val="Pay vs Performance Disclosure"/>
      <sheetName val="Insider Trading Arrangements"/>
      <sheetName val="Significant Accounting Polici_2"/>
      <sheetName val="Fair Value Measurements (Tables"/>
      <sheetName val="Inventories (Tables)"/>
      <sheetName val="Gift Cards (Tables)"/>
      <sheetName val="Leases (Tables)"/>
      <sheetName val="Stock-Based Compensation (Table"/>
      <sheetName val="Net Income Per Share (Tables)"/>
      <sheetName val="Segment Information (Tables)"/>
      <sheetName val="Significant Accounting Polici_3"/>
      <sheetName val="Fair Value Measurements (Detail"/>
      <sheetName val="Fair Value Measurements - Begin"/>
      <sheetName val="Fair Value Measurements - Addit"/>
      <sheetName val="Inventories (Details)"/>
      <sheetName val="Gift Cards (Details)"/>
      <sheetName val="Long-Term Debt - Revolving Cred"/>
      <sheetName val="Long-Term Debt - Convertible Se"/>
      <sheetName val="Leases (Details)"/>
      <sheetName val="Stockholders' Equity (Details)"/>
      <sheetName val="Stock-Based Compensation - Net "/>
      <sheetName val="Stock-Based Compensation - Stoc"/>
      <sheetName val="Net Income Per Share (Details)"/>
      <sheetName val="Net Income Per Share - Addition"/>
      <sheetName val="Segment Information (Details)"/>
      <sheetName val="Subsequent Events (Details)"/>
    </sheetNames>
    <sheetDataSet>
      <sheetData sheetId="0"/>
      <sheetData sheetId="1">
        <row r="3">
          <cell r="D3">
            <v>91557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ance.yahoo.com/quote/CAK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3C27-A900-4583-A714-39EADFE35FEA}">
  <sheetPr>
    <tabColor rgb="FF002060"/>
  </sheetPr>
  <dimension ref="A1:E17"/>
  <sheetViews>
    <sheetView tabSelected="1" zoomScale="90" zoomScaleNormal="90" workbookViewId="0"/>
  </sheetViews>
  <sheetFormatPr defaultRowHeight="14.5"/>
  <cols>
    <col min="1" max="1" width="23" style="96" customWidth="1"/>
    <col min="2" max="2" width="12.453125" style="96" customWidth="1"/>
    <col min="3" max="3" width="10.81640625" style="96" bestFit="1" customWidth="1"/>
    <col min="4" max="16384" width="8.7265625" style="96"/>
  </cols>
  <sheetData>
    <row r="1" spans="1:5" ht="21">
      <c r="A1" s="146" t="s">
        <v>268</v>
      </c>
      <c r="E1" s="116"/>
    </row>
    <row r="2" spans="1:5">
      <c r="E2" s="116"/>
    </row>
    <row r="3" spans="1:5">
      <c r="A3" s="96" t="s">
        <v>86</v>
      </c>
      <c r="B3" s="113">
        <v>2</v>
      </c>
    </row>
    <row r="4" spans="1:5">
      <c r="A4" s="96" t="s">
        <v>269</v>
      </c>
      <c r="B4" s="96" t="s">
        <v>279</v>
      </c>
    </row>
    <row r="5" spans="1:5">
      <c r="A5" s="96" t="s">
        <v>270</v>
      </c>
      <c r="B5" s="96" t="s">
        <v>280</v>
      </c>
    </row>
    <row r="6" spans="1:5">
      <c r="A6" s="96" t="s">
        <v>271</v>
      </c>
      <c r="B6" s="96" t="s">
        <v>281</v>
      </c>
    </row>
    <row r="7" spans="1:5">
      <c r="A7" s="96" t="s">
        <v>272</v>
      </c>
      <c r="B7" s="423">
        <f>4.576/100</f>
        <v>4.5759999999999995E-2</v>
      </c>
      <c r="C7" s="117">
        <f ca="1">TODAY()</f>
        <v>45658</v>
      </c>
    </row>
    <row r="8" spans="1:5">
      <c r="A8" s="96" t="s">
        <v>273</v>
      </c>
      <c r="B8" s="424">
        <v>0.05</v>
      </c>
    </row>
    <row r="9" spans="1:5">
      <c r="A9" s="96" t="s">
        <v>274</v>
      </c>
      <c r="B9" s="119">
        <v>1.48</v>
      </c>
    </row>
    <row r="10" spans="1:5">
      <c r="A10" s="96" t="s">
        <v>275</v>
      </c>
      <c r="B10" s="96">
        <v>48.37</v>
      </c>
      <c r="C10" s="117">
        <f ca="1">TODAY()</f>
        <v>45658</v>
      </c>
    </row>
    <row r="11" spans="1:5">
      <c r="A11" s="96" t="s">
        <v>276</v>
      </c>
      <c r="B11" s="424">
        <v>1.5699999999999999E-2</v>
      </c>
      <c r="C11" s="117">
        <f ca="1">TODAY()</f>
        <v>45658</v>
      </c>
    </row>
    <row r="12" spans="1:5">
      <c r="A12" s="96" t="s">
        <v>277</v>
      </c>
      <c r="B12" s="118">
        <v>0.21</v>
      </c>
    </row>
    <row r="13" spans="1:5">
      <c r="A13" s="96" t="s">
        <v>278</v>
      </c>
      <c r="B13" s="424">
        <v>2.3199999999999998E-2</v>
      </c>
    </row>
    <row r="14" spans="1:5">
      <c r="A14" s="420" t="s">
        <v>284</v>
      </c>
    </row>
    <row r="15" spans="1:5">
      <c r="A15" s="421" t="s">
        <v>285</v>
      </c>
    </row>
    <row r="16" spans="1:5">
      <c r="A16" s="422" t="s">
        <v>283</v>
      </c>
    </row>
    <row r="17" spans="1:1">
      <c r="A17" s="420" t="s">
        <v>478</v>
      </c>
    </row>
  </sheetData>
  <dataValidations count="1">
    <dataValidation type="list" allowBlank="1" showInputMessage="1" showErrorMessage="1" sqref="B3" xr:uid="{56D58D94-FDF5-462B-9DDC-FF49B30A34ED}">
      <formula1>"1,2,3"</formula1>
    </dataValidation>
  </dataValidations>
  <hyperlinks>
    <hyperlink ref="A16" r:id="rId1" xr:uid="{B0F900F1-34A3-4A7F-B1F6-35B7505BFA82}"/>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2">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3" t="s">
        <v>23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7" tint="-0.249977111117893"/>
  </sheetPr>
  <dimension ref="B1:U82"/>
  <sheetViews>
    <sheetView zoomScale="70" zoomScaleNormal="70" workbookViewId="0">
      <selection activeCell="B1" sqref="B1"/>
    </sheetView>
  </sheetViews>
  <sheetFormatPr defaultColWidth="9.08984375" defaultRowHeight="11.5"/>
  <cols>
    <col min="1" max="1" width="2" style="4" customWidth="1"/>
    <col min="2" max="2" width="37.1796875" style="4" customWidth="1"/>
    <col min="3" max="3" width="9.7265625" style="4" bestFit="1" customWidth="1"/>
    <col min="4" max="4" width="10.54296875" style="4" bestFit="1" customWidth="1"/>
    <col min="5" max="6" width="9.7265625" style="4" bestFit="1" customWidth="1"/>
    <col min="7" max="10" width="9.7265625" style="4" customWidth="1"/>
    <col min="11" max="11" width="10.54296875" style="4" bestFit="1" customWidth="1"/>
    <col min="12" max="13" width="9.81640625" style="4" bestFit="1" customWidth="1"/>
    <col min="14" max="14" width="11.1796875" style="4" bestFit="1" customWidth="1"/>
    <col min="15" max="15" width="11.453125" style="4" bestFit="1" customWidth="1"/>
    <col min="16" max="16" width="2" style="4" customWidth="1"/>
    <col min="17" max="17" width="15" style="123" customWidth="1"/>
    <col min="18" max="18" width="23.36328125" style="404" customWidth="1"/>
    <col min="19" max="16384" width="9.08984375" style="4"/>
  </cols>
  <sheetData>
    <row r="1" spans="2:20" ht="15.5">
      <c r="B1" s="3" t="s">
        <v>3</v>
      </c>
      <c r="C1" s="3"/>
    </row>
    <row r="2" spans="2:20">
      <c r="F2" s="54"/>
      <c r="G2" s="54"/>
      <c r="H2" s="54"/>
      <c r="I2" s="54"/>
      <c r="J2" s="54"/>
    </row>
    <row r="3" spans="2:20" ht="23.5" thickBot="1">
      <c r="B3" s="11" t="s">
        <v>19</v>
      </c>
      <c r="C3" s="12" t="s">
        <v>430</v>
      </c>
      <c r="D3" s="12" t="s">
        <v>431</v>
      </c>
      <c r="E3" s="12" t="s">
        <v>432</v>
      </c>
      <c r="F3" s="12" t="s">
        <v>433</v>
      </c>
      <c r="G3" s="12" t="s">
        <v>434</v>
      </c>
      <c r="H3" s="12" t="s">
        <v>435</v>
      </c>
      <c r="I3" s="12" t="s">
        <v>436</v>
      </c>
      <c r="J3" s="293" t="s">
        <v>437</v>
      </c>
      <c r="K3" s="13" t="s">
        <v>440</v>
      </c>
      <c r="L3" s="13" t="s">
        <v>441</v>
      </c>
      <c r="M3" s="13" t="s">
        <v>442</v>
      </c>
      <c r="N3" s="13" t="s">
        <v>443</v>
      </c>
      <c r="O3" s="13" t="s">
        <v>444</v>
      </c>
      <c r="Q3" s="124" t="s">
        <v>445</v>
      </c>
      <c r="R3" s="405" t="s">
        <v>21</v>
      </c>
      <c r="S3" s="16"/>
      <c r="T3" s="16"/>
    </row>
    <row r="4" spans="2:20">
      <c r="B4" s="4" t="s">
        <v>25</v>
      </c>
      <c r="C4" s="9">
        <f>'P&amp;L source'!D5</f>
        <v>892802</v>
      </c>
      <c r="D4" s="9">
        <f>'P&amp;L source'!E5</f>
        <v>866114</v>
      </c>
      <c r="E4" s="9">
        <f>'P&amp;L source'!F5</f>
        <v>866170</v>
      </c>
      <c r="F4" s="9">
        <f>'P&amp;L source'!G5</f>
        <v>830210</v>
      </c>
      <c r="G4" s="9">
        <f>'P&amp;L source'!H5</f>
        <v>877009</v>
      </c>
      <c r="H4" s="9">
        <f>'P&amp;L source'!I5</f>
        <v>891223</v>
      </c>
      <c r="I4" s="9">
        <f>'P&amp;L source'!J5</f>
        <v>904042</v>
      </c>
      <c r="J4" s="9">
        <f>'P&amp;L source'!K5</f>
        <v>865471</v>
      </c>
      <c r="K4" s="19">
        <f>(J$4)*(1+K$41)</f>
        <v>891435.13</v>
      </c>
      <c r="L4" s="19">
        <f t="shared" ref="L4:O4" si="0">(K$4)*(1+L$41)</f>
        <v>918178.18390000006</v>
      </c>
      <c r="M4" s="19">
        <f t="shared" si="0"/>
        <v>945723.52941700013</v>
      </c>
      <c r="N4" s="19">
        <f t="shared" si="0"/>
        <v>974095.23529951018</v>
      </c>
      <c r="O4" s="19">
        <f t="shared" si="0"/>
        <v>1003318.0923584955</v>
      </c>
      <c r="Q4" s="125">
        <f>((O4/J4)^(1/5))-1</f>
        <v>3.0000000000000027E-2</v>
      </c>
      <c r="R4" s="404" t="s">
        <v>446</v>
      </c>
    </row>
    <row r="5" spans="2:20">
      <c r="D5" s="9"/>
      <c r="E5" s="9"/>
      <c r="F5" s="9"/>
      <c r="G5" s="9"/>
      <c r="H5" s="9"/>
      <c r="I5" s="9"/>
      <c r="J5" s="9"/>
      <c r="K5" s="19"/>
      <c r="L5" s="19"/>
      <c r="M5" s="19"/>
      <c r="N5" s="19"/>
      <c r="O5" s="19"/>
      <c r="R5" s="406"/>
    </row>
    <row r="6" spans="2:20">
      <c r="B6" s="28" t="s">
        <v>28</v>
      </c>
      <c r="C6" s="29">
        <f t="shared" ref="C6:E6" si="1">SUM(C4)</f>
        <v>892802</v>
      </c>
      <c r="D6" s="29">
        <f t="shared" si="1"/>
        <v>866114</v>
      </c>
      <c r="E6" s="29">
        <f t="shared" si="1"/>
        <v>866170</v>
      </c>
      <c r="F6" s="29">
        <f>SUM(F4)</f>
        <v>830210</v>
      </c>
      <c r="G6" s="29">
        <f t="shared" ref="G6:J6" si="2">SUM(G4)</f>
        <v>877009</v>
      </c>
      <c r="H6" s="29">
        <f t="shared" si="2"/>
        <v>891223</v>
      </c>
      <c r="I6" s="29">
        <f t="shared" si="2"/>
        <v>904042</v>
      </c>
      <c r="J6" s="29">
        <f t="shared" si="2"/>
        <v>865471</v>
      </c>
      <c r="K6" s="75">
        <f t="shared" ref="K6:O6" si="3">SUM(K4)</f>
        <v>891435.13</v>
      </c>
      <c r="L6" s="75">
        <f t="shared" si="3"/>
        <v>918178.18390000006</v>
      </c>
      <c r="M6" s="75">
        <f t="shared" si="3"/>
        <v>945723.52941700013</v>
      </c>
      <c r="N6" s="75">
        <f t="shared" si="3"/>
        <v>974095.23529951018</v>
      </c>
      <c r="O6" s="75">
        <f t="shared" si="3"/>
        <v>1003318.0923584955</v>
      </c>
      <c r="Q6" s="125">
        <f>((O6/J6)^(1/5))-1</f>
        <v>3.0000000000000027E-2</v>
      </c>
      <c r="T6" s="62"/>
    </row>
    <row r="7" spans="2:20" ht="3.75" customHeight="1">
      <c r="B7" s="17"/>
      <c r="C7" s="17"/>
      <c r="D7" s="23"/>
      <c r="E7" s="23"/>
      <c r="F7" s="23"/>
      <c r="G7" s="23"/>
      <c r="H7" s="23"/>
      <c r="I7" s="23"/>
      <c r="J7" s="23"/>
      <c r="K7" s="19"/>
      <c r="L7" s="19"/>
      <c r="M7" s="19"/>
      <c r="N7" s="19"/>
      <c r="O7" s="19"/>
    </row>
    <row r="8" spans="2:20">
      <c r="B8" s="4" t="s">
        <v>26</v>
      </c>
      <c r="C8" s="9">
        <f>-SUM('P&amp;L source'!D8:D9)</f>
        <v>-539098</v>
      </c>
      <c r="D8" s="9">
        <f>-SUM('P&amp;L source'!E8:E9)</f>
        <v>-517752</v>
      </c>
      <c r="E8" s="9">
        <f>-SUM('P&amp;L source'!F8:F9)</f>
        <v>-507243</v>
      </c>
      <c r="F8" s="9">
        <f>-SUM('P&amp;L source'!G8:G9)</f>
        <v>-496396</v>
      </c>
      <c r="G8" s="9">
        <f>-SUM('P&amp;L source'!H8:H9)</f>
        <v>-510004</v>
      </c>
      <c r="H8" s="9">
        <f>-SUM('P&amp;L source'!I8:I9)</f>
        <v>-524183</v>
      </c>
      <c r="I8" s="9">
        <f>-SUM('P&amp;L source'!J8:J9)</f>
        <v>-518976</v>
      </c>
      <c r="J8" s="9">
        <f>-SUM('P&amp;L source'!K8:K9)</f>
        <v>-506245</v>
      </c>
      <c r="K8" s="19">
        <f>-(K6-K9)</f>
        <v>-534861.07799999998</v>
      </c>
      <c r="L8" s="19">
        <f t="shared" ref="L8:O8" si="4">-(L6-L9)</f>
        <v>-550906.91033999994</v>
      </c>
      <c r="M8" s="19">
        <f t="shared" si="4"/>
        <v>-567434.11765020003</v>
      </c>
      <c r="N8" s="19">
        <f t="shared" si="4"/>
        <v>-584457.14117970609</v>
      </c>
      <c r="O8" s="19">
        <f t="shared" si="4"/>
        <v>-601990.8554150972</v>
      </c>
      <c r="Q8" s="125"/>
    </row>
    <row r="9" spans="2:20">
      <c r="B9" s="28" t="s">
        <v>87</v>
      </c>
      <c r="C9" s="29">
        <f t="shared" ref="C9:E9" si="5">C6+C8</f>
        <v>353704</v>
      </c>
      <c r="D9" s="29">
        <f t="shared" si="5"/>
        <v>348362</v>
      </c>
      <c r="E9" s="29">
        <f t="shared" si="5"/>
        <v>358927</v>
      </c>
      <c r="F9" s="29">
        <f>F6+F8</f>
        <v>333814</v>
      </c>
      <c r="G9" s="29">
        <f t="shared" ref="G9:J9" si="6">G6+G8</f>
        <v>367005</v>
      </c>
      <c r="H9" s="29">
        <f t="shared" si="6"/>
        <v>367040</v>
      </c>
      <c r="I9" s="29">
        <f t="shared" si="6"/>
        <v>385066</v>
      </c>
      <c r="J9" s="29">
        <f t="shared" si="6"/>
        <v>359226</v>
      </c>
      <c r="K9" s="75">
        <f>K$45*K$6</f>
        <v>356574.05200000003</v>
      </c>
      <c r="L9" s="75">
        <f t="shared" ref="L9:O9" si="7">L$45*L$6</f>
        <v>367271.27356000006</v>
      </c>
      <c r="M9" s="75">
        <f t="shared" si="7"/>
        <v>378289.4117668001</v>
      </c>
      <c r="N9" s="75">
        <f t="shared" si="7"/>
        <v>389638.0941198041</v>
      </c>
      <c r="O9" s="75">
        <f t="shared" si="7"/>
        <v>401327.23694339819</v>
      </c>
      <c r="Q9" s="125">
        <f>((O9/J9)^(1/5))-1</f>
        <v>2.2412556510376103E-2</v>
      </c>
    </row>
    <row r="10" spans="2:20" ht="3.75" customHeight="1">
      <c r="K10" s="19"/>
      <c r="L10" s="19"/>
      <c r="M10" s="19"/>
      <c r="N10" s="19"/>
      <c r="O10" s="19"/>
    </row>
    <row r="11" spans="2:20">
      <c r="B11" s="4" t="s">
        <v>27</v>
      </c>
      <c r="C11" s="9">
        <f>-SUM('P&amp;L source'!D10:D14)</f>
        <v>-343211</v>
      </c>
      <c r="D11" s="9">
        <f>-SUM('P&amp;L source'!E10:E14)</f>
        <v>-291481</v>
      </c>
      <c r="E11" s="9">
        <f>-SUM('P&amp;L source'!F10:F14)</f>
        <v>-288124</v>
      </c>
      <c r="F11" s="9">
        <f>-SUM('P&amp;L source'!G10:G14)</f>
        <v>-291947</v>
      </c>
      <c r="G11" s="9">
        <f>-SUM('P&amp;L source'!H10:H14)</f>
        <v>-334854</v>
      </c>
      <c r="H11" s="9">
        <f>-SUM('P&amp;L source'!I10:I14)</f>
        <v>-302991</v>
      </c>
      <c r="I11" s="9">
        <f>-SUM('P&amp;L source'!J10:J14)</f>
        <v>-301414</v>
      </c>
      <c r="J11" s="9">
        <f>-SUM('P&amp;L source'!K10:K14)</f>
        <v>-300227</v>
      </c>
      <c r="K11" s="19">
        <f>-(K$6*K49)</f>
        <v>-294173.59289999999</v>
      </c>
      <c r="L11" s="19">
        <f t="shared" ref="L11:O11" si="8">-(L$6*L49)</f>
        <v>-302998.80068700004</v>
      </c>
      <c r="M11" s="19">
        <f t="shared" si="8"/>
        <v>-312088.76470761007</v>
      </c>
      <c r="N11" s="19">
        <f t="shared" si="8"/>
        <v>-321451.42764883838</v>
      </c>
      <c r="O11" s="19">
        <f t="shared" si="8"/>
        <v>-331094.9704783035</v>
      </c>
    </row>
    <row r="12" spans="2:20">
      <c r="B12" s="120" t="s">
        <v>5</v>
      </c>
      <c r="C12" s="29">
        <f>C9+C11</f>
        <v>10493</v>
      </c>
      <c r="D12" s="29">
        <f t="shared" ref="D12:E12" si="9">D9+D11</f>
        <v>56881</v>
      </c>
      <c r="E12" s="29">
        <f t="shared" si="9"/>
        <v>70803</v>
      </c>
      <c r="F12" s="29">
        <f>F9+F11</f>
        <v>41867</v>
      </c>
      <c r="G12" s="29">
        <f t="shared" ref="G12:J12" si="10">G9+G11</f>
        <v>32151</v>
      </c>
      <c r="H12" s="29">
        <f t="shared" si="10"/>
        <v>64049</v>
      </c>
      <c r="I12" s="29">
        <f t="shared" si="10"/>
        <v>83652</v>
      </c>
      <c r="J12" s="29">
        <f t="shared" si="10"/>
        <v>58999</v>
      </c>
      <c r="K12" s="75">
        <f>K9+K11</f>
        <v>62400.459100000036</v>
      </c>
      <c r="L12" s="75">
        <f t="shared" ref="L12:O12" si="11">L9+L11</f>
        <v>64272.472873000021</v>
      </c>
      <c r="M12" s="75">
        <f t="shared" si="11"/>
        <v>66200.647059190029</v>
      </c>
      <c r="N12" s="75">
        <f t="shared" si="11"/>
        <v>68186.66647096572</v>
      </c>
      <c r="O12" s="75">
        <f t="shared" si="11"/>
        <v>70232.266465094697</v>
      </c>
      <c r="Q12" s="125">
        <f>((O12/J12)^(1/5))-1</f>
        <v>3.5472111835843867E-2</v>
      </c>
    </row>
    <row r="13" spans="2:20" ht="3.75" customHeight="1">
      <c r="D13" s="9"/>
      <c r="E13" s="9"/>
      <c r="F13" s="9"/>
      <c r="G13" s="9"/>
      <c r="H13" s="9"/>
      <c r="I13" s="9"/>
      <c r="J13" s="9"/>
      <c r="K13" s="19"/>
      <c r="L13" s="19"/>
      <c r="M13" s="19"/>
      <c r="N13" s="19"/>
      <c r="O13" s="19"/>
    </row>
    <row r="14" spans="2:20" ht="11.5" customHeight="1">
      <c r="B14" s="4" t="s">
        <v>67</v>
      </c>
      <c r="C14" s="9">
        <f>-'P&amp;L source'!D18</f>
        <v>-25616</v>
      </c>
      <c r="D14" s="9">
        <f>-'P&amp;L source'!E18</f>
        <v>-22955</v>
      </c>
      <c r="E14" s="9">
        <f>-'P&amp;L source'!F18</f>
        <v>-23332</v>
      </c>
      <c r="F14" s="9">
        <f>-'P&amp;L source'!G18</f>
        <v>-22837</v>
      </c>
      <c r="G14" s="9">
        <f>-'P&amp;L source'!H18</f>
        <v>-24012</v>
      </c>
      <c r="H14" s="9">
        <f>-'P&amp;L source'!I18</f>
        <v>-24756</v>
      </c>
      <c r="I14" s="9">
        <f>-'P&amp;L source'!J18</f>
        <v>-24960</v>
      </c>
      <c r="J14" s="9">
        <f>-'P&amp;L source'!K18</f>
        <v>-25299</v>
      </c>
      <c r="K14" s="19">
        <f>-Depreciation!K8</f>
        <v>-25673.331743999999</v>
      </c>
      <c r="L14" s="19">
        <f>-Depreciation!L8</f>
        <v>-26810.802969880002</v>
      </c>
      <c r="M14" s="19">
        <f>-Depreciation!M8</f>
        <v>-27993.416470743203</v>
      </c>
      <c r="N14" s="19">
        <f>-Depreciation!N8</f>
        <v>-29222.857058985304</v>
      </c>
      <c r="O14" s="19">
        <f>-Depreciation!O8</f>
        <v>-30500.87000769826</v>
      </c>
    </row>
    <row r="15" spans="2:20" ht="11.5" customHeight="1">
      <c r="B15" s="4" t="s">
        <v>68</v>
      </c>
      <c r="D15" s="9"/>
      <c r="E15" s="9"/>
      <c r="F15" s="9"/>
      <c r="G15" s="9"/>
      <c r="H15" s="9"/>
      <c r="I15" s="9"/>
      <c r="J15" s="9"/>
      <c r="K15" s="19"/>
      <c r="L15" s="19"/>
      <c r="M15" s="19"/>
      <c r="N15" s="19"/>
      <c r="O15" s="19"/>
    </row>
    <row r="16" spans="2:20">
      <c r="B16" s="28" t="s">
        <v>7</v>
      </c>
      <c r="C16" s="29">
        <f>C12+C14+C15</f>
        <v>-15123</v>
      </c>
      <c r="D16" s="29">
        <f t="shared" ref="D16:J16" si="12">D12+D14+D15</f>
        <v>33926</v>
      </c>
      <c r="E16" s="29">
        <f t="shared" si="12"/>
        <v>47471</v>
      </c>
      <c r="F16" s="29">
        <f t="shared" si="12"/>
        <v>19030</v>
      </c>
      <c r="G16" s="29">
        <f t="shared" si="12"/>
        <v>8139</v>
      </c>
      <c r="H16" s="29">
        <f t="shared" si="12"/>
        <v>39293</v>
      </c>
      <c r="I16" s="29">
        <f t="shared" si="12"/>
        <v>58692</v>
      </c>
      <c r="J16" s="29">
        <f t="shared" si="12"/>
        <v>33700</v>
      </c>
      <c r="K16" s="75">
        <f>K12+K14+K15</f>
        <v>36727.127356000041</v>
      </c>
      <c r="L16" s="75">
        <f t="shared" ref="L16:O16" si="13">L12+L14+L15</f>
        <v>37461.669903120019</v>
      </c>
      <c r="M16" s="75">
        <f t="shared" si="13"/>
        <v>38207.230588446822</v>
      </c>
      <c r="N16" s="75">
        <f t="shared" si="13"/>
        <v>38963.809411980415</v>
      </c>
      <c r="O16" s="75">
        <f t="shared" si="13"/>
        <v>39731.396457396433</v>
      </c>
      <c r="Q16" s="125">
        <f>((O16/J16)^(1/5))-1</f>
        <v>3.3476928370582915E-2</v>
      </c>
    </row>
    <row r="17" spans="2:21" ht="3.75" customHeight="1">
      <c r="B17" s="17"/>
      <c r="C17" s="17"/>
      <c r="D17" s="20"/>
      <c r="E17" s="20"/>
      <c r="F17" s="20"/>
      <c r="G17" s="20"/>
      <c r="H17" s="20"/>
      <c r="I17" s="20"/>
      <c r="J17" s="20"/>
      <c r="K17" s="19"/>
      <c r="L17" s="19"/>
      <c r="M17" s="19"/>
      <c r="N17" s="19"/>
      <c r="O17" s="19"/>
    </row>
    <row r="18" spans="2:21" ht="12" customHeight="1">
      <c r="B18" s="4" t="s">
        <v>59</v>
      </c>
      <c r="C18" s="9">
        <f>-'P&amp;L source'!D22</f>
        <v>-2137</v>
      </c>
      <c r="D18" s="9">
        <f>-'P&amp;L source'!E22</f>
        <v>-1880</v>
      </c>
      <c r="E18" s="9">
        <f>-'P&amp;L source'!F22</f>
        <v>-2162</v>
      </c>
      <c r="F18" s="9">
        <f>-'P&amp;L source'!G22</f>
        <v>-2027</v>
      </c>
      <c r="G18" s="9">
        <f>-'P&amp;L source'!H22</f>
        <v>-2483</v>
      </c>
      <c r="H18" s="9">
        <f>-'P&amp;L source'!I22</f>
        <v>-1761</v>
      </c>
      <c r="I18" s="9">
        <f>-'P&amp;L source'!J22</f>
        <v>-2348</v>
      </c>
      <c r="J18" s="9">
        <f>-'P&amp;L source'!K22</f>
        <v>-1865</v>
      </c>
      <c r="K18" s="19">
        <f>(J$18)*(1+K$57)</f>
        <v>-1865</v>
      </c>
      <c r="L18" s="19">
        <f>(K$18)*(1+L$57)</f>
        <v>-1865</v>
      </c>
      <c r="M18" s="19">
        <f t="shared" ref="M18:O18" si="14">(L$18)*(1+M$57)</f>
        <v>-1865</v>
      </c>
      <c r="N18" s="19">
        <f t="shared" si="14"/>
        <v>-1865</v>
      </c>
      <c r="O18" s="19">
        <f t="shared" si="14"/>
        <v>-1865</v>
      </c>
    </row>
    <row r="19" spans="2:21" ht="12" customHeight="1">
      <c r="D19" s="9"/>
      <c r="E19" s="9"/>
      <c r="F19" s="9"/>
      <c r="G19" s="9"/>
      <c r="H19" s="9"/>
      <c r="I19" s="9"/>
      <c r="J19" s="9"/>
      <c r="K19" s="19"/>
      <c r="L19" s="19"/>
      <c r="M19" s="19"/>
      <c r="N19" s="19"/>
      <c r="O19" s="19"/>
    </row>
    <row r="20" spans="2:21" ht="12" customHeight="1">
      <c r="B20" s="28" t="s">
        <v>8</v>
      </c>
      <c r="C20" s="29">
        <f>C16+C18</f>
        <v>-17260</v>
      </c>
      <c r="D20" s="29">
        <f t="shared" ref="D20:J20" si="15">D16+D18</f>
        <v>32046</v>
      </c>
      <c r="E20" s="29">
        <f t="shared" si="15"/>
        <v>45309</v>
      </c>
      <c r="F20" s="29">
        <f t="shared" si="15"/>
        <v>17003</v>
      </c>
      <c r="G20" s="29">
        <f t="shared" si="15"/>
        <v>5656</v>
      </c>
      <c r="H20" s="29">
        <f t="shared" si="15"/>
        <v>37532</v>
      </c>
      <c r="I20" s="29">
        <f t="shared" si="15"/>
        <v>56344</v>
      </c>
      <c r="J20" s="29">
        <f t="shared" si="15"/>
        <v>31835</v>
      </c>
      <c r="K20" s="75">
        <f>K16+K18</f>
        <v>34862.127356000041</v>
      </c>
      <c r="L20" s="75">
        <f t="shared" ref="L20:O20" si="16">L16+L18</f>
        <v>35596.669903120019</v>
      </c>
      <c r="M20" s="75">
        <f t="shared" si="16"/>
        <v>36342.230588446822</v>
      </c>
      <c r="N20" s="75">
        <f t="shared" si="16"/>
        <v>37098.809411980415</v>
      </c>
      <c r="O20" s="75">
        <f t="shared" si="16"/>
        <v>37866.396457396433</v>
      </c>
      <c r="Q20" s="125">
        <f>((O20/J20)^(1/5))-1</f>
        <v>3.5308607388838453E-2</v>
      </c>
    </row>
    <row r="21" spans="2:21" ht="3.75" customHeight="1">
      <c r="D21" s="9"/>
      <c r="E21" s="9"/>
      <c r="F21" s="9"/>
      <c r="G21" s="9"/>
      <c r="H21" s="9"/>
      <c r="I21" s="9"/>
      <c r="J21" s="9"/>
      <c r="K21" s="19"/>
      <c r="L21" s="19"/>
      <c r="M21" s="19"/>
      <c r="N21" s="19"/>
      <c r="O21" s="19"/>
    </row>
    <row r="22" spans="2:21">
      <c r="B22" s="4" t="s">
        <v>9</v>
      </c>
      <c r="C22" s="24">
        <f>-'P&amp;L source'!D26</f>
        <v>13962</v>
      </c>
      <c r="D22" s="24">
        <f>-'P&amp;L source'!E26</f>
        <v>-3996</v>
      </c>
      <c r="E22" s="24">
        <f>-'P&amp;L source'!F26</f>
        <v>-2634</v>
      </c>
      <c r="F22" s="24">
        <f>-'P&amp;L source'!G26</f>
        <v>942</v>
      </c>
      <c r="G22" s="24">
        <f>-'P&amp;L source'!H26</f>
        <v>7025</v>
      </c>
      <c r="H22" s="24">
        <f>-'P&amp;L source'!I26</f>
        <v>-4341</v>
      </c>
      <c r="I22" s="24">
        <f>-'P&amp;L source'!J26</f>
        <v>-3900</v>
      </c>
      <c r="J22" s="24">
        <f>-'P&amp;L source'!K26</f>
        <v>-1841</v>
      </c>
      <c r="K22" s="275">
        <f>K$20*K$61</f>
        <v>-1743.1063678000021</v>
      </c>
      <c r="L22" s="275">
        <f t="shared" ref="L22:O22" si="17">L$20*L$61</f>
        <v>-1779.8334951560009</v>
      </c>
      <c r="M22" s="275">
        <f t="shared" si="17"/>
        <v>-1817.1115294223412</v>
      </c>
      <c r="N22" s="275">
        <f t="shared" si="17"/>
        <v>-1854.940470599021</v>
      </c>
      <c r="O22" s="275">
        <f t="shared" si="17"/>
        <v>-1893.3198228698218</v>
      </c>
      <c r="Q22" s="125"/>
    </row>
    <row r="23" spans="2:21" ht="14" customHeight="1">
      <c r="B23" s="4" t="s">
        <v>331</v>
      </c>
      <c r="C23" s="18">
        <f>-C22/C20</f>
        <v>0.80892236384704519</v>
      </c>
      <c r="D23" s="18">
        <f t="shared" ref="D23:F23" si="18">D22/D20</f>
        <v>-0.12469574985957686</v>
      </c>
      <c r="E23" s="18">
        <f t="shared" si="18"/>
        <v>-5.813414553399987E-2</v>
      </c>
      <c r="F23" s="18">
        <f t="shared" si="18"/>
        <v>5.5401987884490973E-2</v>
      </c>
      <c r="G23" s="18">
        <f t="shared" ref="G23:J23" si="19">G22/G20</f>
        <v>1.2420438472418671</v>
      </c>
      <c r="H23" s="18">
        <f t="shared" si="19"/>
        <v>-0.11566130235532346</v>
      </c>
      <c r="I23" s="18">
        <f t="shared" si="19"/>
        <v>-6.9217662927729656E-2</v>
      </c>
      <c r="J23" s="18">
        <f t="shared" si="19"/>
        <v>-5.7829433013978325E-2</v>
      </c>
      <c r="K23" s="61">
        <f>K22/K20</f>
        <v>-0.05</v>
      </c>
      <c r="L23" s="61">
        <f t="shared" ref="L23:O23" si="20">L22/L20</f>
        <v>-0.05</v>
      </c>
      <c r="M23" s="61">
        <f t="shared" si="20"/>
        <v>-0.05</v>
      </c>
      <c r="N23" s="61">
        <f t="shared" si="20"/>
        <v>-0.05</v>
      </c>
      <c r="O23" s="61">
        <f t="shared" si="20"/>
        <v>-0.05</v>
      </c>
    </row>
    <row r="24" spans="2:21" ht="14" customHeight="1">
      <c r="D24" s="9"/>
      <c r="E24" s="9"/>
      <c r="F24" s="9"/>
      <c r="G24" s="9"/>
      <c r="H24" s="9"/>
      <c r="I24" s="9"/>
      <c r="J24" s="9"/>
      <c r="K24" s="14"/>
      <c r="L24" s="14"/>
      <c r="M24" s="14"/>
      <c r="N24" s="14"/>
      <c r="O24" s="14"/>
    </row>
    <row r="25" spans="2:21">
      <c r="B25" s="26" t="s">
        <v>10</v>
      </c>
      <c r="C25" s="27">
        <f>C20+C22</f>
        <v>-3298</v>
      </c>
      <c r="D25" s="27">
        <f t="shared" ref="D25:J25" si="21">D20+D22</f>
        <v>28050</v>
      </c>
      <c r="E25" s="27">
        <f t="shared" si="21"/>
        <v>42675</v>
      </c>
      <c r="F25" s="27">
        <f t="shared" si="21"/>
        <v>17945</v>
      </c>
      <c r="G25" s="27">
        <f t="shared" si="21"/>
        <v>12681</v>
      </c>
      <c r="H25" s="27">
        <f t="shared" si="21"/>
        <v>33191</v>
      </c>
      <c r="I25" s="27">
        <f t="shared" si="21"/>
        <v>52444</v>
      </c>
      <c r="J25" s="27">
        <f t="shared" si="21"/>
        <v>29994</v>
      </c>
      <c r="K25" s="27">
        <f>K20+K22</f>
        <v>33119.020988200042</v>
      </c>
      <c r="L25" s="27">
        <f t="shared" ref="L25:O25" si="22">L20+L22</f>
        <v>33816.836407964016</v>
      </c>
      <c r="M25" s="27">
        <f t="shared" si="22"/>
        <v>34525.119059024481</v>
      </c>
      <c r="N25" s="27">
        <f t="shared" si="22"/>
        <v>35243.868941381392</v>
      </c>
      <c r="O25" s="27">
        <f t="shared" si="22"/>
        <v>35973.076634526609</v>
      </c>
      <c r="Q25" s="125">
        <f>((O25/J25)^(1/5))-1</f>
        <v>3.7023598137066571E-2</v>
      </c>
    </row>
    <row r="26" spans="2:21">
      <c r="D26" s="9"/>
      <c r="E26" s="9"/>
      <c r="F26" s="9"/>
      <c r="G26" s="9"/>
      <c r="H26" s="9"/>
      <c r="I26" s="9"/>
      <c r="J26" s="9"/>
      <c r="K26" s="14"/>
      <c r="L26" s="14"/>
      <c r="M26" s="14"/>
      <c r="N26" s="14"/>
      <c r="O26" s="14"/>
    </row>
    <row r="27" spans="2:21">
      <c r="B27" s="4" t="s">
        <v>62</v>
      </c>
      <c r="C27" s="9">
        <f>'P&amp;L source'!D30</f>
        <v>0</v>
      </c>
      <c r="D27" s="9">
        <f>'P&amp;L source'!E30</f>
        <v>0</v>
      </c>
      <c r="E27" s="9">
        <f>'P&amp;L source'!F30</f>
        <v>0</v>
      </c>
      <c r="F27" s="9">
        <f>'P&amp;L source'!G30</f>
        <v>0</v>
      </c>
      <c r="G27" s="9"/>
      <c r="H27" s="9"/>
      <c r="I27" s="9"/>
      <c r="J27" s="9"/>
      <c r="K27" s="14">
        <v>0</v>
      </c>
      <c r="L27" s="14">
        <v>0</v>
      </c>
      <c r="M27" s="14">
        <v>0</v>
      </c>
      <c r="N27" s="14">
        <v>0</v>
      </c>
      <c r="O27" s="14">
        <v>0</v>
      </c>
    </row>
    <row r="28" spans="2:21">
      <c r="B28" s="4" t="s">
        <v>61</v>
      </c>
      <c r="C28" s="9">
        <f>'P&amp;L source'!D31</f>
        <v>0</v>
      </c>
      <c r="D28" s="9">
        <f>'P&amp;L source'!E31</f>
        <v>0</v>
      </c>
      <c r="E28" s="9">
        <f>'P&amp;L source'!F31</f>
        <v>0</v>
      </c>
      <c r="F28" s="9">
        <f>'P&amp;L source'!G31</f>
        <v>0</v>
      </c>
      <c r="G28" s="9"/>
      <c r="H28" s="9"/>
      <c r="I28" s="9"/>
      <c r="J28" s="9"/>
      <c r="K28" s="14">
        <v>0</v>
      </c>
      <c r="L28" s="14">
        <v>0</v>
      </c>
      <c r="M28" s="14">
        <v>0</v>
      </c>
      <c r="N28" s="14">
        <v>0</v>
      </c>
      <c r="O28" s="14">
        <v>0</v>
      </c>
      <c r="R28" s="407"/>
      <c r="S28" s="76"/>
      <c r="T28" s="76"/>
      <c r="U28" s="63"/>
    </row>
    <row r="29" spans="2:21">
      <c r="B29" s="26" t="s">
        <v>10</v>
      </c>
      <c r="C29" s="27">
        <f>C25+SUM(C27:C28)</f>
        <v>-3298</v>
      </c>
      <c r="D29" s="27">
        <f t="shared" ref="D29:K29" si="23">D25+SUM(D27:D28)</f>
        <v>28050</v>
      </c>
      <c r="E29" s="27">
        <f t="shared" si="23"/>
        <v>42675</v>
      </c>
      <c r="F29" s="27">
        <f t="shared" si="23"/>
        <v>17945</v>
      </c>
      <c r="G29" s="27">
        <f t="shared" si="23"/>
        <v>12681</v>
      </c>
      <c r="H29" s="27">
        <f t="shared" si="23"/>
        <v>33191</v>
      </c>
      <c r="I29" s="27">
        <f t="shared" si="23"/>
        <v>52444</v>
      </c>
      <c r="J29" s="27">
        <f t="shared" si="23"/>
        <v>29994</v>
      </c>
      <c r="K29" s="27">
        <f t="shared" si="23"/>
        <v>33119.020988200042</v>
      </c>
      <c r="L29" s="27">
        <f t="shared" ref="L29" si="24">L25+SUM(L27:L28)</f>
        <v>33816.836407964016</v>
      </c>
      <c r="M29" s="27">
        <f t="shared" ref="M29" si="25">M25+SUM(M27:M28)</f>
        <v>34525.119059024481</v>
      </c>
      <c r="N29" s="27">
        <f t="shared" ref="N29" si="26">N25+SUM(N27:N28)</f>
        <v>35243.868941381392</v>
      </c>
      <c r="O29" s="27">
        <f t="shared" ref="O29" si="27">O25+SUM(O27:O28)</f>
        <v>35973.076634526609</v>
      </c>
      <c r="Q29" s="125">
        <f>((O29/J29)^(1/5))-1</f>
        <v>3.7023598137066571E-2</v>
      </c>
    </row>
    <row r="30" spans="2:21">
      <c r="D30" s="9"/>
      <c r="E30" s="9"/>
      <c r="F30" s="9"/>
      <c r="G30" s="9"/>
      <c r="H30" s="9"/>
      <c r="I30" s="9"/>
      <c r="J30" s="9"/>
      <c r="K30" s="14"/>
      <c r="L30" s="14"/>
      <c r="M30" s="14"/>
      <c r="N30" s="14"/>
      <c r="O30" s="14"/>
    </row>
    <row r="31" spans="2:21">
      <c r="B31" s="4" t="s">
        <v>69</v>
      </c>
      <c r="C31" s="9">
        <f>'P&amp;L source'!D34</f>
        <v>50414</v>
      </c>
      <c r="D31" s="9">
        <f>'P&amp;L source'!E34</f>
        <v>49778</v>
      </c>
      <c r="E31" s="9">
        <f>'P&amp;L source'!F34</f>
        <v>49085</v>
      </c>
      <c r="F31" s="9">
        <f>'P&amp;L source'!G34</f>
        <v>48985</v>
      </c>
      <c r="G31" s="9">
        <f>'P&amp;L source'!H34</f>
        <v>49050</v>
      </c>
      <c r="H31" s="9">
        <f>'P&amp;L source'!I34</f>
        <v>48662</v>
      </c>
      <c r="I31" s="9">
        <f>'P&amp;L source'!J34</f>
        <v>48775</v>
      </c>
      <c r="J31" s="9">
        <f>'P&amp;L source'!K34</f>
        <v>48946</v>
      </c>
      <c r="K31" s="19">
        <v>48946</v>
      </c>
      <c r="L31" s="19">
        <v>48946</v>
      </c>
      <c r="M31" s="19">
        <v>48946</v>
      </c>
      <c r="N31" s="19">
        <v>48946</v>
      </c>
      <c r="O31" s="19">
        <v>48946</v>
      </c>
      <c r="R31" s="404" t="s">
        <v>476</v>
      </c>
    </row>
    <row r="32" spans="2:21">
      <c r="B32" s="26" t="s">
        <v>70</v>
      </c>
      <c r="C32" s="58">
        <f t="shared" ref="C32:E32" si="28">C29/C31</f>
        <v>-6.5418336176458924E-2</v>
      </c>
      <c r="D32" s="58">
        <f t="shared" si="28"/>
        <v>0.56350194865201497</v>
      </c>
      <c r="E32" s="58">
        <f t="shared" si="28"/>
        <v>0.86941020678414993</v>
      </c>
      <c r="F32" s="58">
        <f>F29/F31</f>
        <v>0.36633663366336633</v>
      </c>
      <c r="G32" s="58">
        <f t="shared" ref="G32:J32" si="29">G29/G31</f>
        <v>0.25853211009174309</v>
      </c>
      <c r="H32" s="58">
        <f t="shared" si="29"/>
        <v>0.68207225350376066</v>
      </c>
      <c r="I32" s="58">
        <f t="shared" si="29"/>
        <v>1.0752229625832905</v>
      </c>
      <c r="J32" s="58">
        <f t="shared" si="29"/>
        <v>0.61279777714215666</v>
      </c>
      <c r="K32" s="58">
        <f>K29/K31</f>
        <v>0.6766440769051616</v>
      </c>
      <c r="L32" s="58">
        <f t="shared" ref="L32:O32" si="30">L29/L31</f>
        <v>0.69090091954325206</v>
      </c>
      <c r="M32" s="58">
        <f t="shared" si="30"/>
        <v>0.70537161482091448</v>
      </c>
      <c r="N32" s="58">
        <f t="shared" si="30"/>
        <v>0.72005616273814799</v>
      </c>
      <c r="O32" s="58">
        <f t="shared" si="30"/>
        <v>0.73495437082757753</v>
      </c>
      <c r="Q32" s="125">
        <f>((6.37/3.86)^(1/5))-1</f>
        <v>0.10537700438682096</v>
      </c>
    </row>
    <row r="34" spans="2:20" ht="18" thickBot="1">
      <c r="B34" s="410" t="s">
        <v>81</v>
      </c>
      <c r="C34" s="69"/>
      <c r="D34" s="69"/>
      <c r="E34" s="69"/>
      <c r="F34" s="69"/>
      <c r="G34" s="69"/>
      <c r="H34" s="69"/>
      <c r="I34" s="69"/>
      <c r="J34" s="69"/>
      <c r="K34" s="69"/>
      <c r="L34" s="69"/>
      <c r="M34" s="69"/>
      <c r="N34" s="69"/>
      <c r="O34" s="69"/>
      <c r="R34" s="408"/>
      <c r="S34" s="64"/>
      <c r="T34" s="64"/>
    </row>
    <row r="36" spans="2:20">
      <c r="B36" s="4" t="s">
        <v>86</v>
      </c>
      <c r="C36" s="67">
        <v>2</v>
      </c>
      <c r="E36" s="53" t="s">
        <v>48</v>
      </c>
      <c r="F36" s="66">
        <v>1</v>
      </c>
      <c r="G36" s="66"/>
      <c r="H36" s="66"/>
      <c r="I36" s="66"/>
      <c r="J36" s="66"/>
      <c r="K36" s="4" t="s">
        <v>45</v>
      </c>
    </row>
    <row r="37" spans="2:20">
      <c r="E37" s="53" t="s">
        <v>49</v>
      </c>
      <c r="F37" s="66">
        <v>2</v>
      </c>
      <c r="G37" s="66"/>
      <c r="H37" s="66"/>
      <c r="I37" s="66"/>
      <c r="J37" s="66"/>
      <c r="K37" s="4" t="s">
        <v>46</v>
      </c>
    </row>
    <row r="38" spans="2:20">
      <c r="E38" s="53" t="s">
        <v>50</v>
      </c>
      <c r="F38" s="66">
        <v>3</v>
      </c>
      <c r="G38" s="66"/>
      <c r="H38" s="66"/>
      <c r="I38" s="66"/>
      <c r="J38" s="66"/>
      <c r="K38" s="4" t="s">
        <v>47</v>
      </c>
    </row>
    <row r="39" spans="2:20" ht="12" thickBot="1">
      <c r="B39" s="70"/>
      <c r="C39" s="70"/>
      <c r="D39" s="70"/>
      <c r="E39" s="70"/>
      <c r="F39" s="70"/>
      <c r="G39" s="70"/>
      <c r="H39" s="70"/>
      <c r="I39" s="70"/>
      <c r="J39" s="70"/>
      <c r="K39" s="70"/>
      <c r="L39" s="70"/>
      <c r="M39" s="70"/>
      <c r="N39" s="70"/>
      <c r="O39" s="70"/>
      <c r="R39" s="405" t="s">
        <v>268</v>
      </c>
      <c r="S39" s="16" t="s">
        <v>21</v>
      </c>
      <c r="T39" s="16"/>
    </row>
    <row r="40" spans="2:20">
      <c r="B40" s="68"/>
      <c r="C40" s="68"/>
      <c r="D40" s="68"/>
      <c r="E40" s="68"/>
      <c r="F40" s="68"/>
      <c r="G40" s="68"/>
      <c r="H40" s="68"/>
      <c r="I40" s="68"/>
      <c r="J40" s="68"/>
      <c r="K40" s="68"/>
      <c r="L40" s="68"/>
      <c r="M40" s="68"/>
      <c r="N40" s="68"/>
      <c r="O40" s="68"/>
    </row>
    <row r="41" spans="2:20">
      <c r="B41" s="4" t="s">
        <v>289</v>
      </c>
      <c r="C41" s="18"/>
      <c r="D41" s="18">
        <f>D$4/C$4-1</f>
        <v>-2.9892406155004103E-2</v>
      </c>
      <c r="E41" s="62">
        <f t="shared" ref="E41:J41" si="31">E$4/D$4-1</f>
        <v>6.4656615641922599E-5</v>
      </c>
      <c r="F41" s="18">
        <f t="shared" si="31"/>
        <v>-4.1516099610930834E-2</v>
      </c>
      <c r="G41" s="18">
        <f t="shared" si="31"/>
        <v>5.6370075041254575E-2</v>
      </c>
      <c r="H41" s="18">
        <f t="shared" si="31"/>
        <v>1.6207359331546156E-2</v>
      </c>
      <c r="I41" s="18">
        <f t="shared" si="31"/>
        <v>1.4383605450038806E-2</v>
      </c>
      <c r="J41" s="18">
        <f t="shared" si="31"/>
        <v>-4.2665053172308398E-2</v>
      </c>
      <c r="K41" s="71">
        <f>CHOOSE($C$36,K42,K43,K44)</f>
        <v>0.03</v>
      </c>
      <c r="L41" s="72">
        <f t="shared" ref="L41:O41" si="32">CHOOSE($C$36,L42,L43,L44)</f>
        <v>0.03</v>
      </c>
      <c r="M41" s="72">
        <f t="shared" si="32"/>
        <v>0.03</v>
      </c>
      <c r="N41" s="72">
        <f t="shared" si="32"/>
        <v>0.03</v>
      </c>
      <c r="O41" s="73">
        <f t="shared" si="32"/>
        <v>0.03</v>
      </c>
      <c r="R41" s="409" t="s">
        <v>286</v>
      </c>
    </row>
    <row r="42" spans="2:20">
      <c r="B42" s="59" t="s">
        <v>48</v>
      </c>
      <c r="C42" s="61"/>
      <c r="D42" s="61"/>
      <c r="E42" s="61"/>
      <c r="F42" s="61"/>
      <c r="G42" s="61"/>
      <c r="H42" s="61"/>
      <c r="I42" s="61"/>
      <c r="J42" s="61"/>
      <c r="K42" s="18">
        <v>0.04</v>
      </c>
      <c r="L42" s="18">
        <v>0.04</v>
      </c>
      <c r="M42" s="18">
        <v>0.04</v>
      </c>
      <c r="N42" s="18">
        <v>0.04</v>
      </c>
      <c r="O42" s="18">
        <v>0.04</v>
      </c>
    </row>
    <row r="43" spans="2:20">
      <c r="B43" s="59" t="s">
        <v>49</v>
      </c>
      <c r="C43" s="61"/>
      <c r="D43" s="61"/>
      <c r="E43" s="61"/>
      <c r="F43" s="61"/>
      <c r="G43" s="61"/>
      <c r="H43" s="61"/>
      <c r="I43" s="61"/>
      <c r="J43" s="61"/>
      <c r="K43" s="18">
        <v>0.03</v>
      </c>
      <c r="L43" s="18">
        <v>0.03</v>
      </c>
      <c r="M43" s="18">
        <v>0.03</v>
      </c>
      <c r="N43" s="18">
        <v>0.03</v>
      </c>
      <c r="O43" s="18">
        <v>0.03</v>
      </c>
      <c r="R43" s="404" t="s">
        <v>287</v>
      </c>
    </row>
    <row r="44" spans="2:20">
      <c r="B44" s="59" t="s">
        <v>50</v>
      </c>
      <c r="C44" s="61"/>
      <c r="D44" s="61"/>
      <c r="E44" s="61"/>
      <c r="F44" s="61"/>
      <c r="G44" s="61"/>
      <c r="H44" s="61"/>
      <c r="I44" s="61"/>
      <c r="J44" s="61"/>
      <c r="K44" s="18">
        <v>0.02</v>
      </c>
      <c r="L44" s="18">
        <v>0.02</v>
      </c>
      <c r="M44" s="18">
        <v>0.02</v>
      </c>
      <c r="N44" s="18">
        <v>0.02</v>
      </c>
      <c r="O44" s="18">
        <v>0.02</v>
      </c>
    </row>
    <row r="45" spans="2:20">
      <c r="B45" s="4" t="s">
        <v>82</v>
      </c>
      <c r="C45" s="18">
        <f>C9/C$4</f>
        <v>0.39617294764124633</v>
      </c>
      <c r="D45" s="18">
        <f>D9/D$4</f>
        <v>0.4022126417538569</v>
      </c>
      <c r="E45" s="18">
        <f>E9/E$4</f>
        <v>0.41438401237632333</v>
      </c>
      <c r="F45" s="18">
        <f t="shared" ref="F45:J45" si="33">F9/F$4</f>
        <v>0.40208381012033101</v>
      </c>
      <c r="G45" s="18">
        <f t="shared" si="33"/>
        <v>0.41847347062572904</v>
      </c>
      <c r="H45" s="18">
        <f t="shared" si="33"/>
        <v>0.41183856341229974</v>
      </c>
      <c r="I45" s="18">
        <f t="shared" si="33"/>
        <v>0.42593817543875173</v>
      </c>
      <c r="J45" s="18">
        <f t="shared" si="33"/>
        <v>0.41506416737244806</v>
      </c>
      <c r="K45" s="71">
        <f>CHOOSE($C$36,K46,K47,K48)</f>
        <v>0.4</v>
      </c>
      <c r="L45" s="72">
        <f t="shared" ref="L45" si="34">CHOOSE($C$36,L46,L47,L48)</f>
        <v>0.4</v>
      </c>
      <c r="M45" s="72">
        <f t="shared" ref="M45" si="35">CHOOSE($C$36,M46,M47,M48)</f>
        <v>0.4</v>
      </c>
      <c r="N45" s="72">
        <f t="shared" ref="N45" si="36">CHOOSE($C$36,N46,N47,N48)</f>
        <v>0.4</v>
      </c>
      <c r="O45" s="73">
        <f t="shared" ref="O45" si="37">CHOOSE($C$36,O46,O47,O48)</f>
        <v>0.4</v>
      </c>
      <c r="R45" s="409" t="s">
        <v>32</v>
      </c>
    </row>
    <row r="46" spans="2:20">
      <c r="B46" s="59" t="s">
        <v>48</v>
      </c>
      <c r="C46" s="61"/>
      <c r="D46" s="61"/>
      <c r="E46" s="61"/>
      <c r="F46" s="61"/>
      <c r="G46" s="61"/>
      <c r="H46" s="61"/>
      <c r="I46" s="61"/>
      <c r="J46" s="61"/>
      <c r="K46" s="18">
        <v>0.42</v>
      </c>
      <c r="L46" s="18">
        <v>0.42</v>
      </c>
      <c r="M46" s="18">
        <v>0.42</v>
      </c>
      <c r="N46" s="18">
        <v>0.42</v>
      </c>
      <c r="O46" s="18">
        <v>0.42</v>
      </c>
    </row>
    <row r="47" spans="2:20">
      <c r="B47" s="59" t="s">
        <v>49</v>
      </c>
      <c r="C47" s="61"/>
      <c r="D47" s="61"/>
      <c r="E47" s="61"/>
      <c r="F47" s="61"/>
      <c r="G47" s="61"/>
      <c r="H47" s="61"/>
      <c r="I47" s="61"/>
      <c r="J47" s="61"/>
      <c r="K47" s="18">
        <v>0.4</v>
      </c>
      <c r="L47" s="18">
        <v>0.4</v>
      </c>
      <c r="M47" s="18">
        <v>0.4</v>
      </c>
      <c r="N47" s="18">
        <v>0.4</v>
      </c>
      <c r="O47" s="18">
        <v>0.4</v>
      </c>
      <c r="R47" s="404" t="s">
        <v>287</v>
      </c>
    </row>
    <row r="48" spans="2:20">
      <c r="B48" s="59" t="s">
        <v>50</v>
      </c>
      <c r="C48" s="61"/>
      <c r="D48" s="61"/>
      <c r="E48" s="61"/>
      <c r="F48" s="61"/>
      <c r="G48" s="61"/>
      <c r="H48" s="61"/>
      <c r="I48" s="61"/>
      <c r="J48" s="61"/>
      <c r="K48" s="18">
        <v>0.38</v>
      </c>
      <c r="L48" s="18">
        <v>0.38</v>
      </c>
      <c r="M48" s="18">
        <v>0.38</v>
      </c>
      <c r="N48" s="18">
        <v>0.38</v>
      </c>
      <c r="O48" s="18">
        <v>0.38</v>
      </c>
    </row>
    <row r="49" spans="2:18">
      <c r="B49" s="4" t="s">
        <v>27</v>
      </c>
      <c r="C49" s="18">
        <f>-C11/C$4</f>
        <v>0.38442006178301574</v>
      </c>
      <c r="D49" s="18">
        <f t="shared" ref="D49:J49" si="38">-D11/D$4</f>
        <v>0.33653883899809955</v>
      </c>
      <c r="E49" s="18">
        <f t="shared" si="38"/>
        <v>0.33264139833981782</v>
      </c>
      <c r="F49" s="18">
        <f t="shared" si="38"/>
        <v>0.35165440069380038</v>
      </c>
      <c r="G49" s="18">
        <f t="shared" si="38"/>
        <v>0.38181364159318776</v>
      </c>
      <c r="H49" s="18">
        <f t="shared" si="38"/>
        <v>0.33997215062896718</v>
      </c>
      <c r="I49" s="18">
        <f t="shared" si="38"/>
        <v>0.33340707621991011</v>
      </c>
      <c r="J49" s="18">
        <f t="shared" si="38"/>
        <v>0.34689435001288316</v>
      </c>
      <c r="K49" s="71">
        <f>CHOOSE($C$36,K50,K51,K52)</f>
        <v>0.33</v>
      </c>
      <c r="L49" s="72">
        <f t="shared" ref="L49" si="39">CHOOSE($C$36,L50,L51,L52)</f>
        <v>0.33</v>
      </c>
      <c r="M49" s="72">
        <f t="shared" ref="M49" si="40">CHOOSE($C$36,M50,M51,M52)</f>
        <v>0.33</v>
      </c>
      <c r="N49" s="72">
        <f t="shared" ref="N49" si="41">CHOOSE($C$36,N50,N51,N52)</f>
        <v>0.33</v>
      </c>
      <c r="O49" s="73">
        <f t="shared" ref="O49" si="42">CHOOSE($C$36,O50,O51,O52)</f>
        <v>0.33</v>
      </c>
      <c r="R49" s="409" t="s">
        <v>32</v>
      </c>
    </row>
    <row r="50" spans="2:18">
      <c r="B50" s="59" t="s">
        <v>48</v>
      </c>
      <c r="C50" s="61"/>
      <c r="D50" s="61"/>
      <c r="E50" s="61"/>
      <c r="F50" s="61"/>
      <c r="G50" s="61"/>
      <c r="H50" s="61"/>
      <c r="I50" s="61"/>
      <c r="J50" s="61"/>
      <c r="K50" s="18">
        <v>0.32</v>
      </c>
      <c r="L50" s="18">
        <v>0.32</v>
      </c>
      <c r="M50" s="18">
        <v>0.32</v>
      </c>
      <c r="N50" s="18">
        <v>0.32</v>
      </c>
      <c r="O50" s="18">
        <v>0.32</v>
      </c>
    </row>
    <row r="51" spans="2:18">
      <c r="B51" s="59" t="s">
        <v>49</v>
      </c>
      <c r="C51" s="61"/>
      <c r="D51" s="61"/>
      <c r="E51" s="61"/>
      <c r="F51" s="61"/>
      <c r="G51" s="61"/>
      <c r="H51" s="61"/>
      <c r="I51" s="61"/>
      <c r="J51" s="61"/>
      <c r="K51" s="18">
        <v>0.33</v>
      </c>
      <c r="L51" s="18">
        <v>0.33</v>
      </c>
      <c r="M51" s="18">
        <v>0.33</v>
      </c>
      <c r="N51" s="18">
        <v>0.33</v>
      </c>
      <c r="O51" s="18">
        <v>0.33</v>
      </c>
      <c r="R51" s="404" t="s">
        <v>287</v>
      </c>
    </row>
    <row r="52" spans="2:18">
      <c r="B52" s="59" t="s">
        <v>50</v>
      </c>
      <c r="C52" s="61"/>
      <c r="D52" s="61"/>
      <c r="E52" s="61"/>
      <c r="F52" s="61"/>
      <c r="G52" s="61"/>
      <c r="H52" s="61"/>
      <c r="I52" s="61"/>
      <c r="J52" s="61"/>
      <c r="K52" s="18">
        <v>0.34</v>
      </c>
      <c r="L52" s="18">
        <v>0.34</v>
      </c>
      <c r="M52" s="18">
        <v>0.34</v>
      </c>
      <c r="N52" s="18">
        <v>0.34</v>
      </c>
      <c r="O52" s="18">
        <v>0.34</v>
      </c>
    </row>
    <row r="53" spans="2:18">
      <c r="B53" s="4" t="s">
        <v>83</v>
      </c>
      <c r="C53" s="18">
        <f>C16/C$4</f>
        <v>-1.6938806140667246E-2</v>
      </c>
      <c r="D53" s="18">
        <f t="shared" ref="D53:J53" si="43">D16/D$4</f>
        <v>3.9170363254721667E-2</v>
      </c>
      <c r="E53" s="18">
        <f t="shared" si="43"/>
        <v>5.4805638615976079E-2</v>
      </c>
      <c r="F53" s="18">
        <f t="shared" si="43"/>
        <v>2.2921911323641006E-2</v>
      </c>
      <c r="G53" s="18">
        <f t="shared" si="43"/>
        <v>9.2804064724535326E-3</v>
      </c>
      <c r="H53" s="18">
        <f t="shared" si="43"/>
        <v>4.4088853182649011E-2</v>
      </c>
      <c r="I53" s="18">
        <f t="shared" si="43"/>
        <v>6.4921762484486334E-2</v>
      </c>
      <c r="J53" s="18">
        <f t="shared" si="43"/>
        <v>3.893833531106184E-2</v>
      </c>
      <c r="K53" s="71">
        <f>CHOOSE($C$36,K54,K55,K56)</f>
        <v>3.5000000000000003E-2</v>
      </c>
      <c r="L53" s="72">
        <f t="shared" ref="L53" si="44">CHOOSE($C$36,L54,L55,L56)</f>
        <v>3.5000000000000003E-2</v>
      </c>
      <c r="M53" s="72">
        <f t="shared" ref="M53" si="45">CHOOSE($C$36,M54,M55,M56)</f>
        <v>3.5000000000000003E-2</v>
      </c>
      <c r="N53" s="72">
        <f t="shared" ref="N53" si="46">CHOOSE($C$36,N54,N55,N56)</f>
        <v>3.5000000000000003E-2</v>
      </c>
      <c r="O53" s="73">
        <f t="shared" ref="O53" si="47">CHOOSE($C$36,O54,O55,O56)</f>
        <v>3.5000000000000003E-2</v>
      </c>
      <c r="R53" s="409" t="s">
        <v>32</v>
      </c>
    </row>
    <row r="54" spans="2:18">
      <c r="B54" s="59" t="s">
        <v>48</v>
      </c>
      <c r="C54" s="61"/>
      <c r="D54" s="61"/>
      <c r="E54" s="61"/>
      <c r="F54" s="61"/>
      <c r="G54" s="61"/>
      <c r="H54" s="61"/>
      <c r="I54" s="61"/>
      <c r="J54" s="61"/>
      <c r="K54" s="18">
        <v>0.04</v>
      </c>
      <c r="L54" s="18">
        <v>0.04</v>
      </c>
      <c r="M54" s="18">
        <v>0.04</v>
      </c>
      <c r="N54" s="18">
        <v>0.04</v>
      </c>
      <c r="O54" s="18">
        <v>0.04</v>
      </c>
    </row>
    <row r="55" spans="2:18">
      <c r="B55" s="59" t="s">
        <v>49</v>
      </c>
      <c r="C55" s="61"/>
      <c r="D55" s="61"/>
      <c r="E55" s="61"/>
      <c r="F55" s="61"/>
      <c r="G55" s="61"/>
      <c r="H55" s="61"/>
      <c r="I55" s="61"/>
      <c r="J55" s="61"/>
      <c r="K55" s="18">
        <v>3.5000000000000003E-2</v>
      </c>
      <c r="L55" s="18">
        <v>3.5000000000000003E-2</v>
      </c>
      <c r="M55" s="18">
        <v>3.5000000000000003E-2</v>
      </c>
      <c r="N55" s="18">
        <v>3.5000000000000003E-2</v>
      </c>
      <c r="O55" s="18">
        <v>3.5000000000000003E-2</v>
      </c>
      <c r="R55" s="404" t="s">
        <v>287</v>
      </c>
    </row>
    <row r="56" spans="2:18">
      <c r="B56" s="59" t="s">
        <v>50</v>
      </c>
      <c r="C56" s="61"/>
      <c r="D56" s="61"/>
      <c r="E56" s="61"/>
      <c r="F56" s="61"/>
      <c r="G56" s="61"/>
      <c r="H56" s="61"/>
      <c r="I56" s="61"/>
      <c r="J56" s="61"/>
      <c r="K56" s="18">
        <v>0.03</v>
      </c>
      <c r="L56" s="18">
        <v>0.03</v>
      </c>
      <c r="M56" s="18">
        <v>0.03</v>
      </c>
      <c r="N56" s="18">
        <v>0.03</v>
      </c>
      <c r="O56" s="18">
        <v>0.03</v>
      </c>
    </row>
    <row r="57" spans="2:18">
      <c r="B57" s="4" t="s">
        <v>290</v>
      </c>
      <c r="C57" s="121"/>
      <c r="D57" s="121">
        <f>D$18/C$18-1</f>
        <v>-0.12026204960224618</v>
      </c>
      <c r="E57" s="121">
        <f t="shared" ref="E57:J57" si="48">E$18/D$18-1</f>
        <v>0.14999999999999991</v>
      </c>
      <c r="F57" s="121">
        <f t="shared" si="48"/>
        <v>-6.2442183163737286E-2</v>
      </c>
      <c r="G57" s="121">
        <f t="shared" si="48"/>
        <v>0.22496299950665999</v>
      </c>
      <c r="H57" s="121">
        <f t="shared" si="48"/>
        <v>-0.29077728554168347</v>
      </c>
      <c r="I57" s="121">
        <f t="shared" si="48"/>
        <v>0.33333333333333326</v>
      </c>
      <c r="J57" s="121">
        <f t="shared" si="48"/>
        <v>-0.20570698466780235</v>
      </c>
      <c r="K57" s="71">
        <f>CHOOSE($C$36,K58,K59,K60)</f>
        <v>0</v>
      </c>
      <c r="L57" s="72">
        <f t="shared" ref="L57:O57" si="49">CHOOSE($C$36,L58,L59,L60)</f>
        <v>0</v>
      </c>
      <c r="M57" s="72">
        <f t="shared" si="49"/>
        <v>0</v>
      </c>
      <c r="N57" s="72">
        <f t="shared" si="49"/>
        <v>0</v>
      </c>
      <c r="O57" s="73">
        <f t="shared" si="49"/>
        <v>0</v>
      </c>
      <c r="R57" s="409" t="s">
        <v>288</v>
      </c>
    </row>
    <row r="58" spans="2:18">
      <c r="B58" s="59" t="s">
        <v>48</v>
      </c>
      <c r="C58" s="61"/>
      <c r="D58" s="61"/>
      <c r="E58" s="61"/>
      <c r="F58" s="61"/>
      <c r="G58" s="61"/>
      <c r="H58" s="61"/>
      <c r="I58" s="61"/>
      <c r="J58" s="61"/>
      <c r="K58" s="18">
        <v>0</v>
      </c>
      <c r="L58" s="18">
        <v>0</v>
      </c>
      <c r="M58" s="18">
        <v>0</v>
      </c>
      <c r="N58" s="18">
        <v>0</v>
      </c>
      <c r="O58" s="18">
        <v>0</v>
      </c>
    </row>
    <row r="59" spans="2:18">
      <c r="B59" s="59" t="s">
        <v>49</v>
      </c>
      <c r="C59" s="61"/>
      <c r="D59" s="61"/>
      <c r="E59" s="61"/>
      <c r="F59" s="61"/>
      <c r="G59" s="61"/>
      <c r="H59" s="61"/>
      <c r="I59" s="61"/>
      <c r="J59" s="61"/>
      <c r="K59" s="18">
        <v>0</v>
      </c>
      <c r="L59" s="18">
        <v>0</v>
      </c>
      <c r="M59" s="18">
        <v>0</v>
      </c>
      <c r="N59" s="18">
        <v>0</v>
      </c>
      <c r="O59" s="18">
        <v>0</v>
      </c>
      <c r="R59" s="404" t="s">
        <v>292</v>
      </c>
    </row>
    <row r="60" spans="2:18">
      <c r="B60" s="59" t="s">
        <v>50</v>
      </c>
      <c r="C60" s="61"/>
      <c r="D60" s="61"/>
      <c r="E60" s="61"/>
      <c r="F60" s="61"/>
      <c r="G60" s="61"/>
      <c r="H60" s="61"/>
      <c r="I60" s="61"/>
      <c r="J60" s="61"/>
      <c r="K60" s="18">
        <v>0</v>
      </c>
      <c r="L60" s="18">
        <v>0</v>
      </c>
      <c r="M60" s="18">
        <v>0</v>
      </c>
      <c r="N60" s="18">
        <v>0</v>
      </c>
      <c r="O60" s="18">
        <v>0</v>
      </c>
    </row>
    <row r="61" spans="2:18">
      <c r="B61" s="4" t="s">
        <v>84</v>
      </c>
      <c r="C61" s="18">
        <f>-C$22/C$20</f>
        <v>0.80892236384704519</v>
      </c>
      <c r="D61" s="18">
        <f t="shared" ref="D61:J61" si="50">D$22/D$20</f>
        <v>-0.12469574985957686</v>
      </c>
      <c r="E61" s="18">
        <f t="shared" si="50"/>
        <v>-5.813414553399987E-2</v>
      </c>
      <c r="F61" s="18">
        <f t="shared" si="50"/>
        <v>5.5401987884490973E-2</v>
      </c>
      <c r="G61" s="18">
        <f t="shared" si="50"/>
        <v>1.2420438472418671</v>
      </c>
      <c r="H61" s="18">
        <f t="shared" si="50"/>
        <v>-0.11566130235532346</v>
      </c>
      <c r="I61" s="18">
        <f t="shared" si="50"/>
        <v>-6.9217662927729656E-2</v>
      </c>
      <c r="J61" s="18">
        <f t="shared" si="50"/>
        <v>-5.7829433013978325E-2</v>
      </c>
      <c r="K61" s="71">
        <f>CHOOSE($C$36,K62,K63,K64)</f>
        <v>-0.05</v>
      </c>
      <c r="L61" s="72">
        <f t="shared" ref="L61" si="51">CHOOSE($C$36,L62,L63,L64)</f>
        <v>-0.05</v>
      </c>
      <c r="M61" s="72">
        <f t="shared" ref="M61" si="52">CHOOSE($C$36,M62,M63,M64)</f>
        <v>-0.05</v>
      </c>
      <c r="N61" s="72">
        <f t="shared" ref="N61" si="53">CHOOSE($C$36,N62,N63,N64)</f>
        <v>-0.05</v>
      </c>
      <c r="O61" s="73">
        <f t="shared" ref="O61" si="54">CHOOSE($C$36,O62,O63,O64)</f>
        <v>-0.05</v>
      </c>
      <c r="R61" s="409" t="s">
        <v>291</v>
      </c>
    </row>
    <row r="62" spans="2:18">
      <c r="B62" s="59" t="s">
        <v>48</v>
      </c>
      <c r="C62" s="61"/>
      <c r="D62" s="61"/>
      <c r="E62" s="61"/>
      <c r="F62" s="61"/>
      <c r="G62" s="61"/>
      <c r="H62" s="61"/>
      <c r="I62" s="61"/>
      <c r="J62" s="61"/>
      <c r="K62" s="18">
        <v>-0.03</v>
      </c>
      <c r="L62" s="18">
        <v>-0.03</v>
      </c>
      <c r="M62" s="18">
        <v>-0.03</v>
      </c>
      <c r="N62" s="18">
        <v>-0.03</v>
      </c>
      <c r="O62" s="18">
        <v>-0.03</v>
      </c>
      <c r="P62" s="18"/>
    </row>
    <row r="63" spans="2:18">
      <c r="B63" s="59" t="s">
        <v>49</v>
      </c>
      <c r="C63" s="61"/>
      <c r="D63" s="61"/>
      <c r="E63" s="61"/>
      <c r="F63" s="61"/>
      <c r="G63" s="61"/>
      <c r="H63" s="61"/>
      <c r="I63" s="61"/>
      <c r="J63" s="61"/>
      <c r="K63" s="18">
        <v>-0.05</v>
      </c>
      <c r="L63" s="18">
        <v>-0.05</v>
      </c>
      <c r="M63" s="18">
        <v>-0.05</v>
      </c>
      <c r="N63" s="18">
        <v>-0.05</v>
      </c>
      <c r="O63" s="18">
        <v>-0.05</v>
      </c>
      <c r="P63" s="18"/>
    </row>
    <row r="64" spans="2:18">
      <c r="B64" s="59" t="s">
        <v>50</v>
      </c>
      <c r="C64" s="61"/>
      <c r="D64" s="61"/>
      <c r="E64" s="61"/>
      <c r="F64" s="61"/>
      <c r="G64" s="61"/>
      <c r="H64" s="61"/>
      <c r="I64" s="61"/>
      <c r="J64" s="61"/>
      <c r="K64" s="18">
        <v>-7.0000000000000007E-2</v>
      </c>
      <c r="L64" s="18">
        <v>-7.0000000000000007E-2</v>
      </c>
      <c r="M64" s="18">
        <v>-7.0000000000000007E-2</v>
      </c>
      <c r="N64" s="18">
        <v>-7.0000000000000007E-2</v>
      </c>
      <c r="O64" s="18">
        <v>-7.0000000000000007E-2</v>
      </c>
      <c r="P64" s="18"/>
    </row>
    <row r="65" spans="3:10">
      <c r="C65" s="60"/>
      <c r="D65" s="60"/>
      <c r="E65" s="60"/>
      <c r="F65" s="60"/>
      <c r="G65" s="60"/>
      <c r="H65" s="60"/>
      <c r="I65" s="60"/>
      <c r="J65" s="60"/>
    </row>
    <row r="66" spans="3:10">
      <c r="C66" s="60"/>
      <c r="D66" s="60"/>
      <c r="E66" s="60"/>
      <c r="F66" s="60"/>
      <c r="G66" s="60"/>
      <c r="H66" s="60"/>
      <c r="I66" s="60"/>
      <c r="J66" s="60"/>
    </row>
    <row r="67" spans="3:10">
      <c r="C67" s="60"/>
      <c r="D67" s="60"/>
      <c r="E67" s="60"/>
      <c r="F67" s="60"/>
      <c r="G67" s="60"/>
      <c r="H67" s="60"/>
      <c r="I67" s="60"/>
      <c r="J67" s="60"/>
    </row>
    <row r="68" spans="3:10">
      <c r="C68" s="60"/>
      <c r="D68" s="60"/>
      <c r="E68" s="60"/>
      <c r="F68" s="60"/>
      <c r="G68" s="60"/>
      <c r="H68" s="60"/>
      <c r="I68" s="60"/>
      <c r="J68" s="60"/>
    </row>
    <row r="82" spans="2:2">
      <c r="B82" s="4">
        <v>1</v>
      </c>
    </row>
  </sheetData>
  <dataValidations count="1">
    <dataValidation type="list" allowBlank="1" showInputMessage="1" showErrorMessage="1" sqref="C36" xr:uid="{26390419-DEB9-4633-8869-E53E8D65FB5F}">
      <formula1>$F$36:$F$38</formula1>
    </dataValidation>
  </dataValidations>
  <pageMargins left="0.7" right="0.7" top="0.75" bottom="0.75" header="0.3" footer="0.3"/>
  <pageSetup orientation="portrait" r:id="rId1"/>
  <ignoredErrors>
    <ignoredError sqref="C11:J11 C8:J8" formulaRang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52530-B750-48E2-89E2-84F0A17F37A6}">
  <sheetPr codeName="Sheet17">
    <tabColor theme="7" tint="-0.249977111117893"/>
  </sheetPr>
  <dimension ref="B1:W34"/>
  <sheetViews>
    <sheetView zoomScale="90" zoomScaleNormal="90" workbookViewId="0">
      <selection activeCell="B1" sqref="B1"/>
    </sheetView>
  </sheetViews>
  <sheetFormatPr defaultColWidth="9.08984375" defaultRowHeight="11.5"/>
  <cols>
    <col min="1" max="1" width="2" style="4" customWidth="1"/>
    <col min="2" max="2" width="22.6328125" style="4" bestFit="1" customWidth="1"/>
    <col min="3" max="3" width="9.08984375" style="4"/>
    <col min="4" max="4" width="9.54296875" style="4" bestFit="1" customWidth="1"/>
    <col min="5" max="5" width="9.54296875" style="4" customWidth="1"/>
    <col min="6" max="6" width="9.08984375" style="4"/>
    <col min="7" max="9" width="9.08984375" style="4" customWidth="1"/>
    <col min="10" max="10" width="9.08984375" style="9" customWidth="1"/>
    <col min="11" max="11" width="9.54296875" style="4" bestFit="1" customWidth="1"/>
    <col min="12" max="15" width="9.08984375" style="4"/>
    <col min="16" max="16" width="2" style="4" customWidth="1"/>
    <col min="17" max="17" width="13.26953125" style="404" customWidth="1"/>
    <col min="18" max="18" width="14.81640625" style="4" customWidth="1"/>
    <col min="19" max="23" width="10.54296875" style="4" bestFit="1" customWidth="1"/>
    <col min="24" max="16384" width="9.08984375" style="4"/>
  </cols>
  <sheetData>
    <row r="1" spans="2:23" ht="15.5">
      <c r="B1" s="3" t="s">
        <v>22</v>
      </c>
    </row>
    <row r="3" spans="2:23" ht="23.5" thickBot="1">
      <c r="B3" s="11" t="s">
        <v>19</v>
      </c>
      <c r="C3" s="12" t="s">
        <v>430</v>
      </c>
      <c r="D3" s="12" t="s">
        <v>431</v>
      </c>
      <c r="E3" s="12" t="s">
        <v>432</v>
      </c>
      <c r="F3" s="12" t="s">
        <v>433</v>
      </c>
      <c r="G3" s="12" t="s">
        <v>434</v>
      </c>
      <c r="H3" s="12" t="s">
        <v>435</v>
      </c>
      <c r="I3" s="12" t="s">
        <v>436</v>
      </c>
      <c r="J3" s="293" t="s">
        <v>437</v>
      </c>
      <c r="K3" s="13" t="s">
        <v>440</v>
      </c>
      <c r="L3" s="13" t="s">
        <v>441</v>
      </c>
      <c r="M3" s="13" t="s">
        <v>442</v>
      </c>
      <c r="N3" s="13" t="s">
        <v>443</v>
      </c>
      <c r="O3" s="13" t="s">
        <v>444</v>
      </c>
      <c r="Q3" s="405" t="s">
        <v>21</v>
      </c>
      <c r="S3" s="105" t="s">
        <v>75</v>
      </c>
      <c r="T3" s="105" t="s">
        <v>76</v>
      </c>
      <c r="U3" s="105" t="s">
        <v>77</v>
      </c>
      <c r="V3" s="105" t="s">
        <v>78</v>
      </c>
      <c r="W3" s="105" t="s">
        <v>79</v>
      </c>
    </row>
    <row r="4" spans="2:23">
      <c r="B4" s="4" t="s">
        <v>13</v>
      </c>
      <c r="C4" s="9">
        <f>'BS source'!C4</f>
        <v>114777</v>
      </c>
      <c r="D4" s="9">
        <f>'BS source'!D4</f>
        <v>116164</v>
      </c>
      <c r="E4" s="9">
        <f>'BS source'!E4</f>
        <v>91557</v>
      </c>
      <c r="F4" s="9">
        <f>'BS source'!F4</f>
        <v>63987</v>
      </c>
      <c r="G4" s="9">
        <f>'BS source'!G4</f>
        <v>56290</v>
      </c>
      <c r="H4" s="9">
        <f>'BS source'!H4</f>
        <v>60220</v>
      </c>
      <c r="I4" s="9">
        <f>'BS source'!I4</f>
        <v>40654</v>
      </c>
      <c r="J4" s="9">
        <f>'BS source'!J4</f>
        <v>52215</v>
      </c>
      <c r="K4" s="19">
        <f>S4</f>
        <v>45649.884767920026</v>
      </c>
      <c r="L4" s="19">
        <f t="shared" ref="L4:O4" si="0">T4</f>
        <v>50614.420879114587</v>
      </c>
      <c r="M4" s="19">
        <f t="shared" si="0"/>
        <v>60839.999903097276</v>
      </c>
      <c r="N4" s="19">
        <f t="shared" si="0"/>
        <v>66903.522242396401</v>
      </c>
      <c r="O4" s="19">
        <f t="shared" si="0"/>
        <v>83409.520363408054</v>
      </c>
      <c r="Q4" s="404" t="s">
        <v>477</v>
      </c>
      <c r="S4" s="127">
        <f>UnleveredCF!K34</f>
        <v>45649.884767920026</v>
      </c>
      <c r="T4" s="127">
        <f>UnleveredCF!L34</f>
        <v>50614.420879114587</v>
      </c>
      <c r="U4" s="127">
        <f>UnleveredCF!M34</f>
        <v>60839.999903097276</v>
      </c>
      <c r="V4" s="127">
        <f>UnleveredCF!N34</f>
        <v>66903.522242396401</v>
      </c>
      <c r="W4" s="127">
        <f>UnleveredCF!O34</f>
        <v>83409.520363408054</v>
      </c>
    </row>
    <row r="5" spans="2:23">
      <c r="B5" s="4" t="s">
        <v>115</v>
      </c>
      <c r="C5" s="9">
        <f>'BS source'!C5</f>
        <v>105511</v>
      </c>
      <c r="D5" s="9">
        <f>'BS source'!D5</f>
        <v>68456</v>
      </c>
      <c r="E5" s="9">
        <f>'BS source'!E5</f>
        <v>71366</v>
      </c>
      <c r="F5" s="9">
        <f>'BS source'!F5</f>
        <v>70236</v>
      </c>
      <c r="G5" s="9">
        <f>'BS source'!G5</f>
        <v>103094</v>
      </c>
      <c r="H5" s="9">
        <f>'BS source'!H5</f>
        <v>75559</v>
      </c>
      <c r="I5" s="9">
        <f>'BS source'!I5</f>
        <v>72420</v>
      </c>
      <c r="J5" s="9">
        <f>'BS source'!J5</f>
        <v>74344</v>
      </c>
      <c r="K5" s="19">
        <f>WC!K9</f>
        <v>74286.260833333334</v>
      </c>
      <c r="L5" s="19">
        <f>WC!L9</f>
        <v>76514.848658333329</v>
      </c>
      <c r="M5" s="19">
        <f>WC!M9</f>
        <v>78810.294118083344</v>
      </c>
      <c r="N5" s="19">
        <f>WC!N9</f>
        <v>81174.602941625839</v>
      </c>
      <c r="O5" s="19">
        <f>WC!O9</f>
        <v>83609.841029874617</v>
      </c>
      <c r="Q5" s="404" t="s">
        <v>302</v>
      </c>
    </row>
    <row r="6" spans="2:23">
      <c r="B6" s="4" t="s">
        <v>12</v>
      </c>
      <c r="C6" s="9">
        <f>'BS source'!C6</f>
        <v>55559</v>
      </c>
      <c r="D6" s="9">
        <f>'BS source'!D6</f>
        <v>58989</v>
      </c>
      <c r="E6" s="9">
        <f>'BS source'!E6</f>
        <v>60868</v>
      </c>
      <c r="F6" s="9">
        <f>'BS source'!F6</f>
        <v>58672</v>
      </c>
      <c r="G6" s="9">
        <f>'BS source'!G6</f>
        <v>57654</v>
      </c>
      <c r="H6" s="9">
        <f>'BS source'!H6</f>
        <v>65469</v>
      </c>
      <c r="I6" s="9">
        <f>'BS source'!I6</f>
        <v>70987</v>
      </c>
      <c r="J6" s="9">
        <f>'BS source'!J6</f>
        <v>69805</v>
      </c>
      <c r="K6" s="19">
        <f>WC!K10</f>
        <v>63886.184316666666</v>
      </c>
      <c r="L6" s="19">
        <f>WC!L10</f>
        <v>65802.769846166659</v>
      </c>
      <c r="M6" s="19">
        <f>WC!M10</f>
        <v>67776.852941551668</v>
      </c>
      <c r="N6" s="19">
        <f>WC!N10</f>
        <v>69810.158529798238</v>
      </c>
      <c r="O6" s="19">
        <f>WC!O10</f>
        <v>71904.463285692167</v>
      </c>
      <c r="Q6" s="404" t="s">
        <v>302</v>
      </c>
    </row>
    <row r="7" spans="2:23" ht="3.75" customHeight="1">
      <c r="C7" s="9"/>
      <c r="D7" s="9"/>
      <c r="E7" s="9"/>
      <c r="F7" s="9"/>
      <c r="G7" s="9"/>
      <c r="H7" s="9"/>
      <c r="I7" s="9"/>
      <c r="K7" s="19"/>
      <c r="L7" s="19"/>
      <c r="M7" s="19"/>
      <c r="N7" s="19"/>
      <c r="O7" s="19"/>
    </row>
    <row r="8" spans="2:23">
      <c r="B8" s="57" t="s">
        <v>116</v>
      </c>
      <c r="C8" s="9">
        <f>'BS source'!C7</f>
        <v>69921</v>
      </c>
      <c r="D8" s="9">
        <f>'BS source'!D7</f>
        <v>70027</v>
      </c>
      <c r="E8" s="9">
        <f>'BS source'!E7</f>
        <v>75380</v>
      </c>
      <c r="F8" s="9">
        <f>'BS source'!F7</f>
        <v>79481</v>
      </c>
      <c r="G8" s="9">
        <f>'BS source'!G7</f>
        <v>83760</v>
      </c>
      <c r="H8" s="9">
        <f>'BS source'!H7</f>
        <v>82324</v>
      </c>
      <c r="I8" s="9">
        <f>'BS source'!I7</f>
        <v>93874</v>
      </c>
      <c r="J8" s="9">
        <f>'BS source'!J7</f>
        <v>90174</v>
      </c>
      <c r="K8" s="19">
        <f>WC!K11</f>
        <v>93600.688649999996</v>
      </c>
      <c r="L8" s="19">
        <f>WC!L11</f>
        <v>96408.709309500002</v>
      </c>
      <c r="M8" s="19">
        <f>WC!M11</f>
        <v>99300.970588785014</v>
      </c>
      <c r="N8" s="19">
        <f>WC!N11</f>
        <v>102279.99970644857</v>
      </c>
      <c r="O8" s="19">
        <f>WC!O11</f>
        <v>105348.39969764202</v>
      </c>
      <c r="Q8" s="404" t="s">
        <v>308</v>
      </c>
      <c r="S8" s="122">
        <f>SUM(K9:K13)</f>
        <v>2946119.5060239201</v>
      </c>
      <c r="T8" s="122">
        <f t="shared" ref="T8:W8" si="1">SUM(L9:L13)</f>
        <v>2977512.1758496347</v>
      </c>
      <c r="U8" s="122">
        <f t="shared" si="1"/>
        <v>3014391.3862795108</v>
      </c>
      <c r="V8" s="122">
        <f t="shared" si="1"/>
        <v>3047328.0503515135</v>
      </c>
      <c r="W8" s="122">
        <f t="shared" si="1"/>
        <v>3090920.1749714152</v>
      </c>
    </row>
    <row r="9" spans="2:23" ht="12" customHeight="1">
      <c r="B9" s="79" t="s">
        <v>94</v>
      </c>
      <c r="C9" s="9">
        <f>SUM(C4:C8)</f>
        <v>345768</v>
      </c>
      <c r="D9" s="9">
        <f t="shared" ref="D9:J9" si="2">SUM(D4:D8)</f>
        <v>313636</v>
      </c>
      <c r="E9" s="9">
        <f t="shared" si="2"/>
        <v>299171</v>
      </c>
      <c r="F9" s="9">
        <f t="shared" si="2"/>
        <v>272376</v>
      </c>
      <c r="G9" s="9">
        <f t="shared" si="2"/>
        <v>300798</v>
      </c>
      <c r="H9" s="9">
        <f t="shared" si="2"/>
        <v>283572</v>
      </c>
      <c r="I9" s="9">
        <f t="shared" si="2"/>
        <v>277935</v>
      </c>
      <c r="J9" s="9">
        <f t="shared" si="2"/>
        <v>286538</v>
      </c>
      <c r="K9" s="80">
        <f t="shared" ref="K9:O9" si="3">SUM(K$4:K$6,K$8)</f>
        <v>277423.01856792002</v>
      </c>
      <c r="L9" s="80">
        <f t="shared" si="3"/>
        <v>289340.74869311461</v>
      </c>
      <c r="M9" s="80">
        <f t="shared" si="3"/>
        <v>306728.11755151732</v>
      </c>
      <c r="N9" s="80">
        <f t="shared" si="3"/>
        <v>320168.28342026903</v>
      </c>
      <c r="O9" s="80">
        <f t="shared" si="3"/>
        <v>344272.22437661682</v>
      </c>
      <c r="S9" s="122">
        <f>SUM(K27,K25)</f>
        <v>2946007.0104991486</v>
      </c>
      <c r="T9" s="122">
        <f t="shared" ref="T9:W9" si="4">SUM(L27,L25)</f>
        <v>2977399.6803248632</v>
      </c>
      <c r="U9" s="122">
        <f t="shared" si="4"/>
        <v>3014278.8907547393</v>
      </c>
      <c r="V9" s="122">
        <f t="shared" si="4"/>
        <v>3047215.5548267425</v>
      </c>
      <c r="W9" s="122">
        <f t="shared" si="4"/>
        <v>3090807.6794466441</v>
      </c>
    </row>
    <row r="10" spans="2:23" ht="12" customHeight="1">
      <c r="B10" s="4" t="s">
        <v>117</v>
      </c>
      <c r="C10" s="9">
        <f>'BS source'!C13</f>
        <v>746051</v>
      </c>
      <c r="D10" s="9">
        <f>'BS source'!D13</f>
        <v>754895</v>
      </c>
      <c r="E10" s="9">
        <f>'BS source'!E13</f>
        <v>770315</v>
      </c>
      <c r="F10" s="9">
        <f>'BS source'!F13</f>
        <v>777669</v>
      </c>
      <c r="G10" s="9">
        <f>'BS source'!G13</f>
        <v>791093</v>
      </c>
      <c r="H10" s="9">
        <f>'BS source'!H13</f>
        <v>793810</v>
      </c>
      <c r="I10" s="9">
        <f>'BS source'!I13</f>
        <v>810444</v>
      </c>
      <c r="J10" s="9">
        <f>'BS source'!J13</f>
        <v>829393</v>
      </c>
      <c r="K10" s="19">
        <f>Depreciation!K16</f>
        <v>839377.07345600007</v>
      </c>
      <c r="L10" s="19">
        <f>Depreciation!L16</f>
        <v>849293.39784212003</v>
      </c>
      <c r="M10" s="19">
        <f>Depreciation!M16</f>
        <v>859128.92254805681</v>
      </c>
      <c r="N10" s="19">
        <f>Depreciation!N16</f>
        <v>868869.87490105198</v>
      </c>
      <c r="O10" s="19">
        <f>Depreciation!O16</f>
        <v>878501.72858769353</v>
      </c>
      <c r="Q10" s="404" t="s">
        <v>303</v>
      </c>
      <c r="S10" s="122">
        <f>S8-S9</f>
        <v>112.49552477151155</v>
      </c>
      <c r="T10" s="122">
        <f t="shared" ref="T10:W10" si="5">T8-T9</f>
        <v>112.49552477151155</v>
      </c>
      <c r="U10" s="122">
        <f t="shared" si="5"/>
        <v>112.49552477151155</v>
      </c>
      <c r="V10" s="122">
        <f t="shared" si="5"/>
        <v>112.49552477104589</v>
      </c>
      <c r="W10" s="122">
        <f t="shared" si="5"/>
        <v>112.49552477104589</v>
      </c>
    </row>
    <row r="11" spans="2:23" ht="12" customHeight="1">
      <c r="B11" s="4" t="s">
        <v>97</v>
      </c>
      <c r="C11" s="9">
        <f>'BS source'!C14</f>
        <v>251524</v>
      </c>
      <c r="D11" s="9">
        <f>'BS source'!D14</f>
        <v>251526</v>
      </c>
      <c r="E11" s="9">
        <f>'BS source'!E14</f>
        <v>251559</v>
      </c>
      <c r="F11" s="9">
        <f>'BS source'!F14</f>
        <v>251529</v>
      </c>
      <c r="G11" s="9">
        <f>'BS source'!G14</f>
        <v>251727</v>
      </c>
      <c r="H11" s="9">
        <f>'BS source'!H14</f>
        <v>251771</v>
      </c>
      <c r="I11" s="9">
        <f>'BS source'!I14</f>
        <v>252039</v>
      </c>
      <c r="J11" s="9">
        <f>'BS source'!J14</f>
        <v>252015</v>
      </c>
      <c r="K11" s="19">
        <f>'Other Long-term'!K4</f>
        <v>252115.80599999998</v>
      </c>
      <c r="L11" s="19">
        <f>'Other Long-term'!L4</f>
        <v>252216.65232239998</v>
      </c>
      <c r="M11" s="19">
        <f>'Other Long-term'!M4</f>
        <v>252317.53898332894</v>
      </c>
      <c r="N11" s="19">
        <f>'Other Long-term'!N4</f>
        <v>252418.46599892227</v>
      </c>
      <c r="O11" s="19">
        <f>'Other Long-term'!O4</f>
        <v>252519.43338532184</v>
      </c>
      <c r="Q11" s="404" t="s">
        <v>99</v>
      </c>
    </row>
    <row r="12" spans="2:23" ht="12" customHeight="1">
      <c r="B12" s="4" t="s">
        <v>98</v>
      </c>
      <c r="C12" s="9">
        <f>'BS source'!C15</f>
        <v>1268986</v>
      </c>
      <c r="D12" s="9">
        <f>'BS source'!D15</f>
        <v>1259026</v>
      </c>
      <c r="E12" s="9">
        <f>'BS source'!E15</f>
        <v>1280758</v>
      </c>
      <c r="F12" s="9">
        <f>'BS source'!F15</f>
        <v>1307345</v>
      </c>
      <c r="G12" s="9">
        <f>'BS source'!G15</f>
        <v>1302150</v>
      </c>
      <c r="H12" s="9">
        <f>'BS source'!H15</f>
        <v>1310319</v>
      </c>
      <c r="I12" s="9">
        <f>'BS source'!I15</f>
        <v>1338155</v>
      </c>
      <c r="J12" s="9">
        <f>'BS source'!J15</f>
        <v>1361826</v>
      </c>
      <c r="K12" s="19">
        <f>'Other Long-term'!K5</f>
        <v>1367273.304</v>
      </c>
      <c r="L12" s="19">
        <f>'Other Long-term'!L5</f>
        <v>1372742.3972159999</v>
      </c>
      <c r="M12" s="19">
        <f>'Other Long-term'!M5</f>
        <v>1378233.3668048638</v>
      </c>
      <c r="N12" s="19">
        <f>'Other Long-term'!N5</f>
        <v>1383746.3002720831</v>
      </c>
      <c r="O12" s="19">
        <f>'Other Long-term'!O5</f>
        <v>1389281.2854731714</v>
      </c>
      <c r="Q12" s="404" t="s">
        <v>99</v>
      </c>
    </row>
    <row r="13" spans="2:23" ht="12" customHeight="1">
      <c r="B13" s="4" t="s">
        <v>118</v>
      </c>
      <c r="C13" s="9">
        <f>'BS source'!C16</f>
        <v>162891</v>
      </c>
      <c r="D13" s="9">
        <f>'BS source'!D16</f>
        <v>163405</v>
      </c>
      <c r="E13" s="9">
        <f>'BS source'!E16</f>
        <v>167905</v>
      </c>
      <c r="F13" s="9">
        <f>'BS source'!F16</f>
        <v>167971</v>
      </c>
      <c r="G13" s="9">
        <f>'BS source'!G16</f>
        <v>194615</v>
      </c>
      <c r="H13" s="9">
        <f>'BS source'!H16</f>
        <v>198168</v>
      </c>
      <c r="I13" s="9">
        <f>'BS source'!I16</f>
        <v>201018</v>
      </c>
      <c r="J13" s="9">
        <f>'BS source'!J16</f>
        <v>206016</v>
      </c>
      <c r="K13" s="19">
        <f>'Other Long-term'!K6</f>
        <v>209930.30399999997</v>
      </c>
      <c r="L13" s="19">
        <f>'Other Long-term'!L6</f>
        <v>213918.97977599996</v>
      </c>
      <c r="M13" s="19">
        <f>'Other Long-term'!M6</f>
        <v>217983.44039174393</v>
      </c>
      <c r="N13" s="19">
        <f>'Other Long-term'!N6</f>
        <v>222125.12575918704</v>
      </c>
      <c r="O13" s="19">
        <f>'Other Long-term'!O6</f>
        <v>226345.50314861158</v>
      </c>
      <c r="Q13" s="404" t="s">
        <v>99</v>
      </c>
    </row>
    <row r="14" spans="2:23" ht="7" customHeight="1">
      <c r="C14" s="9"/>
      <c r="D14" s="9"/>
      <c r="E14" s="9"/>
      <c r="F14" s="9"/>
      <c r="G14" s="9"/>
      <c r="H14" s="9"/>
      <c r="I14" s="9"/>
      <c r="K14" s="19"/>
      <c r="L14" s="19"/>
      <c r="M14" s="19"/>
      <c r="N14" s="19"/>
      <c r="O14" s="19"/>
    </row>
    <row r="15" spans="2:23" ht="3.75" customHeight="1">
      <c r="K15" s="19"/>
      <c r="L15" s="19"/>
      <c r="M15" s="19"/>
      <c r="N15" s="19"/>
      <c r="O15" s="19"/>
    </row>
    <row r="16" spans="2:23" ht="12" thickBot="1">
      <c r="B16" s="30" t="s">
        <v>14</v>
      </c>
      <c r="C16" s="31">
        <f>SUM(C$9:C$13)</f>
        <v>2775220</v>
      </c>
      <c r="D16" s="31">
        <f t="shared" ref="D16:J16" si="6">SUM(D$9:D$13)</f>
        <v>2742488</v>
      </c>
      <c r="E16" s="31">
        <f t="shared" si="6"/>
        <v>2769708</v>
      </c>
      <c r="F16" s="31">
        <f t="shared" si="6"/>
        <v>2776890</v>
      </c>
      <c r="G16" s="31">
        <f t="shared" si="6"/>
        <v>2840383</v>
      </c>
      <c r="H16" s="31">
        <f t="shared" si="6"/>
        <v>2837640</v>
      </c>
      <c r="I16" s="31">
        <f t="shared" si="6"/>
        <v>2879591</v>
      </c>
      <c r="J16" s="31">
        <f t="shared" si="6"/>
        <v>2935788</v>
      </c>
      <c r="K16" s="32">
        <f t="shared" ref="K16:O16" si="7">SUM(K$9:K$13)</f>
        <v>2946119.5060239201</v>
      </c>
      <c r="L16" s="32">
        <f t="shared" si="7"/>
        <v>2977512.1758496347</v>
      </c>
      <c r="M16" s="32">
        <f t="shared" si="7"/>
        <v>3014391.3862795108</v>
      </c>
      <c r="N16" s="32">
        <f t="shared" si="7"/>
        <v>3047328.0503515135</v>
      </c>
      <c r="O16" s="32">
        <f t="shared" si="7"/>
        <v>3090920.1749714152</v>
      </c>
    </row>
    <row r="17" spans="2:17">
      <c r="B17" s="4" t="s">
        <v>103</v>
      </c>
      <c r="C17" s="9">
        <f>'BS source'!M12</f>
        <v>66638</v>
      </c>
      <c r="D17" s="9">
        <f>'BS source'!N12</f>
        <v>57001</v>
      </c>
      <c r="E17" s="9">
        <f>'BS source'!O12</f>
        <v>72682</v>
      </c>
      <c r="F17" s="9">
        <f>'BS source'!P12</f>
        <v>53392</v>
      </c>
      <c r="G17" s="9">
        <f>'BS source'!Q12</f>
        <v>63152</v>
      </c>
      <c r="H17" s="9">
        <f>'BS source'!R12</f>
        <v>61383</v>
      </c>
      <c r="I17" s="9">
        <f>'BS source'!S12</f>
        <v>68644</v>
      </c>
      <c r="J17" s="9">
        <f>'BS source'!T12</f>
        <v>62663</v>
      </c>
      <c r="K17" s="19">
        <f>WC!K15</f>
        <v>66857.634749999997</v>
      </c>
      <c r="L17" s="19">
        <f>WC!L15</f>
        <v>68863.363792499993</v>
      </c>
      <c r="M17" s="19">
        <f>WC!M15</f>
        <v>70929.264706275004</v>
      </c>
      <c r="N17" s="19">
        <f>WC!N15</f>
        <v>73057.142647463261</v>
      </c>
      <c r="O17" s="19">
        <f>WC!O15</f>
        <v>75248.856926887151</v>
      </c>
      <c r="Q17" s="404" t="s">
        <v>302</v>
      </c>
    </row>
    <row r="18" spans="2:17">
      <c r="B18" s="4" t="s">
        <v>104</v>
      </c>
      <c r="C18" s="9">
        <f>'BS source'!M13</f>
        <v>219808</v>
      </c>
      <c r="D18" s="9">
        <f>'BS source'!N13</f>
        <v>191908</v>
      </c>
      <c r="E18" s="9">
        <f>'BS source'!O13</f>
        <v>187483</v>
      </c>
      <c r="F18" s="9">
        <f>'BS source'!P13</f>
        <v>180200</v>
      </c>
      <c r="G18" s="9">
        <f>'BS source'!Q13</f>
        <v>222915</v>
      </c>
      <c r="H18" s="9">
        <f>'BS source'!R13</f>
        <v>196236</v>
      </c>
      <c r="I18" s="9">
        <f>'BS source'!S13</f>
        <v>192344</v>
      </c>
      <c r="J18" s="9">
        <f>'BS source'!T13</f>
        <v>184258</v>
      </c>
      <c r="K18" s="19">
        <f>WC!K14</f>
        <v>187201.37729999999</v>
      </c>
      <c r="L18" s="19">
        <f>WC!L14</f>
        <v>192817.41861899997</v>
      </c>
      <c r="M18" s="19">
        <f>WC!M14</f>
        <v>198601.94117757</v>
      </c>
      <c r="N18" s="19">
        <f>WC!N14</f>
        <v>204559.99941289713</v>
      </c>
      <c r="O18" s="19">
        <f>WC!O14</f>
        <v>210696.799395284</v>
      </c>
      <c r="Q18" s="404" t="s">
        <v>302</v>
      </c>
    </row>
    <row r="19" spans="2:17">
      <c r="B19" s="4" t="s">
        <v>105</v>
      </c>
      <c r="C19" s="9">
        <f>'BS source'!M14</f>
        <v>139099</v>
      </c>
      <c r="D19" s="9">
        <f>'BS source'!N14</f>
        <v>140493</v>
      </c>
      <c r="E19" s="9">
        <f>'BS source'!O14</f>
        <v>142370</v>
      </c>
      <c r="F19" s="9">
        <f>'BS source'!P14</f>
        <v>144488</v>
      </c>
      <c r="G19" s="9">
        <f>'BS source'!Q14</f>
        <v>134905</v>
      </c>
      <c r="H19" s="9">
        <f>'BS source'!R14</f>
        <v>147380</v>
      </c>
      <c r="I19" s="9">
        <f>'BS source'!S14</f>
        <v>149899</v>
      </c>
      <c r="J19" s="9">
        <f>'BS source'!T14</f>
        <v>139974</v>
      </c>
      <c r="K19" s="19">
        <f>WC!K17</f>
        <v>144412.49106</v>
      </c>
      <c r="L19" s="19">
        <f>WC!L17</f>
        <v>148744.8657918</v>
      </c>
      <c r="M19" s="19">
        <f>WC!M17</f>
        <v>153207.21176555401</v>
      </c>
      <c r="N19" s="19">
        <f>WC!N17</f>
        <v>157803.42811852065</v>
      </c>
      <c r="O19" s="19">
        <f>WC!O17</f>
        <v>162537.53096207624</v>
      </c>
      <c r="Q19" s="404" t="s">
        <v>302</v>
      </c>
    </row>
    <row r="20" spans="2:17">
      <c r="B20" s="4" t="s">
        <v>106</v>
      </c>
      <c r="C20" s="9">
        <f>'BS source'!M15</f>
        <v>231133</v>
      </c>
      <c r="D20" s="9">
        <f>'BS source'!N15</f>
        <v>237293</v>
      </c>
      <c r="E20" s="9">
        <f>'BS source'!O15</f>
        <v>220917</v>
      </c>
      <c r="F20" s="9">
        <f>'BS source'!P15</f>
        <v>240440</v>
      </c>
      <c r="G20" s="9">
        <f>'BS source'!Q15</f>
        <v>239699</v>
      </c>
      <c r="H20" s="9">
        <f>'BS source'!R15</f>
        <v>249502</v>
      </c>
      <c r="I20" s="9">
        <f>'BS source'!S15</f>
        <v>231720</v>
      </c>
      <c r="J20" s="9">
        <f>'BS source'!T15</f>
        <v>264998</v>
      </c>
      <c r="K20" s="19">
        <f>WC!K16</f>
        <v>256733.31743999998</v>
      </c>
      <c r="L20" s="19">
        <f>WC!L16</f>
        <v>264435.31696319999</v>
      </c>
      <c r="M20" s="19">
        <f>WC!M16</f>
        <v>272368.37647209602</v>
      </c>
      <c r="N20" s="19">
        <f>WC!N16</f>
        <v>280539.42776625889</v>
      </c>
      <c r="O20" s="19">
        <f>WC!O16</f>
        <v>288955.61059924663</v>
      </c>
      <c r="Q20" s="404" t="s">
        <v>302</v>
      </c>
    </row>
    <row r="21" spans="2:17">
      <c r="B21" s="79" t="s">
        <v>107</v>
      </c>
      <c r="C21" s="50">
        <f>SUM(C$17:C$20)</f>
        <v>656678</v>
      </c>
      <c r="D21" s="50">
        <f t="shared" ref="D21:J21" si="8">SUM(D$17:D$20)</f>
        <v>626695</v>
      </c>
      <c r="E21" s="50">
        <f t="shared" si="8"/>
        <v>623452</v>
      </c>
      <c r="F21" s="50">
        <f t="shared" si="8"/>
        <v>618520</v>
      </c>
      <c r="G21" s="50">
        <f t="shared" si="8"/>
        <v>660671</v>
      </c>
      <c r="H21" s="50">
        <f t="shared" si="8"/>
        <v>654501</v>
      </c>
      <c r="I21" s="50">
        <f t="shared" si="8"/>
        <v>642607</v>
      </c>
      <c r="J21" s="50">
        <f t="shared" si="8"/>
        <v>651893</v>
      </c>
      <c r="K21" s="80">
        <f t="shared" ref="K21:O21" si="9">SUM(K$17:K$20)</f>
        <v>655204.82054999995</v>
      </c>
      <c r="L21" s="80">
        <f t="shared" si="9"/>
        <v>674860.96516649995</v>
      </c>
      <c r="M21" s="80">
        <f t="shared" si="9"/>
        <v>695106.79412149498</v>
      </c>
      <c r="N21" s="80">
        <f t="shared" si="9"/>
        <v>715959.99794513988</v>
      </c>
      <c r="O21" s="80">
        <f t="shared" si="9"/>
        <v>737438.79788349406</v>
      </c>
    </row>
    <row r="22" spans="2:17" ht="12" customHeight="1">
      <c r="B22" s="4" t="s">
        <v>108</v>
      </c>
      <c r="C22" s="9">
        <f>'BS source'!M17</f>
        <v>468032</v>
      </c>
      <c r="D22" s="9">
        <f>'BS source'!N17</f>
        <v>468536</v>
      </c>
      <c r="E22" s="9">
        <f>'BS source'!O17</f>
        <v>469040</v>
      </c>
      <c r="F22" s="9">
        <f>'BS source'!P17</f>
        <v>469543</v>
      </c>
      <c r="G22" s="9">
        <f>'BS source'!Q17</f>
        <v>470047</v>
      </c>
      <c r="H22" s="9">
        <f>'BS source'!R17</f>
        <v>470551</v>
      </c>
      <c r="I22" s="9">
        <f>'BS source'!S17</f>
        <v>471054</v>
      </c>
      <c r="J22" s="9">
        <f>'BS source'!T17</f>
        <v>471558</v>
      </c>
      <c r="K22" s="19">
        <v>471558</v>
      </c>
      <c r="L22" s="19">
        <v>471558</v>
      </c>
      <c r="M22" s="19">
        <v>471558</v>
      </c>
      <c r="N22" s="19">
        <v>471558</v>
      </c>
      <c r="O22" s="19">
        <v>471558</v>
      </c>
      <c r="Q22" s="404" t="s">
        <v>322</v>
      </c>
    </row>
    <row r="23" spans="2:17" ht="12" customHeight="1">
      <c r="B23" s="4" t="s">
        <v>105</v>
      </c>
      <c r="C23" s="9">
        <f>'BS source'!M18</f>
        <v>1233497</v>
      </c>
      <c r="D23" s="9">
        <f>'BS source'!N18</f>
        <v>1218024</v>
      </c>
      <c r="E23" s="9">
        <f>'BS source'!O18</f>
        <v>1228664</v>
      </c>
      <c r="F23" s="9">
        <f>'BS source'!P18</f>
        <v>1246819</v>
      </c>
      <c r="G23" s="9">
        <f>'BS source'!Q18</f>
        <v>1254955</v>
      </c>
      <c r="H23" s="9">
        <f>'BS source'!R18</f>
        <v>1243276</v>
      </c>
      <c r="I23" s="9">
        <f>'BS source'!S18</f>
        <v>1258933</v>
      </c>
      <c r="J23" s="9">
        <f>'BS source'!T18</f>
        <v>1276951</v>
      </c>
      <c r="K23" s="19">
        <f>'Other Long-term'!K11</f>
        <v>1287166.608</v>
      </c>
      <c r="L23" s="19">
        <f>'Other Long-term'!L11</f>
        <v>1297463.940864</v>
      </c>
      <c r="M23" s="19">
        <f>'Other Long-term'!M11</f>
        <v>1307843.6523909119</v>
      </c>
      <c r="N23" s="19">
        <f>'Other Long-term'!N11</f>
        <v>1318306.4016100392</v>
      </c>
      <c r="O23" s="19">
        <f>'Other Long-term'!O11</f>
        <v>1328852.8528229196</v>
      </c>
      <c r="Q23" s="404" t="s">
        <v>99</v>
      </c>
    </row>
    <row r="24" spans="2:17" ht="12" customHeight="1">
      <c r="B24" s="4" t="s">
        <v>119</v>
      </c>
      <c r="C24" s="9">
        <f>'BS source'!M19</f>
        <v>125010</v>
      </c>
      <c r="D24" s="9">
        <f>'BS source'!N19</f>
        <v>129394</v>
      </c>
      <c r="E24" s="9">
        <f>'BS source'!O19</f>
        <v>122649</v>
      </c>
      <c r="F24" s="9">
        <f>'BS source'!P19</f>
        <v>120364</v>
      </c>
      <c r="G24" s="9">
        <f>'BS source'!Q19</f>
        <v>136648</v>
      </c>
      <c r="H24" s="9">
        <f>'BS source'!R19</f>
        <v>136874</v>
      </c>
      <c r="I24" s="9">
        <f>'BS source'!S19</f>
        <v>133017</v>
      </c>
      <c r="J24" s="9">
        <f>'BS source'!T19</f>
        <v>139007</v>
      </c>
      <c r="K24" s="19">
        <f>'Other Long-term'!K12</f>
        <v>141370.11899999998</v>
      </c>
      <c r="L24" s="19">
        <f>'Other Long-term'!L12</f>
        <v>143773.41102299996</v>
      </c>
      <c r="M24" s="19">
        <f>'Other Long-term'!M12</f>
        <v>146217.55901039095</v>
      </c>
      <c r="N24" s="19">
        <f>'Other Long-term'!N12</f>
        <v>148703.25751356757</v>
      </c>
      <c r="O24" s="19">
        <f>'Other Long-term'!O12</f>
        <v>151231.2128912982</v>
      </c>
      <c r="Q24" s="404" t="s">
        <v>99</v>
      </c>
    </row>
    <row r="25" spans="2:17" ht="12" customHeight="1">
      <c r="B25" s="79" t="s">
        <v>110</v>
      </c>
      <c r="C25" s="50">
        <f>SUM(C21,C22:C24)</f>
        <v>2483217</v>
      </c>
      <c r="D25" s="50">
        <f t="shared" ref="D25:J25" si="10">SUM(D21,D22:D24)</f>
        <v>2442649</v>
      </c>
      <c r="E25" s="50">
        <f t="shared" si="10"/>
        <v>2443805</v>
      </c>
      <c r="F25" s="50">
        <f t="shared" si="10"/>
        <v>2455246</v>
      </c>
      <c r="G25" s="50">
        <f t="shared" si="10"/>
        <v>2522321</v>
      </c>
      <c r="H25" s="50">
        <f t="shared" si="10"/>
        <v>2505202</v>
      </c>
      <c r="I25" s="50">
        <f t="shared" si="10"/>
        <v>2505611</v>
      </c>
      <c r="J25" s="50">
        <f t="shared" si="10"/>
        <v>2539409</v>
      </c>
      <c r="K25" s="80">
        <f t="shared" ref="K25:O25" si="11">SUM(K21,K22:K24)</f>
        <v>2555299.5475499998</v>
      </c>
      <c r="L25" s="80">
        <f t="shared" si="11"/>
        <v>2587656.3170534996</v>
      </c>
      <c r="M25" s="80">
        <f t="shared" si="11"/>
        <v>2620726.0055227978</v>
      </c>
      <c r="N25" s="80">
        <f t="shared" si="11"/>
        <v>2654527.6570687471</v>
      </c>
      <c r="O25" s="80">
        <f t="shared" si="11"/>
        <v>2689080.863597712</v>
      </c>
    </row>
    <row r="26" spans="2:17" ht="3.75" customHeight="1">
      <c r="C26" s="9"/>
      <c r="D26" s="9"/>
      <c r="E26" s="9"/>
      <c r="F26" s="9"/>
      <c r="G26" s="9"/>
      <c r="H26" s="9"/>
      <c r="I26" s="9"/>
      <c r="K26" s="19"/>
      <c r="L26" s="19"/>
      <c r="M26" s="19"/>
      <c r="N26" s="19"/>
      <c r="O26" s="19"/>
    </row>
    <row r="27" spans="2:17">
      <c r="B27" s="4" t="s">
        <v>30</v>
      </c>
      <c r="C27" s="9">
        <f>'BS source'!M10</f>
        <v>292003</v>
      </c>
      <c r="D27" s="9">
        <f>'BS source'!N10</f>
        <v>299839</v>
      </c>
      <c r="E27" s="9">
        <f>'BS source'!O10</f>
        <v>325903</v>
      </c>
      <c r="F27" s="9">
        <f>'BS source'!P10</f>
        <v>321644</v>
      </c>
      <c r="G27" s="9">
        <f>'BS source'!Q10</f>
        <v>318062</v>
      </c>
      <c r="H27" s="9">
        <f>'BS source'!R10</f>
        <v>332438</v>
      </c>
      <c r="I27" s="9">
        <f>'BS source'!S10</f>
        <v>373980</v>
      </c>
      <c r="J27" s="9">
        <f>'BS source'!T10</f>
        <v>396379</v>
      </c>
      <c r="K27" s="19">
        <f>Equity!K12</f>
        <v>390707.4629491489</v>
      </c>
      <c r="L27" s="19">
        <f>Equity!L12</f>
        <v>389743.36327136337</v>
      </c>
      <c r="M27" s="19">
        <f>Equity!M12</f>
        <v>393552.88523194159</v>
      </c>
      <c r="N27" s="19">
        <f>Equity!N12</f>
        <v>392687.89775799547</v>
      </c>
      <c r="O27" s="19">
        <f>Equity!O12</f>
        <v>401726.81584893208</v>
      </c>
      <c r="Q27" s="404" t="s">
        <v>323</v>
      </c>
    </row>
    <row r="28" spans="2:17" ht="7" customHeight="1">
      <c r="C28" s="9"/>
      <c r="D28" s="9"/>
      <c r="E28" s="9"/>
      <c r="F28" s="9"/>
      <c r="G28" s="9"/>
      <c r="H28" s="9"/>
      <c r="I28" s="9"/>
      <c r="K28" s="403">
        <f>S10</f>
        <v>112.49552477151155</v>
      </c>
      <c r="L28" s="403">
        <f t="shared" ref="L28:O28" si="12">T10</f>
        <v>112.49552477151155</v>
      </c>
      <c r="M28" s="403">
        <f t="shared" si="12"/>
        <v>112.49552477151155</v>
      </c>
      <c r="N28" s="403">
        <f t="shared" si="12"/>
        <v>112.49552477104589</v>
      </c>
      <c r="O28" s="403">
        <f t="shared" si="12"/>
        <v>112.49552477104589</v>
      </c>
    </row>
    <row r="29" spans="2:17" ht="12" thickBot="1">
      <c r="B29" s="30" t="s">
        <v>31</v>
      </c>
      <c r="C29" s="31">
        <f>SUM(C25,C27)</f>
        <v>2775220</v>
      </c>
      <c r="D29" s="31">
        <f t="shared" ref="D29:J29" si="13">SUM(D25,D27)</f>
        <v>2742488</v>
      </c>
      <c r="E29" s="31">
        <f t="shared" si="13"/>
        <v>2769708</v>
      </c>
      <c r="F29" s="31">
        <f t="shared" si="13"/>
        <v>2776890</v>
      </c>
      <c r="G29" s="31">
        <f t="shared" si="13"/>
        <v>2840383</v>
      </c>
      <c r="H29" s="31">
        <f t="shared" si="13"/>
        <v>2837640</v>
      </c>
      <c r="I29" s="31">
        <f t="shared" si="13"/>
        <v>2879591</v>
      </c>
      <c r="J29" s="31">
        <f t="shared" si="13"/>
        <v>2935788</v>
      </c>
      <c r="K29" s="32">
        <f>SUM(K25:K28)</f>
        <v>2946119.5060239201</v>
      </c>
      <c r="L29" s="32">
        <f t="shared" ref="L29:O29" si="14">SUM(L25:L28)</f>
        <v>2977512.1758496347</v>
      </c>
      <c r="M29" s="32">
        <f t="shared" si="14"/>
        <v>3014391.3862795108</v>
      </c>
      <c r="N29" s="32">
        <f t="shared" si="14"/>
        <v>3047328.0503515135</v>
      </c>
      <c r="O29" s="32">
        <f t="shared" si="14"/>
        <v>3090920.1749714152</v>
      </c>
    </row>
    <row r="30" spans="2:17">
      <c r="B30" s="84" t="s">
        <v>120</v>
      </c>
      <c r="C30" s="83">
        <f>C16-C29</f>
        <v>0</v>
      </c>
      <c r="D30" s="83">
        <f t="shared" ref="D30:O30" si="15">D16-D29</f>
        <v>0</v>
      </c>
      <c r="E30" s="83">
        <f t="shared" si="15"/>
        <v>0</v>
      </c>
      <c r="F30" s="83">
        <f t="shared" si="15"/>
        <v>0</v>
      </c>
      <c r="K30" s="9">
        <f>K16-K29</f>
        <v>0</v>
      </c>
      <c r="L30" s="9">
        <f t="shared" si="15"/>
        <v>0</v>
      </c>
      <c r="M30" s="9">
        <f t="shared" si="15"/>
        <v>0</v>
      </c>
      <c r="N30" s="9">
        <f t="shared" si="15"/>
        <v>0</v>
      </c>
      <c r="O30" s="9">
        <f t="shared" si="15"/>
        <v>0</v>
      </c>
    </row>
    <row r="31" spans="2:17">
      <c r="K31" s="9"/>
      <c r="L31" s="9"/>
      <c r="M31" s="9"/>
      <c r="N31" s="9"/>
      <c r="O31" s="9"/>
    </row>
    <row r="32" spans="2:17" ht="18" thickBot="1">
      <c r="B32" s="410" t="s">
        <v>81</v>
      </c>
      <c r="C32" s="69"/>
      <c r="D32" s="69"/>
      <c r="E32" s="69"/>
      <c r="F32" s="69"/>
      <c r="G32" s="69"/>
      <c r="H32" s="69"/>
      <c r="I32" s="69"/>
      <c r="J32" s="69"/>
      <c r="K32" s="69"/>
      <c r="L32" s="69"/>
      <c r="M32" s="69"/>
      <c r="N32" s="69"/>
      <c r="O32" s="69"/>
    </row>
    <row r="34" spans="2:3">
      <c r="B34" s="4" t="s">
        <v>86</v>
      </c>
      <c r="C34" s="67">
        <f>'P&amp;L'!$C$36</f>
        <v>2</v>
      </c>
    </row>
  </sheetData>
  <phoneticPr fontId="88"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7338-6080-4066-8CA6-A4ACB9E8C610}">
  <dimension ref="A1:R69"/>
  <sheetViews>
    <sheetView zoomScale="80" zoomScaleNormal="80" workbookViewId="0"/>
  </sheetViews>
  <sheetFormatPr defaultRowHeight="14.5"/>
  <cols>
    <col min="1" max="1" width="8.7265625" style="96"/>
    <col min="2" max="2" width="27.1796875" style="359" customWidth="1"/>
    <col min="3" max="3" width="8.7265625" style="359"/>
    <col min="4" max="10" width="9.08984375" style="359" bestFit="1" customWidth="1"/>
    <col min="11" max="15" width="10.81640625" style="359" customWidth="1"/>
    <col min="16" max="16" width="10.54296875" style="96" customWidth="1"/>
    <col min="17" max="17" width="8.7265625" style="411"/>
    <col min="18" max="16384" width="8.7265625" style="96"/>
  </cols>
  <sheetData>
    <row r="1" spans="2:18" ht="23.5">
      <c r="B1" s="358" t="s">
        <v>461</v>
      </c>
    </row>
    <row r="3" spans="2:18" ht="25" thickBot="1">
      <c r="B3" s="360" t="s">
        <v>462</v>
      </c>
      <c r="C3" s="361" t="s">
        <v>430</v>
      </c>
      <c r="D3" s="361" t="s">
        <v>431</v>
      </c>
      <c r="E3" s="361" t="s">
        <v>432</v>
      </c>
      <c r="F3" s="361" t="s">
        <v>433</v>
      </c>
      <c r="G3" s="361" t="s">
        <v>434</v>
      </c>
      <c r="H3" s="361" t="s">
        <v>435</v>
      </c>
      <c r="I3" s="361" t="s">
        <v>436</v>
      </c>
      <c r="J3" s="361" t="s">
        <v>437</v>
      </c>
      <c r="K3" s="362" t="s">
        <v>440</v>
      </c>
      <c r="L3" s="362" t="s">
        <v>441</v>
      </c>
      <c r="M3" s="362" t="s">
        <v>442</v>
      </c>
      <c r="N3" s="362" t="s">
        <v>443</v>
      </c>
      <c r="O3" s="362" t="s">
        <v>444</v>
      </c>
    </row>
    <row r="5" spans="2:18">
      <c r="B5" s="359" t="s">
        <v>463</v>
      </c>
      <c r="D5" s="363">
        <f>D20</f>
        <v>656000</v>
      </c>
      <c r="E5" s="363">
        <f t="shared" ref="E5:J5" si="0">E20</f>
        <v>652481</v>
      </c>
      <c r="F5" s="363">
        <f t="shared" si="0"/>
        <v>628140</v>
      </c>
      <c r="G5" s="363">
        <f t="shared" si="0"/>
        <v>658445</v>
      </c>
      <c r="H5" s="363">
        <f t="shared" si="0"/>
        <v>667794</v>
      </c>
      <c r="I5" s="363">
        <f t="shared" si="0"/>
        <v>676697</v>
      </c>
      <c r="J5" s="363">
        <f t="shared" si="0"/>
        <v>647754</v>
      </c>
      <c r="K5" s="364">
        <f t="shared" ref="K5:O8" si="1">K13*K28</f>
        <v>664888</v>
      </c>
      <c r="L5" s="364">
        <f t="shared" si="1"/>
        <v>671016</v>
      </c>
      <c r="M5" s="364">
        <f t="shared" si="1"/>
        <v>677144</v>
      </c>
      <c r="N5" s="364">
        <f t="shared" si="1"/>
        <v>683272</v>
      </c>
      <c r="O5" s="364">
        <f t="shared" si="1"/>
        <v>689400</v>
      </c>
      <c r="Q5" s="412"/>
      <c r="R5" s="155"/>
    </row>
    <row r="6" spans="2:18">
      <c r="B6" s="359" t="s">
        <v>464</v>
      </c>
      <c r="D6" s="363">
        <f t="shared" ref="D6:J8" si="2">D21</f>
        <v>63303</v>
      </c>
      <c r="E6" s="363">
        <f t="shared" si="2"/>
        <v>65934</v>
      </c>
      <c r="F6" s="363">
        <f t="shared" si="2"/>
        <v>62417</v>
      </c>
      <c r="G6" s="363">
        <f t="shared" si="2"/>
        <v>67224</v>
      </c>
      <c r="H6" s="363">
        <f t="shared" si="2"/>
        <v>70874</v>
      </c>
      <c r="I6" s="363">
        <f t="shared" si="2"/>
        <v>75514</v>
      </c>
      <c r="J6" s="363">
        <f t="shared" si="2"/>
        <v>71878</v>
      </c>
      <c r="K6" s="364">
        <f t="shared" si="1"/>
        <v>77449</v>
      </c>
      <c r="L6" s="364">
        <f t="shared" si="1"/>
        <v>79338</v>
      </c>
      <c r="M6" s="364">
        <f t="shared" si="1"/>
        <v>81227</v>
      </c>
      <c r="N6" s="364">
        <f t="shared" si="1"/>
        <v>83116</v>
      </c>
      <c r="O6" s="364">
        <f t="shared" si="1"/>
        <v>85005</v>
      </c>
    </row>
    <row r="7" spans="2:18">
      <c r="B7" s="359" t="s">
        <v>465</v>
      </c>
      <c r="D7" s="363">
        <f t="shared" si="2"/>
        <v>68640</v>
      </c>
      <c r="E7" s="363">
        <f t="shared" si="2"/>
        <v>65728</v>
      </c>
      <c r="F7" s="363">
        <f t="shared" si="2"/>
        <v>58642</v>
      </c>
      <c r="G7" s="363">
        <f t="shared" si="2"/>
        <v>70913</v>
      </c>
      <c r="H7" s="363">
        <f t="shared" si="2"/>
        <v>74229</v>
      </c>
      <c r="I7" s="363">
        <f t="shared" si="2"/>
        <v>73637</v>
      </c>
      <c r="J7" s="363">
        <f t="shared" si="2"/>
        <v>66984</v>
      </c>
      <c r="K7" s="364">
        <f t="shared" si="1"/>
        <v>82859</v>
      </c>
      <c r="L7" s="364">
        <f t="shared" si="1"/>
        <v>86241</v>
      </c>
      <c r="M7" s="364">
        <f t="shared" si="1"/>
        <v>89623</v>
      </c>
      <c r="N7" s="364">
        <f t="shared" si="1"/>
        <v>93005</v>
      </c>
      <c r="O7" s="364">
        <f t="shared" si="1"/>
        <v>96387</v>
      </c>
    </row>
    <row r="8" spans="2:18" ht="15" thickBot="1">
      <c r="B8" s="359" t="s">
        <v>466</v>
      </c>
      <c r="D8" s="363">
        <f t="shared" si="2"/>
        <v>78171</v>
      </c>
      <c r="E8" s="363">
        <f t="shared" si="2"/>
        <v>82027</v>
      </c>
      <c r="F8" s="363">
        <f t="shared" si="2"/>
        <v>81011</v>
      </c>
      <c r="G8" s="363">
        <f t="shared" si="2"/>
        <v>80427</v>
      </c>
      <c r="H8" s="363">
        <f t="shared" si="2"/>
        <v>78326</v>
      </c>
      <c r="I8" s="363">
        <f t="shared" si="2"/>
        <v>78194</v>
      </c>
      <c r="J8" s="363">
        <f t="shared" si="2"/>
        <v>78855</v>
      </c>
      <c r="K8" s="364">
        <f t="shared" si="1"/>
        <v>84968</v>
      </c>
      <c r="L8" s="364">
        <f t="shared" si="1"/>
        <v>86944</v>
      </c>
      <c r="M8" s="364">
        <f t="shared" si="1"/>
        <v>88920</v>
      </c>
      <c r="N8" s="364">
        <f t="shared" si="1"/>
        <v>90896</v>
      </c>
      <c r="O8" s="364">
        <f t="shared" si="1"/>
        <v>92872</v>
      </c>
    </row>
    <row r="9" spans="2:18" s="388" customFormat="1">
      <c r="B9" s="365" t="s">
        <v>64</v>
      </c>
      <c r="C9" s="365"/>
      <c r="D9" s="386">
        <f>SUM(D5:D8)</f>
        <v>866114</v>
      </c>
      <c r="E9" s="386">
        <f t="shared" ref="E9:O9" si="3">SUM(E5:E8)</f>
        <v>866170</v>
      </c>
      <c r="F9" s="386">
        <f t="shared" si="3"/>
        <v>830210</v>
      </c>
      <c r="G9" s="386">
        <f t="shared" si="3"/>
        <v>877009</v>
      </c>
      <c r="H9" s="386">
        <f t="shared" si="3"/>
        <v>891223</v>
      </c>
      <c r="I9" s="386">
        <f t="shared" si="3"/>
        <v>904042</v>
      </c>
      <c r="J9" s="386">
        <f t="shared" si="3"/>
        <v>865471</v>
      </c>
      <c r="K9" s="387">
        <f t="shared" si="3"/>
        <v>910164</v>
      </c>
      <c r="L9" s="387">
        <f t="shared" si="3"/>
        <v>923539</v>
      </c>
      <c r="M9" s="387">
        <f t="shared" si="3"/>
        <v>936914</v>
      </c>
      <c r="N9" s="387">
        <f t="shared" si="3"/>
        <v>950289</v>
      </c>
      <c r="O9" s="387">
        <f t="shared" si="3"/>
        <v>963664</v>
      </c>
      <c r="Q9" s="413"/>
    </row>
    <row r="11" spans="2:18" ht="25" thickBot="1">
      <c r="B11" s="360" t="s">
        <v>467</v>
      </c>
      <c r="C11" s="361" t="s">
        <v>430</v>
      </c>
      <c r="D11" s="361" t="s">
        <v>431</v>
      </c>
      <c r="E11" s="361" t="s">
        <v>432</v>
      </c>
      <c r="F11" s="361" t="s">
        <v>433</v>
      </c>
      <c r="G11" s="361" t="s">
        <v>434</v>
      </c>
      <c r="H11" s="361" t="s">
        <v>435</v>
      </c>
      <c r="I11" s="361" t="s">
        <v>436</v>
      </c>
      <c r="J11" s="361" t="s">
        <v>437</v>
      </c>
      <c r="K11" s="362" t="s">
        <v>440</v>
      </c>
      <c r="L11" s="362" t="s">
        <v>441</v>
      </c>
      <c r="M11" s="362" t="s">
        <v>442</v>
      </c>
      <c r="N11" s="362" t="s">
        <v>443</v>
      </c>
      <c r="O11" s="362" t="s">
        <v>444</v>
      </c>
    </row>
    <row r="12" spans="2:18">
      <c r="B12" s="366" t="s">
        <v>468</v>
      </c>
      <c r="C12" s="367"/>
      <c r="D12" s="367"/>
      <c r="E12" s="367"/>
      <c r="F12" s="367"/>
      <c r="G12" s="367"/>
      <c r="H12" s="367"/>
      <c r="I12" s="367"/>
      <c r="J12" s="367"/>
    </row>
    <row r="13" spans="2:18">
      <c r="B13" s="359" t="s">
        <v>463</v>
      </c>
      <c r="C13" s="367"/>
      <c r="D13" s="367">
        <f>D20/D28</f>
        <v>3123.8095238095239</v>
      </c>
      <c r="E13" s="367">
        <f t="shared" ref="E13:J13" si="4">E20/E28</f>
        <v>3092.3270142180095</v>
      </c>
      <c r="F13" s="367">
        <f t="shared" si="4"/>
        <v>2949.0140845070423</v>
      </c>
      <c r="G13" s="367">
        <f t="shared" si="4"/>
        <v>3048.3564814814813</v>
      </c>
      <c r="H13" s="367">
        <f t="shared" si="4"/>
        <v>3091.6388888888887</v>
      </c>
      <c r="I13" s="367">
        <f t="shared" si="4"/>
        <v>3132.8564814814813</v>
      </c>
      <c r="J13" s="367">
        <f t="shared" si="4"/>
        <v>3012.8093023255815</v>
      </c>
      <c r="K13" s="368">
        <v>3064</v>
      </c>
      <c r="L13" s="368">
        <v>3064</v>
      </c>
      <c r="M13" s="368">
        <v>3064</v>
      </c>
      <c r="N13" s="368">
        <v>3064</v>
      </c>
      <c r="O13" s="368">
        <v>3064</v>
      </c>
      <c r="Q13" s="369" t="s">
        <v>287</v>
      </c>
    </row>
    <row r="14" spans="2:18">
      <c r="B14" s="359" t="s">
        <v>464</v>
      </c>
      <c r="C14" s="367"/>
      <c r="D14" s="367">
        <f t="shared" ref="D14:J16" si="5">D21/D29</f>
        <v>1918.2727272727273</v>
      </c>
      <c r="E14" s="367">
        <f t="shared" si="5"/>
        <v>1998</v>
      </c>
      <c r="F14" s="367">
        <f t="shared" si="5"/>
        <v>1891.4242424242425</v>
      </c>
      <c r="G14" s="367">
        <f t="shared" si="5"/>
        <v>1816.8648648648648</v>
      </c>
      <c r="H14" s="367">
        <f t="shared" si="5"/>
        <v>1865.1052631578948</v>
      </c>
      <c r="I14" s="367">
        <f t="shared" si="5"/>
        <v>1936.2564102564102</v>
      </c>
      <c r="J14" s="367">
        <f t="shared" si="5"/>
        <v>1796.95</v>
      </c>
      <c r="K14" s="368">
        <v>1889</v>
      </c>
      <c r="L14" s="368">
        <v>1889</v>
      </c>
      <c r="M14" s="368">
        <v>1889</v>
      </c>
      <c r="N14" s="368">
        <v>1889</v>
      </c>
      <c r="O14" s="368">
        <v>1889</v>
      </c>
      <c r="Q14" s="369" t="s">
        <v>287</v>
      </c>
    </row>
    <row r="15" spans="2:18">
      <c r="B15" s="359" t="s">
        <v>465</v>
      </c>
      <c r="C15" s="367"/>
      <c r="D15" s="367">
        <f t="shared" si="5"/>
        <v>1961.1428571428571</v>
      </c>
      <c r="E15" s="367">
        <f t="shared" si="5"/>
        <v>1776.4324324324325</v>
      </c>
      <c r="F15" s="367">
        <f t="shared" si="5"/>
        <v>1503.6410256410256</v>
      </c>
      <c r="G15" s="367">
        <f t="shared" si="5"/>
        <v>1729.5853658536585</v>
      </c>
      <c r="H15" s="367">
        <f t="shared" si="5"/>
        <v>1767.3571428571429</v>
      </c>
      <c r="I15" s="367">
        <f t="shared" si="5"/>
        <v>1673.5681818181818</v>
      </c>
      <c r="J15" s="367">
        <f t="shared" si="5"/>
        <v>1425.1914893617022</v>
      </c>
      <c r="K15" s="368">
        <v>1691</v>
      </c>
      <c r="L15" s="368">
        <v>1691</v>
      </c>
      <c r="M15" s="368">
        <v>1691</v>
      </c>
      <c r="N15" s="368">
        <v>1691</v>
      </c>
      <c r="O15" s="368">
        <v>1691</v>
      </c>
      <c r="Q15" s="369" t="s">
        <v>287</v>
      </c>
    </row>
    <row r="16" spans="2:18">
      <c r="B16" s="359" t="s">
        <v>466</v>
      </c>
      <c r="C16" s="367"/>
      <c r="D16" s="367">
        <f t="shared" si="5"/>
        <v>1954.2750000000001</v>
      </c>
      <c r="E16" s="367">
        <f t="shared" si="5"/>
        <v>2050.6750000000002</v>
      </c>
      <c r="F16" s="367">
        <f t="shared" si="5"/>
        <v>2025.2750000000001</v>
      </c>
      <c r="G16" s="367">
        <f t="shared" si="5"/>
        <v>2010.675</v>
      </c>
      <c r="H16" s="367">
        <f t="shared" si="5"/>
        <v>2008.3589743589744</v>
      </c>
      <c r="I16" s="367">
        <f t="shared" si="5"/>
        <v>1907.1707317073171</v>
      </c>
      <c r="J16" s="367">
        <f t="shared" si="5"/>
        <v>1877.5</v>
      </c>
      <c r="K16" s="368">
        <v>1976</v>
      </c>
      <c r="L16" s="368">
        <v>1976</v>
      </c>
      <c r="M16" s="368">
        <v>1976</v>
      </c>
      <c r="N16" s="368">
        <v>1976</v>
      </c>
      <c r="O16" s="368">
        <v>1976</v>
      </c>
      <c r="Q16" s="369" t="s">
        <v>287</v>
      </c>
    </row>
    <row r="17" spans="1:17">
      <c r="C17" s="367"/>
      <c r="D17" s="367"/>
      <c r="E17" s="367"/>
      <c r="F17" s="367"/>
      <c r="G17" s="367"/>
      <c r="H17" s="367"/>
      <c r="I17" s="367"/>
      <c r="J17" s="367"/>
    </row>
    <row r="18" spans="1:17" ht="25" hidden="1" thickBot="1">
      <c r="B18" s="360" t="s">
        <v>469</v>
      </c>
      <c r="C18" s="361" t="s">
        <v>430</v>
      </c>
      <c r="D18" s="361" t="s">
        <v>431</v>
      </c>
      <c r="E18" s="361" t="s">
        <v>432</v>
      </c>
      <c r="F18" s="361" t="s">
        <v>433</v>
      </c>
      <c r="G18" s="361" t="s">
        <v>434</v>
      </c>
      <c r="H18" s="361" t="s">
        <v>435</v>
      </c>
      <c r="I18" s="361" t="s">
        <v>436</v>
      </c>
      <c r="J18" s="361" t="s">
        <v>437</v>
      </c>
      <c r="K18" s="362" t="s">
        <v>440</v>
      </c>
      <c r="L18" s="362" t="s">
        <v>441</v>
      </c>
      <c r="M18" s="362" t="s">
        <v>442</v>
      </c>
      <c r="N18" s="362" t="s">
        <v>443</v>
      </c>
      <c r="O18" s="362" t="s">
        <v>444</v>
      </c>
    </row>
    <row r="19" spans="1:17" hidden="1">
      <c r="B19" s="366" t="s">
        <v>468</v>
      </c>
    </row>
    <row r="20" spans="1:17" hidden="1">
      <c r="B20" s="359" t="s">
        <v>463</v>
      </c>
      <c r="D20" s="363">
        <v>656000</v>
      </c>
      <c r="E20" s="363">
        <v>652481</v>
      </c>
      <c r="F20" s="363">
        <v>628140</v>
      </c>
      <c r="G20" s="363">
        <v>658445</v>
      </c>
      <c r="H20" s="363">
        <v>667794</v>
      </c>
      <c r="I20" s="363">
        <v>676697</v>
      </c>
      <c r="J20" s="363">
        <v>647754</v>
      </c>
      <c r="K20" s="368"/>
      <c r="L20" s="368"/>
      <c r="M20" s="368"/>
      <c r="N20" s="368"/>
      <c r="O20" s="368"/>
    </row>
    <row r="21" spans="1:17" hidden="1">
      <c r="B21" s="359" t="s">
        <v>464</v>
      </c>
      <c r="D21" s="363">
        <v>63303</v>
      </c>
      <c r="E21" s="363">
        <v>65934</v>
      </c>
      <c r="F21" s="363">
        <v>62417</v>
      </c>
      <c r="G21" s="363">
        <v>67224</v>
      </c>
      <c r="H21" s="363">
        <v>70874</v>
      </c>
      <c r="I21" s="363">
        <v>75514</v>
      </c>
      <c r="J21" s="363">
        <v>71878</v>
      </c>
      <c r="K21" s="368"/>
      <c r="L21" s="368"/>
      <c r="M21" s="368"/>
      <c r="N21" s="368"/>
      <c r="O21" s="368"/>
    </row>
    <row r="22" spans="1:17" hidden="1">
      <c r="B22" s="359" t="s">
        <v>465</v>
      </c>
      <c r="D22" s="363">
        <v>68640</v>
      </c>
      <c r="E22" s="363">
        <v>65728</v>
      </c>
      <c r="F22" s="363">
        <v>58642</v>
      </c>
      <c r="G22" s="363">
        <v>70913</v>
      </c>
      <c r="H22" s="363">
        <v>74229</v>
      </c>
      <c r="I22" s="363">
        <v>73637</v>
      </c>
      <c r="J22" s="363">
        <v>66984</v>
      </c>
      <c r="K22" s="368"/>
      <c r="L22" s="368"/>
      <c r="M22" s="368"/>
      <c r="N22" s="368"/>
      <c r="O22" s="368"/>
    </row>
    <row r="23" spans="1:17" hidden="1">
      <c r="B23" s="359" t="s">
        <v>466</v>
      </c>
      <c r="D23" s="363">
        <v>78171</v>
      </c>
      <c r="E23" s="363">
        <v>82027</v>
      </c>
      <c r="F23" s="363">
        <v>81011</v>
      </c>
      <c r="G23" s="363">
        <v>80427</v>
      </c>
      <c r="H23" s="363">
        <v>78326</v>
      </c>
      <c r="I23" s="363">
        <v>78194</v>
      </c>
      <c r="J23" s="363">
        <v>78855</v>
      </c>
      <c r="K23" s="368"/>
      <c r="L23" s="368"/>
      <c r="M23" s="368"/>
      <c r="N23" s="368"/>
      <c r="O23" s="368"/>
    </row>
    <row r="24" spans="1:17" hidden="1">
      <c r="K24" s="368"/>
      <c r="L24" s="368"/>
      <c r="M24" s="368"/>
      <c r="N24" s="368"/>
      <c r="O24" s="368"/>
    </row>
    <row r="26" spans="1:17" ht="25" thickBot="1">
      <c r="B26" s="360" t="s">
        <v>470</v>
      </c>
      <c r="C26" s="361" t="s">
        <v>430</v>
      </c>
      <c r="D26" s="361" t="s">
        <v>431</v>
      </c>
      <c r="E26" s="361" t="s">
        <v>432</v>
      </c>
      <c r="F26" s="361" t="s">
        <v>433</v>
      </c>
      <c r="G26" s="361" t="s">
        <v>434</v>
      </c>
      <c r="H26" s="361" t="s">
        <v>435</v>
      </c>
      <c r="I26" s="361" t="s">
        <v>436</v>
      </c>
      <c r="J26" s="361" t="s">
        <v>437</v>
      </c>
      <c r="K26" s="362" t="s">
        <v>440</v>
      </c>
      <c r="L26" s="362" t="s">
        <v>441</v>
      </c>
      <c r="M26" s="362" t="s">
        <v>442</v>
      </c>
      <c r="N26" s="362" t="s">
        <v>443</v>
      </c>
      <c r="O26" s="362" t="s">
        <v>444</v>
      </c>
    </row>
    <row r="28" spans="1:17">
      <c r="B28" s="359" t="s">
        <v>463</v>
      </c>
      <c r="C28" s="359">
        <v>210</v>
      </c>
      <c r="D28" s="359">
        <v>210</v>
      </c>
      <c r="E28" s="359">
        <v>211</v>
      </c>
      <c r="F28" s="359">
        <v>213</v>
      </c>
      <c r="G28" s="359">
        <v>216</v>
      </c>
      <c r="H28" s="359">
        <v>216</v>
      </c>
      <c r="I28" s="359">
        <v>216</v>
      </c>
      <c r="J28" s="359">
        <v>215</v>
      </c>
      <c r="K28" s="368">
        <f>ROUND((J28*(1+K46)),0)</f>
        <v>217</v>
      </c>
      <c r="L28" s="368">
        <f t="shared" ref="L28:O28" si="6">ROUND((K28*(1+L46)),0)</f>
        <v>219</v>
      </c>
      <c r="M28" s="368">
        <f t="shared" si="6"/>
        <v>221</v>
      </c>
      <c r="N28" s="368">
        <f t="shared" si="6"/>
        <v>223</v>
      </c>
      <c r="O28" s="368">
        <f t="shared" si="6"/>
        <v>225</v>
      </c>
    </row>
    <row r="29" spans="1:17">
      <c r="B29" s="359" t="s">
        <v>464</v>
      </c>
      <c r="C29" s="359">
        <v>33</v>
      </c>
      <c r="D29" s="359">
        <v>33</v>
      </c>
      <c r="E29" s="359">
        <v>33</v>
      </c>
      <c r="F29" s="359">
        <v>33</v>
      </c>
      <c r="G29" s="359">
        <v>37</v>
      </c>
      <c r="H29" s="359">
        <v>38</v>
      </c>
      <c r="I29" s="359">
        <v>39</v>
      </c>
      <c r="J29" s="359">
        <v>40</v>
      </c>
      <c r="K29" s="368">
        <f>ROUND((J29*(1+K50)),0)</f>
        <v>41</v>
      </c>
      <c r="L29" s="368">
        <f t="shared" ref="L29:O29" si="7">ROUND((K29*(1+L50)),0)</f>
        <v>42</v>
      </c>
      <c r="M29" s="368">
        <f t="shared" si="7"/>
        <v>43</v>
      </c>
      <c r="N29" s="368">
        <f t="shared" si="7"/>
        <v>44</v>
      </c>
      <c r="O29" s="368">
        <f t="shared" si="7"/>
        <v>45</v>
      </c>
    </row>
    <row r="30" spans="1:17">
      <c r="B30" s="359" t="s">
        <v>465</v>
      </c>
      <c r="C30" s="359">
        <v>35</v>
      </c>
      <c r="D30" s="359">
        <v>35</v>
      </c>
      <c r="E30" s="359">
        <v>37</v>
      </c>
      <c r="F30" s="359">
        <v>39</v>
      </c>
      <c r="G30" s="359">
        <v>41</v>
      </c>
      <c r="H30" s="359">
        <v>42</v>
      </c>
      <c r="I30" s="359">
        <v>44</v>
      </c>
      <c r="J30" s="359">
        <v>47</v>
      </c>
      <c r="K30" s="368">
        <f>ROUND((J30*(1+K54)),0)</f>
        <v>49</v>
      </c>
      <c r="L30" s="368">
        <f t="shared" ref="L30:O30" si="8">ROUND((K30*(1+L54)),0)</f>
        <v>51</v>
      </c>
      <c r="M30" s="368">
        <f t="shared" si="8"/>
        <v>53</v>
      </c>
      <c r="N30" s="368">
        <f t="shared" si="8"/>
        <v>55</v>
      </c>
      <c r="O30" s="368">
        <f t="shared" si="8"/>
        <v>57</v>
      </c>
    </row>
    <row r="31" spans="1:17" ht="15" thickBot="1">
      <c r="B31" s="359" t="s">
        <v>466</v>
      </c>
      <c r="C31" s="359">
        <v>40</v>
      </c>
      <c r="D31" s="359">
        <v>40</v>
      </c>
      <c r="E31" s="359">
        <v>40</v>
      </c>
      <c r="F31" s="359">
        <v>40</v>
      </c>
      <c r="G31" s="359">
        <v>40</v>
      </c>
      <c r="H31" s="359">
        <v>39</v>
      </c>
      <c r="I31" s="359">
        <v>41</v>
      </c>
      <c r="J31" s="359">
        <v>42</v>
      </c>
      <c r="K31" s="368">
        <f>ROUND((J31*(1+K58)),0)</f>
        <v>43</v>
      </c>
      <c r="L31" s="368">
        <f t="shared" ref="L31:O31" si="9">ROUND((K31*(1+L58)),0)</f>
        <v>44</v>
      </c>
      <c r="M31" s="368">
        <f t="shared" si="9"/>
        <v>45</v>
      </c>
      <c r="N31" s="368">
        <f t="shared" si="9"/>
        <v>46</v>
      </c>
      <c r="O31" s="368">
        <f t="shared" si="9"/>
        <v>47</v>
      </c>
    </row>
    <row r="32" spans="1:17" s="388" customFormat="1" ht="15" thickBot="1">
      <c r="A32" s="389"/>
      <c r="B32" s="390" t="s">
        <v>215</v>
      </c>
      <c r="C32" s="390">
        <f>SUM(C28:C31)</f>
        <v>318</v>
      </c>
      <c r="D32" s="390">
        <f t="shared" ref="D32:O32" si="10">SUM(D28:D31)</f>
        <v>318</v>
      </c>
      <c r="E32" s="390">
        <f t="shared" si="10"/>
        <v>321</v>
      </c>
      <c r="F32" s="390">
        <f t="shared" si="10"/>
        <v>325</v>
      </c>
      <c r="G32" s="390">
        <f t="shared" si="10"/>
        <v>334</v>
      </c>
      <c r="H32" s="390">
        <f t="shared" si="10"/>
        <v>335</v>
      </c>
      <c r="I32" s="390">
        <f t="shared" si="10"/>
        <v>340</v>
      </c>
      <c r="J32" s="390">
        <f t="shared" si="10"/>
        <v>344</v>
      </c>
      <c r="K32" s="391">
        <f t="shared" si="10"/>
        <v>350</v>
      </c>
      <c r="L32" s="391">
        <f t="shared" si="10"/>
        <v>356</v>
      </c>
      <c r="M32" s="391">
        <f t="shared" si="10"/>
        <v>362</v>
      </c>
      <c r="N32" s="391">
        <f t="shared" si="10"/>
        <v>368</v>
      </c>
      <c r="O32" s="391">
        <f t="shared" si="10"/>
        <v>374</v>
      </c>
      <c r="Q32" s="413"/>
    </row>
    <row r="33" spans="2:16">
      <c r="B33" s="370" t="s">
        <v>471</v>
      </c>
      <c r="D33" s="359">
        <v>30</v>
      </c>
      <c r="E33" s="359">
        <v>30</v>
      </c>
      <c r="F33" s="359">
        <v>31</v>
      </c>
      <c r="G33" s="359">
        <v>33</v>
      </c>
      <c r="H33" s="359">
        <v>34</v>
      </c>
      <c r="I33" s="359">
        <v>34</v>
      </c>
      <c r="J33" s="359">
        <v>34</v>
      </c>
      <c r="K33" s="368"/>
      <c r="L33" s="368"/>
      <c r="M33" s="368"/>
      <c r="N33" s="368"/>
      <c r="O33" s="368"/>
    </row>
    <row r="39" spans="2:16" ht="16.5" thickBot="1">
      <c r="B39" s="371" t="s">
        <v>81</v>
      </c>
      <c r="C39" s="372"/>
      <c r="D39" s="372"/>
      <c r="E39" s="372"/>
      <c r="F39" s="372"/>
      <c r="G39" s="372"/>
      <c r="H39" s="372"/>
      <c r="I39" s="372"/>
      <c r="J39" s="372"/>
      <c r="K39" s="372"/>
      <c r="L39" s="372"/>
      <c r="M39" s="372"/>
      <c r="N39" s="372"/>
      <c r="O39" s="372"/>
      <c r="P39" s="4"/>
    </row>
    <row r="40" spans="2:16">
      <c r="B40" s="373"/>
      <c r="C40" s="373"/>
      <c r="D40" s="373"/>
      <c r="E40" s="373"/>
      <c r="F40" s="373"/>
      <c r="G40" s="373"/>
      <c r="H40" s="373"/>
      <c r="I40" s="373"/>
      <c r="J40" s="373"/>
      <c r="K40" s="373"/>
      <c r="L40" s="373"/>
      <c r="M40" s="373"/>
      <c r="N40" s="373"/>
      <c r="O40" s="373"/>
      <c r="P40" s="4"/>
    </row>
    <row r="41" spans="2:16">
      <c r="B41" s="373" t="s">
        <v>86</v>
      </c>
      <c r="C41" s="374">
        <f>'P&amp;L'!$C$36</f>
        <v>2</v>
      </c>
      <c r="D41" s="373"/>
      <c r="E41" s="52" t="s">
        <v>48</v>
      </c>
      <c r="F41" s="375">
        <v>1</v>
      </c>
      <c r="G41" s="373" t="s">
        <v>45</v>
      </c>
      <c r="H41" s="375"/>
      <c r="I41" s="375"/>
      <c r="J41" s="375"/>
      <c r="L41" s="373"/>
      <c r="M41" s="373"/>
      <c r="N41" s="373"/>
      <c r="O41" s="373"/>
      <c r="P41" s="4"/>
    </row>
    <row r="42" spans="2:16">
      <c r="B42" s="373"/>
      <c r="C42" s="373"/>
      <c r="D42" s="373"/>
      <c r="E42" s="52" t="s">
        <v>49</v>
      </c>
      <c r="F42" s="375">
        <v>2</v>
      </c>
      <c r="G42" s="373" t="s">
        <v>46</v>
      </c>
      <c r="H42" s="375"/>
      <c r="I42" s="375"/>
      <c r="J42" s="375"/>
      <c r="L42" s="373"/>
      <c r="M42" s="373"/>
      <c r="N42" s="373"/>
      <c r="O42" s="373"/>
      <c r="P42" s="4"/>
    </row>
    <row r="43" spans="2:16">
      <c r="B43" s="373"/>
      <c r="C43" s="373"/>
      <c r="D43" s="373"/>
      <c r="E43" s="52" t="s">
        <v>50</v>
      </c>
      <c r="F43" s="375">
        <v>3</v>
      </c>
      <c r="G43" s="373" t="s">
        <v>47</v>
      </c>
      <c r="H43" s="375"/>
      <c r="I43" s="375"/>
      <c r="J43" s="375"/>
      <c r="L43" s="373"/>
      <c r="M43" s="373"/>
      <c r="N43" s="373"/>
      <c r="O43" s="373"/>
      <c r="P43" s="4"/>
    </row>
    <row r="44" spans="2:16">
      <c r="B44" s="376"/>
      <c r="C44" s="376"/>
      <c r="D44" s="376"/>
      <c r="E44" s="376"/>
      <c r="F44" s="376"/>
      <c r="G44" s="376"/>
      <c r="H44" s="376"/>
      <c r="I44" s="376"/>
      <c r="J44" s="376"/>
      <c r="L44" s="376"/>
      <c r="M44" s="376"/>
      <c r="N44" s="376"/>
      <c r="O44" s="376"/>
      <c r="P44" s="4"/>
    </row>
    <row r="45" spans="2:16">
      <c r="B45" s="377"/>
      <c r="C45" s="377"/>
      <c r="D45" s="377"/>
      <c r="E45" s="377"/>
      <c r="F45" s="377"/>
      <c r="G45" s="377"/>
      <c r="H45" s="377"/>
      <c r="I45" s="377"/>
      <c r="J45" s="377"/>
      <c r="K45" s="377"/>
      <c r="L45" s="377"/>
      <c r="M45" s="377"/>
      <c r="N45" s="377"/>
      <c r="O45" s="377"/>
      <c r="P45" s="4"/>
    </row>
    <row r="46" spans="2:16">
      <c r="B46" s="373" t="s">
        <v>472</v>
      </c>
      <c r="C46" s="378"/>
      <c r="D46" s="378"/>
      <c r="E46" s="379">
        <f t="shared" ref="E46:I46" si="11">E28/D28-1</f>
        <v>4.761904761904745E-3</v>
      </c>
      <c r="F46" s="379">
        <f t="shared" si="11"/>
        <v>9.4786729857820884E-3</v>
      </c>
      <c r="G46" s="379">
        <f t="shared" si="11"/>
        <v>1.4084507042253502E-2</v>
      </c>
      <c r="H46" s="379">
        <f t="shared" si="11"/>
        <v>0</v>
      </c>
      <c r="I46" s="379">
        <f t="shared" si="11"/>
        <v>0</v>
      </c>
      <c r="J46" s="379">
        <f>J28/I28-1</f>
        <v>-4.6296296296296502E-3</v>
      </c>
      <c r="K46" s="380">
        <f>CHOOSE($C$41,K47,K48,K49)</f>
        <v>0.01</v>
      </c>
      <c r="L46" s="381">
        <f t="shared" ref="L46:O46" si="12">CHOOSE($C$41,L47,L48,L49)</f>
        <v>0.01</v>
      </c>
      <c r="M46" s="381">
        <f t="shared" si="12"/>
        <v>0.01</v>
      </c>
      <c r="N46" s="381">
        <f t="shared" si="12"/>
        <v>0.01</v>
      </c>
      <c r="O46" s="382">
        <f t="shared" si="12"/>
        <v>0.01</v>
      </c>
      <c r="P46" s="4"/>
    </row>
    <row r="47" spans="2:16">
      <c r="B47" s="383" t="s">
        <v>48</v>
      </c>
      <c r="C47" s="384"/>
      <c r="D47" s="384"/>
      <c r="E47" s="384"/>
      <c r="F47" s="384"/>
      <c r="G47" s="384"/>
      <c r="H47" s="384"/>
      <c r="I47" s="384"/>
      <c r="J47" s="384"/>
      <c r="K47" s="378">
        <v>0.02</v>
      </c>
      <c r="L47" s="378">
        <v>0.02</v>
      </c>
      <c r="M47" s="378">
        <v>0.02</v>
      </c>
      <c r="N47" s="378">
        <v>0.02</v>
      </c>
      <c r="O47" s="378">
        <v>0.02</v>
      </c>
      <c r="P47" s="4"/>
    </row>
    <row r="48" spans="2:16">
      <c r="B48" s="383" t="s">
        <v>49</v>
      </c>
      <c r="C48" s="384"/>
      <c r="D48" s="384"/>
      <c r="E48" s="384"/>
      <c r="F48" s="384"/>
      <c r="G48" s="384"/>
      <c r="H48" s="384"/>
      <c r="I48" s="384"/>
      <c r="J48" s="384"/>
      <c r="K48" s="378">
        <v>0.01</v>
      </c>
      <c r="L48" s="378">
        <v>0.01</v>
      </c>
      <c r="M48" s="378">
        <v>0.01</v>
      </c>
      <c r="N48" s="378">
        <v>0.01</v>
      </c>
      <c r="O48" s="378">
        <v>0.01</v>
      </c>
      <c r="P48" s="4"/>
    </row>
    <row r="49" spans="2:16">
      <c r="B49" s="383" t="s">
        <v>50</v>
      </c>
      <c r="C49" s="384"/>
      <c r="D49" s="384"/>
      <c r="E49" s="384"/>
      <c r="F49" s="384"/>
      <c r="G49" s="384"/>
      <c r="H49" s="384"/>
      <c r="I49" s="384"/>
      <c r="J49" s="384"/>
      <c r="K49" s="378">
        <v>5.0000000000000001E-3</v>
      </c>
      <c r="L49" s="378">
        <v>5.0000000000000001E-3</v>
      </c>
      <c r="M49" s="378">
        <v>5.0000000000000001E-3</v>
      </c>
      <c r="N49" s="378">
        <v>5.0000000000000001E-3</v>
      </c>
      <c r="O49" s="378">
        <v>5.0000000000000001E-3</v>
      </c>
      <c r="P49" s="4"/>
    </row>
    <row r="50" spans="2:16">
      <c r="B50" s="373" t="s">
        <v>473</v>
      </c>
      <c r="C50" s="378"/>
      <c r="D50" s="378"/>
      <c r="E50" s="378">
        <f t="shared" ref="E50:I50" si="13">E29/D29-1</f>
        <v>0</v>
      </c>
      <c r="F50" s="378">
        <f t="shared" si="13"/>
        <v>0</v>
      </c>
      <c r="G50" s="378">
        <f t="shared" si="13"/>
        <v>0.1212121212121211</v>
      </c>
      <c r="H50" s="378">
        <f t="shared" si="13"/>
        <v>2.7027027027026973E-2</v>
      </c>
      <c r="I50" s="378">
        <f t="shared" si="13"/>
        <v>2.6315789473684292E-2</v>
      </c>
      <c r="J50" s="378">
        <f>J29/I29-1</f>
        <v>2.564102564102555E-2</v>
      </c>
      <c r="K50" s="380">
        <f>CHOOSE($C$41,K51,K52,K53)</f>
        <v>0.03</v>
      </c>
      <c r="L50" s="381">
        <f t="shared" ref="L50:O50" si="14">CHOOSE($C$41,L51,L52,L53)</f>
        <v>0.03</v>
      </c>
      <c r="M50" s="381">
        <f t="shared" si="14"/>
        <v>0.03</v>
      </c>
      <c r="N50" s="381">
        <f t="shared" si="14"/>
        <v>0.03</v>
      </c>
      <c r="O50" s="382">
        <f t="shared" si="14"/>
        <v>0.03</v>
      </c>
      <c r="P50" s="62"/>
    </row>
    <row r="51" spans="2:16">
      <c r="B51" s="383" t="s">
        <v>48</v>
      </c>
      <c r="C51" s="384"/>
      <c r="D51" s="384"/>
      <c r="E51" s="384"/>
      <c r="F51" s="384"/>
      <c r="G51" s="384"/>
      <c r="H51" s="384"/>
      <c r="I51" s="384"/>
      <c r="J51" s="384"/>
      <c r="K51" s="378">
        <v>0.05</v>
      </c>
      <c r="L51" s="378">
        <v>0.05</v>
      </c>
      <c r="M51" s="378">
        <v>0.05</v>
      </c>
      <c r="N51" s="378">
        <v>0.05</v>
      </c>
      <c r="O51" s="378">
        <v>0.05</v>
      </c>
      <c r="P51" s="121"/>
    </row>
    <row r="52" spans="2:16">
      <c r="B52" s="383" t="s">
        <v>49</v>
      </c>
      <c r="C52" s="384"/>
      <c r="D52" s="384"/>
      <c r="E52" s="384"/>
      <c r="F52" s="384"/>
      <c r="G52" s="384"/>
      <c r="H52" s="384"/>
      <c r="I52" s="384"/>
      <c r="J52" s="384"/>
      <c r="K52" s="378">
        <v>0.03</v>
      </c>
      <c r="L52" s="378">
        <v>0.03</v>
      </c>
      <c r="M52" s="378">
        <v>0.03</v>
      </c>
      <c r="N52" s="378">
        <v>0.03</v>
      </c>
      <c r="O52" s="378">
        <v>0.03</v>
      </c>
      <c r="P52" s="4"/>
    </row>
    <row r="53" spans="2:16">
      <c r="B53" s="383" t="s">
        <v>50</v>
      </c>
      <c r="C53" s="384"/>
      <c r="D53" s="384"/>
      <c r="E53" s="384"/>
      <c r="F53" s="384"/>
      <c r="G53" s="384"/>
      <c r="H53" s="384"/>
      <c r="I53" s="384"/>
      <c r="J53" s="384"/>
      <c r="K53" s="378">
        <v>0</v>
      </c>
      <c r="L53" s="378">
        <v>0</v>
      </c>
      <c r="M53" s="378">
        <v>0</v>
      </c>
      <c r="N53" s="378">
        <v>0</v>
      </c>
      <c r="O53" s="378">
        <v>0</v>
      </c>
      <c r="P53" s="4"/>
    </row>
    <row r="54" spans="2:16">
      <c r="B54" s="373" t="s">
        <v>474</v>
      </c>
      <c r="C54" s="378"/>
      <c r="D54" s="378"/>
      <c r="E54" s="378">
        <f t="shared" ref="E54:I54" si="15">E30/D30-1</f>
        <v>5.7142857142857162E-2</v>
      </c>
      <c r="F54" s="378">
        <f t="shared" si="15"/>
        <v>5.4054054054053946E-2</v>
      </c>
      <c r="G54" s="378">
        <f t="shared" si="15"/>
        <v>5.1282051282051322E-2</v>
      </c>
      <c r="H54" s="378">
        <f t="shared" si="15"/>
        <v>2.4390243902439046E-2</v>
      </c>
      <c r="I54" s="378">
        <f t="shared" si="15"/>
        <v>4.7619047619047672E-2</v>
      </c>
      <c r="J54" s="378">
        <f>J30/I30-1</f>
        <v>6.8181818181818121E-2</v>
      </c>
      <c r="K54" s="380">
        <f>CHOOSE($C$41,K55,K56,K57)</f>
        <v>0.04</v>
      </c>
      <c r="L54" s="381">
        <f t="shared" ref="L54:O54" si="16">CHOOSE($C$41,L55,L56,L57)</f>
        <v>0.04</v>
      </c>
      <c r="M54" s="381">
        <f t="shared" si="16"/>
        <v>0.04</v>
      </c>
      <c r="N54" s="381">
        <f t="shared" si="16"/>
        <v>0.04</v>
      </c>
      <c r="O54" s="382">
        <f t="shared" si="16"/>
        <v>0.04</v>
      </c>
      <c r="P54" s="4"/>
    </row>
    <row r="55" spans="2:16">
      <c r="B55" s="383" t="s">
        <v>48</v>
      </c>
      <c r="C55" s="384"/>
      <c r="D55" s="384"/>
      <c r="E55" s="384"/>
      <c r="F55" s="384"/>
      <c r="G55" s="384"/>
      <c r="H55" s="384"/>
      <c r="I55" s="384"/>
      <c r="J55" s="384"/>
      <c r="K55" s="378">
        <v>7.0000000000000007E-2</v>
      </c>
      <c r="L55" s="378">
        <v>7.0000000000000007E-2</v>
      </c>
      <c r="M55" s="378">
        <v>7.0000000000000007E-2</v>
      </c>
      <c r="N55" s="378">
        <v>7.0000000000000007E-2</v>
      </c>
      <c r="O55" s="378">
        <v>7.0000000000000007E-2</v>
      </c>
      <c r="P55" s="121"/>
    </row>
    <row r="56" spans="2:16">
      <c r="B56" s="383" t="s">
        <v>49</v>
      </c>
      <c r="C56" s="384"/>
      <c r="D56" s="384"/>
      <c r="E56" s="384"/>
      <c r="F56" s="384"/>
      <c r="G56" s="384"/>
      <c r="H56" s="384"/>
      <c r="I56" s="384"/>
      <c r="J56" s="384"/>
      <c r="K56" s="378">
        <v>0.04</v>
      </c>
      <c r="L56" s="378">
        <v>0.04</v>
      </c>
      <c r="M56" s="378">
        <v>0.04</v>
      </c>
      <c r="N56" s="378">
        <v>0.04</v>
      </c>
      <c r="O56" s="378">
        <v>0.04</v>
      </c>
      <c r="P56" s="4"/>
    </row>
    <row r="57" spans="2:16">
      <c r="B57" s="383" t="s">
        <v>50</v>
      </c>
      <c r="C57" s="384"/>
      <c r="D57" s="384"/>
      <c r="E57" s="384"/>
      <c r="F57" s="384"/>
      <c r="G57" s="384"/>
      <c r="H57" s="384"/>
      <c r="I57" s="384"/>
      <c r="J57" s="384"/>
      <c r="K57" s="378">
        <v>0.01</v>
      </c>
      <c r="L57" s="378">
        <v>0.01</v>
      </c>
      <c r="M57" s="378">
        <v>0.01</v>
      </c>
      <c r="N57" s="378">
        <v>0.01</v>
      </c>
      <c r="O57" s="378">
        <v>0.01</v>
      </c>
      <c r="P57" s="4"/>
    </row>
    <row r="58" spans="2:16">
      <c r="B58" s="373" t="s">
        <v>475</v>
      </c>
      <c r="C58" s="378"/>
      <c r="D58" s="378"/>
      <c r="E58" s="378">
        <f t="shared" ref="E58:I58" si="17">E31/D31-1</f>
        <v>0</v>
      </c>
      <c r="F58" s="378">
        <f t="shared" si="17"/>
        <v>0</v>
      </c>
      <c r="G58" s="378">
        <f t="shared" si="17"/>
        <v>0</v>
      </c>
      <c r="H58" s="378">
        <f t="shared" si="17"/>
        <v>-2.5000000000000022E-2</v>
      </c>
      <c r="I58" s="378">
        <f t="shared" si="17"/>
        <v>5.1282051282051322E-2</v>
      </c>
      <c r="J58" s="378">
        <f>J31/I31-1</f>
        <v>2.4390243902439046E-2</v>
      </c>
      <c r="K58" s="380">
        <f>CHOOSE($C$41,K59,K60,K61)</f>
        <v>0.02</v>
      </c>
      <c r="L58" s="381">
        <f t="shared" ref="L58:O58" si="18">CHOOSE($C$41,L59,L60,L61)</f>
        <v>0.02</v>
      </c>
      <c r="M58" s="381">
        <f t="shared" si="18"/>
        <v>0.02</v>
      </c>
      <c r="N58" s="381">
        <f t="shared" si="18"/>
        <v>0.02</v>
      </c>
      <c r="O58" s="382">
        <f t="shared" si="18"/>
        <v>0.02</v>
      </c>
      <c r="P58" s="276"/>
    </row>
    <row r="59" spans="2:16">
      <c r="B59" s="383" t="s">
        <v>48</v>
      </c>
      <c r="C59" s="384"/>
      <c r="D59" s="384"/>
      <c r="E59" s="384"/>
      <c r="F59" s="384"/>
      <c r="G59" s="384"/>
      <c r="H59" s="384"/>
      <c r="I59" s="384"/>
      <c r="J59" s="384"/>
      <c r="K59" s="378">
        <v>0.03</v>
      </c>
      <c r="L59" s="378">
        <v>0.03</v>
      </c>
      <c r="M59" s="378">
        <v>0.03</v>
      </c>
      <c r="N59" s="378">
        <v>0.03</v>
      </c>
      <c r="O59" s="378">
        <v>0.03</v>
      </c>
      <c r="P59" s="4"/>
    </row>
    <row r="60" spans="2:16">
      <c r="B60" s="383" t="s">
        <v>49</v>
      </c>
      <c r="C60" s="384"/>
      <c r="D60" s="384"/>
      <c r="E60" s="384"/>
      <c r="F60" s="384"/>
      <c r="G60" s="384"/>
      <c r="H60" s="384"/>
      <c r="I60" s="384"/>
      <c r="J60" s="384"/>
      <c r="K60" s="378">
        <v>0.02</v>
      </c>
      <c r="L60" s="378">
        <v>0.02</v>
      </c>
      <c r="M60" s="378">
        <v>0.02</v>
      </c>
      <c r="N60" s="378">
        <v>0.02</v>
      </c>
      <c r="O60" s="378">
        <v>0.02</v>
      </c>
      <c r="P60" s="4"/>
    </row>
    <row r="61" spans="2:16">
      <c r="B61" s="383" t="s">
        <v>50</v>
      </c>
      <c r="C61" s="384"/>
      <c r="D61" s="384"/>
      <c r="E61" s="384"/>
      <c r="F61" s="384"/>
      <c r="G61" s="384"/>
      <c r="H61" s="384"/>
      <c r="I61" s="384"/>
      <c r="J61" s="384"/>
      <c r="K61" s="378">
        <v>0.01</v>
      </c>
      <c r="L61" s="378">
        <v>0.01</v>
      </c>
      <c r="M61" s="378">
        <v>0.01</v>
      </c>
      <c r="N61" s="378">
        <v>0.01</v>
      </c>
      <c r="O61" s="378">
        <v>0.01</v>
      </c>
      <c r="P61" s="4"/>
    </row>
    <row r="62" spans="2:16">
      <c r="B62" s="373"/>
      <c r="C62" s="385"/>
      <c r="D62" s="385"/>
      <c r="E62" s="385"/>
      <c r="F62" s="385"/>
      <c r="G62" s="385"/>
      <c r="H62" s="385"/>
      <c r="I62" s="385"/>
      <c r="J62" s="385"/>
      <c r="K62" s="380"/>
      <c r="L62" s="381"/>
      <c r="M62" s="381"/>
      <c r="N62" s="381"/>
      <c r="O62" s="382"/>
      <c r="P62" s="4"/>
    </row>
    <row r="63" spans="2:16">
      <c r="B63" s="383"/>
      <c r="C63" s="378"/>
      <c r="D63" s="378"/>
      <c r="E63" s="378"/>
      <c r="F63" s="378"/>
      <c r="G63" s="378"/>
      <c r="H63" s="378"/>
      <c r="I63" s="378"/>
      <c r="J63" s="378"/>
      <c r="K63" s="378"/>
      <c r="L63" s="378"/>
      <c r="M63" s="378"/>
      <c r="N63" s="378"/>
      <c r="O63" s="378"/>
      <c r="P63" s="4"/>
    </row>
    <row r="64" spans="2:16">
      <c r="B64" s="383"/>
      <c r="C64" s="378"/>
      <c r="D64" s="378"/>
      <c r="E64" s="378"/>
      <c r="F64" s="378"/>
      <c r="G64" s="378"/>
      <c r="H64" s="378"/>
      <c r="I64" s="378"/>
      <c r="J64" s="378"/>
      <c r="K64" s="378"/>
      <c r="L64" s="378"/>
      <c r="M64" s="378"/>
      <c r="N64" s="378"/>
      <c r="O64" s="378"/>
      <c r="P64" s="4"/>
    </row>
    <row r="65" spans="2:16">
      <c r="B65" s="383"/>
      <c r="C65" s="378"/>
      <c r="D65" s="378"/>
      <c r="E65" s="378"/>
      <c r="F65" s="378"/>
      <c r="G65" s="378"/>
      <c r="H65" s="378"/>
      <c r="I65" s="392"/>
      <c r="J65" s="392"/>
      <c r="K65" s="392"/>
      <c r="L65" s="392"/>
      <c r="M65" s="392"/>
      <c r="N65" s="392"/>
      <c r="O65" s="392"/>
      <c r="P65" s="4"/>
    </row>
    <row r="66" spans="2:16">
      <c r="B66" s="373"/>
      <c r="C66" s="378"/>
      <c r="D66" s="378"/>
      <c r="E66" s="378"/>
      <c r="F66" s="378"/>
      <c r="G66" s="378"/>
      <c r="H66" s="378"/>
      <c r="I66" s="392"/>
      <c r="J66" s="392"/>
      <c r="K66" s="393"/>
      <c r="L66" s="393"/>
      <c r="M66" s="393"/>
      <c r="N66" s="393"/>
      <c r="O66" s="393"/>
      <c r="P66" s="4"/>
    </row>
    <row r="67" spans="2:16">
      <c r="B67" s="383"/>
      <c r="C67" s="378"/>
      <c r="D67" s="378"/>
      <c r="E67" s="378"/>
      <c r="F67" s="378"/>
      <c r="G67" s="378"/>
      <c r="H67" s="378"/>
      <c r="I67" s="392"/>
      <c r="J67" s="392"/>
      <c r="K67" s="392"/>
      <c r="L67" s="392"/>
      <c r="M67" s="392"/>
      <c r="N67" s="392"/>
      <c r="O67" s="392"/>
      <c r="P67" s="394"/>
    </row>
    <row r="68" spans="2:16">
      <c r="B68" s="383"/>
      <c r="C68" s="378"/>
      <c r="D68" s="378"/>
      <c r="E68" s="378"/>
      <c r="F68" s="378"/>
      <c r="G68" s="378"/>
      <c r="H68" s="378"/>
      <c r="I68" s="378"/>
      <c r="J68" s="378"/>
      <c r="K68" s="378"/>
      <c r="L68" s="378"/>
      <c r="M68" s="378"/>
      <c r="N68" s="378"/>
      <c r="O68" s="378"/>
      <c r="P68" s="18"/>
    </row>
    <row r="69" spans="2:16">
      <c r="B69" s="383"/>
      <c r="C69" s="378"/>
      <c r="D69" s="378"/>
      <c r="E69" s="378"/>
      <c r="F69" s="378"/>
      <c r="G69" s="378"/>
      <c r="H69" s="378"/>
      <c r="I69" s="378"/>
      <c r="J69" s="378"/>
      <c r="K69" s="378"/>
      <c r="L69" s="378"/>
      <c r="M69" s="378"/>
      <c r="N69" s="378"/>
      <c r="O69" s="378"/>
      <c r="P69"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FD87-FED7-43A4-9F93-842558C7A512}">
  <sheetPr codeName="Sheet35">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3" t="s">
        <v>321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0571-4168-49C8-8253-1B59C3520691}">
  <dimension ref="A1:H76"/>
  <sheetViews>
    <sheetView topLeftCell="A30" workbookViewId="0">
      <selection activeCell="E50" sqref="E50"/>
    </sheetView>
  </sheetViews>
  <sheetFormatPr defaultRowHeight="14.5"/>
  <cols>
    <col min="1" max="1" width="63.54296875" bestFit="1" customWidth="1"/>
    <col min="2" max="2" width="11.7265625" style="215" bestFit="1" customWidth="1"/>
    <col min="3" max="3" width="18.453125" style="216" bestFit="1" customWidth="1"/>
    <col min="4" max="4" width="13.81640625" style="216" bestFit="1" customWidth="1"/>
    <col min="5" max="5" width="11.453125" style="216" bestFit="1" customWidth="1"/>
    <col min="6" max="6" width="17.36328125" style="216" customWidth="1"/>
    <col min="7" max="7" width="11.81640625" style="217" bestFit="1" customWidth="1"/>
  </cols>
  <sheetData>
    <row r="1" spans="1:7">
      <c r="A1" s="166" t="s">
        <v>392</v>
      </c>
      <c r="B1" s="436" t="s">
        <v>208</v>
      </c>
      <c r="C1" s="438" t="s">
        <v>209</v>
      </c>
      <c r="D1" s="438" t="s">
        <v>210</v>
      </c>
      <c r="E1" s="438" t="s">
        <v>211</v>
      </c>
      <c r="F1" s="438" t="s">
        <v>378</v>
      </c>
      <c r="G1" s="440" t="s">
        <v>215</v>
      </c>
    </row>
    <row r="2" spans="1:7">
      <c r="A2" s="167" t="s">
        <v>377</v>
      </c>
      <c r="B2" s="437"/>
      <c r="C2" s="439"/>
      <c r="D2" s="439"/>
      <c r="E2" s="439"/>
      <c r="F2" s="439"/>
      <c r="G2" s="441"/>
    </row>
    <row r="3" spans="1:7">
      <c r="A3" t="s">
        <v>379</v>
      </c>
      <c r="B3" s="195">
        <v>1063</v>
      </c>
      <c r="C3" s="196">
        <v>887485</v>
      </c>
      <c r="D3" s="196">
        <v>1170078</v>
      </c>
      <c r="E3" s="196">
        <v>-1765641</v>
      </c>
      <c r="F3" s="196">
        <v>-982</v>
      </c>
      <c r="G3" s="197">
        <v>292003</v>
      </c>
    </row>
    <row r="4" spans="1:7">
      <c r="A4" t="s">
        <v>380</v>
      </c>
      <c r="B4" s="195">
        <v>106323</v>
      </c>
      <c r="C4" s="198"/>
      <c r="D4" s="198"/>
      <c r="E4" s="198"/>
      <c r="F4" s="198"/>
      <c r="G4" s="199"/>
    </row>
    <row r="5" spans="1:7">
      <c r="A5" t="s">
        <v>218</v>
      </c>
      <c r="B5" s="200"/>
      <c r="C5" s="201"/>
      <c r="D5" s="201"/>
      <c r="E5" s="201"/>
      <c r="F5" s="201"/>
      <c r="G5" s="202"/>
    </row>
    <row r="6" spans="1:7">
      <c r="A6" t="s">
        <v>60</v>
      </c>
      <c r="B6" s="203"/>
      <c r="C6" s="204"/>
      <c r="D6" s="205">
        <v>28050</v>
      </c>
      <c r="E6" s="204"/>
      <c r="F6" s="204"/>
      <c r="G6" s="206">
        <v>28050</v>
      </c>
    </row>
    <row r="7" spans="1:7">
      <c r="A7" t="s">
        <v>167</v>
      </c>
      <c r="B7" s="200"/>
      <c r="C7" s="201"/>
      <c r="D7" s="201"/>
      <c r="E7" s="201"/>
      <c r="F7" s="207">
        <v>147</v>
      </c>
      <c r="G7" s="208">
        <v>147</v>
      </c>
    </row>
    <row r="8" spans="1:7">
      <c r="A8" t="s">
        <v>240</v>
      </c>
      <c r="B8" s="203"/>
      <c r="C8" s="204"/>
      <c r="D8" s="205">
        <v>-13929</v>
      </c>
      <c r="E8" s="204"/>
      <c r="F8" s="204"/>
      <c r="G8" s="206">
        <v>-13929</v>
      </c>
    </row>
    <row r="9" spans="1:7">
      <c r="A9" t="s">
        <v>151</v>
      </c>
      <c r="B9" s="209">
        <v>6</v>
      </c>
      <c r="C9" s="207">
        <v>5938</v>
      </c>
      <c r="D9" s="201"/>
      <c r="E9" s="201"/>
      <c r="F9" s="201"/>
      <c r="G9" s="208">
        <v>5944</v>
      </c>
    </row>
    <row r="10" spans="1:7">
      <c r="A10" t="s">
        <v>221</v>
      </c>
      <c r="B10" s="210">
        <v>628</v>
      </c>
      <c r="C10" s="204"/>
      <c r="D10" s="204"/>
      <c r="E10" s="204"/>
      <c r="F10" s="204"/>
      <c r="G10" s="211"/>
    </row>
    <row r="11" spans="1:7">
      <c r="A11" t="s">
        <v>241</v>
      </c>
      <c r="B11" s="200"/>
      <c r="C11" s="201"/>
      <c r="D11" s="201"/>
      <c r="E11" s="207">
        <v>-12376</v>
      </c>
      <c r="F11" s="201"/>
      <c r="G11" s="208">
        <v>-12376</v>
      </c>
    </row>
    <row r="12" spans="1:7">
      <c r="A12" t="s">
        <v>381</v>
      </c>
      <c r="B12" s="195">
        <v>1069</v>
      </c>
      <c r="C12" s="196">
        <v>893423</v>
      </c>
      <c r="D12" s="196">
        <v>1184199</v>
      </c>
      <c r="E12" s="196">
        <v>-1778017</v>
      </c>
      <c r="F12" s="196">
        <v>-835</v>
      </c>
      <c r="G12" s="197">
        <v>299839</v>
      </c>
    </row>
    <row r="13" spans="1:7">
      <c r="A13" t="s">
        <v>382</v>
      </c>
      <c r="B13" s="195">
        <v>106951</v>
      </c>
      <c r="C13" s="198"/>
      <c r="D13" s="198"/>
      <c r="E13" s="198"/>
      <c r="F13" s="198"/>
      <c r="G13" s="199"/>
    </row>
    <row r="14" spans="1:7" s="96" customFormat="1">
      <c r="A14" s="218"/>
      <c r="B14" s="219"/>
      <c r="C14" s="220"/>
      <c r="D14" s="220"/>
      <c r="E14" s="220"/>
      <c r="F14" s="220"/>
      <c r="G14" s="221"/>
    </row>
    <row r="15" spans="1:7" s="96" customFormat="1">
      <c r="A15" s="218"/>
      <c r="B15" s="219"/>
      <c r="C15" s="220"/>
      <c r="D15" s="220"/>
      <c r="E15" s="220"/>
      <c r="F15" s="220"/>
      <c r="G15" s="221"/>
    </row>
    <row r="16" spans="1:7" hidden="1">
      <c r="A16" t="s">
        <v>379</v>
      </c>
      <c r="B16" s="195">
        <v>1063</v>
      </c>
      <c r="C16" s="196">
        <v>887485</v>
      </c>
      <c r="D16" s="196">
        <v>1170078</v>
      </c>
      <c r="E16" s="196">
        <v>-1765641</v>
      </c>
      <c r="F16" s="196">
        <v>-982</v>
      </c>
      <c r="G16" s="197">
        <v>292003</v>
      </c>
    </row>
    <row r="17" spans="1:7" hidden="1">
      <c r="A17" t="s">
        <v>380</v>
      </c>
      <c r="B17" s="195">
        <v>106323</v>
      </c>
      <c r="C17" s="198"/>
      <c r="D17" s="198"/>
      <c r="E17" s="198"/>
      <c r="F17" s="198"/>
      <c r="G17" s="199"/>
    </row>
    <row r="18" spans="1:7" hidden="1">
      <c r="A18" t="s">
        <v>218</v>
      </c>
      <c r="B18" s="203"/>
      <c r="C18" s="204"/>
      <c r="D18" s="204"/>
      <c r="E18" s="204"/>
      <c r="F18" s="204"/>
      <c r="G18" s="211"/>
    </row>
    <row r="19" spans="1:7" hidden="1">
      <c r="A19" t="s">
        <v>60</v>
      </c>
      <c r="B19" s="200"/>
      <c r="C19" s="201"/>
      <c r="D19" s="201"/>
      <c r="E19" s="201"/>
      <c r="F19" s="201"/>
      <c r="G19" s="208">
        <v>70725</v>
      </c>
    </row>
    <row r="20" spans="1:7" hidden="1">
      <c r="A20" t="s">
        <v>167</v>
      </c>
      <c r="B20" s="203"/>
      <c r="C20" s="204"/>
      <c r="D20" s="204"/>
      <c r="E20" s="204"/>
      <c r="F20" s="204"/>
      <c r="G20" s="206">
        <v>327</v>
      </c>
    </row>
    <row r="21" spans="1:7" hidden="1">
      <c r="A21" t="s">
        <v>387</v>
      </c>
      <c r="B21" s="195">
        <v>1070</v>
      </c>
      <c r="C21" s="196">
        <v>899792</v>
      </c>
      <c r="D21" s="196">
        <v>1213115</v>
      </c>
      <c r="E21" s="196">
        <v>-1787419</v>
      </c>
      <c r="F21" s="196">
        <v>-655</v>
      </c>
      <c r="G21" s="197">
        <v>325903</v>
      </c>
    </row>
    <row r="22" spans="1:7" hidden="1">
      <c r="A22" t="s">
        <v>388</v>
      </c>
      <c r="B22" s="195">
        <v>107043</v>
      </c>
      <c r="C22" s="198"/>
      <c r="D22" s="198"/>
      <c r="E22" s="198"/>
      <c r="F22" s="198"/>
      <c r="G22" s="199"/>
    </row>
    <row r="23" spans="1:7" s="96" customFormat="1">
      <c r="A23" s="218"/>
      <c r="B23" s="219"/>
      <c r="C23" s="220"/>
      <c r="D23" s="220"/>
      <c r="E23" s="220"/>
      <c r="F23" s="220"/>
      <c r="G23" s="221"/>
    </row>
    <row r="24" spans="1:7">
      <c r="A24" t="s">
        <v>385</v>
      </c>
      <c r="B24" s="195">
        <v>1069</v>
      </c>
      <c r="C24" s="196">
        <v>893423</v>
      </c>
      <c r="D24" s="196">
        <v>1184199</v>
      </c>
      <c r="E24" s="196">
        <v>-1778017</v>
      </c>
      <c r="F24" s="196">
        <v>-835</v>
      </c>
      <c r="G24" s="197">
        <v>299839</v>
      </c>
    </row>
    <row r="25" spans="1:7">
      <c r="A25" t="s">
        <v>386</v>
      </c>
      <c r="B25" s="195">
        <v>106951</v>
      </c>
      <c r="C25" s="198"/>
      <c r="D25" s="198"/>
      <c r="E25" s="198"/>
      <c r="F25" s="198"/>
      <c r="G25" s="199"/>
    </row>
    <row r="26" spans="1:7">
      <c r="A26" t="s">
        <v>218</v>
      </c>
      <c r="B26" s="200"/>
      <c r="C26" s="201"/>
      <c r="D26" s="201"/>
      <c r="E26" s="201"/>
      <c r="F26" s="201"/>
      <c r="G26" s="202"/>
    </row>
    <row r="27" spans="1:7">
      <c r="A27" t="s">
        <v>60</v>
      </c>
      <c r="B27" s="203"/>
      <c r="C27" s="204"/>
      <c r="D27" s="205">
        <v>42675</v>
      </c>
      <c r="E27" s="204"/>
      <c r="F27" s="204"/>
      <c r="G27" s="206">
        <v>42675</v>
      </c>
    </row>
    <row r="28" spans="1:7">
      <c r="A28" t="s">
        <v>167</v>
      </c>
      <c r="B28" s="200"/>
      <c r="C28" s="201"/>
      <c r="D28" s="201"/>
      <c r="E28" s="201"/>
      <c r="F28" s="207">
        <v>180</v>
      </c>
      <c r="G28" s="208">
        <v>180</v>
      </c>
    </row>
    <row r="29" spans="1:7">
      <c r="A29" t="s">
        <v>240</v>
      </c>
      <c r="B29" s="203"/>
      <c r="C29" s="204"/>
      <c r="D29" s="205">
        <v>-13759</v>
      </c>
      <c r="E29" s="204"/>
      <c r="F29" s="204"/>
      <c r="G29" s="206">
        <v>-13759</v>
      </c>
    </row>
    <row r="30" spans="1:7">
      <c r="A30" t="s">
        <v>151</v>
      </c>
      <c r="B30" s="209">
        <v>1</v>
      </c>
      <c r="C30" s="207">
        <v>6369</v>
      </c>
      <c r="D30" s="201"/>
      <c r="E30" s="201"/>
      <c r="F30" s="201"/>
      <c r="G30" s="208">
        <v>6370</v>
      </c>
    </row>
    <row r="31" spans="1:7">
      <c r="A31" t="s">
        <v>221</v>
      </c>
      <c r="B31" s="210">
        <v>92</v>
      </c>
      <c r="C31" s="204"/>
      <c r="D31" s="204"/>
      <c r="E31" s="204"/>
      <c r="F31" s="204"/>
      <c r="G31" s="211"/>
    </row>
    <row r="32" spans="1:7">
      <c r="A32" t="s">
        <v>241</v>
      </c>
      <c r="B32" s="200"/>
      <c r="C32" s="201"/>
      <c r="D32" s="201"/>
      <c r="E32" s="207">
        <v>-9402</v>
      </c>
      <c r="F32" s="201"/>
      <c r="G32" s="208">
        <v>-9402</v>
      </c>
    </row>
    <row r="33" spans="1:7">
      <c r="A33" t="s">
        <v>387</v>
      </c>
      <c r="B33" s="195">
        <v>1070</v>
      </c>
      <c r="C33" s="196">
        <v>899792</v>
      </c>
      <c r="D33" s="196">
        <v>1213115</v>
      </c>
      <c r="E33" s="196">
        <v>-1787419</v>
      </c>
      <c r="F33" s="196">
        <v>-655</v>
      </c>
      <c r="G33" s="197">
        <v>325903</v>
      </c>
    </row>
    <row r="34" spans="1:7">
      <c r="A34" t="s">
        <v>388</v>
      </c>
      <c r="B34" s="195">
        <v>107043</v>
      </c>
      <c r="C34" s="198"/>
      <c r="D34" s="198"/>
      <c r="E34" s="198"/>
      <c r="F34" s="198"/>
      <c r="G34" s="199"/>
    </row>
    <row r="35" spans="1:7" s="96" customFormat="1">
      <c r="A35" s="218"/>
      <c r="B35" s="219"/>
      <c r="C35" s="220"/>
      <c r="D35" s="220"/>
      <c r="E35" s="220"/>
      <c r="F35" s="220"/>
      <c r="G35" s="221"/>
    </row>
    <row r="36" spans="1:7" s="96" customFormat="1">
      <c r="A36" s="218"/>
      <c r="B36" s="219"/>
      <c r="C36" s="220"/>
      <c r="D36" s="220"/>
      <c r="E36" s="220"/>
      <c r="F36" s="220"/>
      <c r="G36" s="221"/>
    </row>
    <row r="37" spans="1:7">
      <c r="A37" t="s">
        <v>238</v>
      </c>
      <c r="B37" s="195">
        <v>1072</v>
      </c>
      <c r="C37" s="196">
        <v>913442</v>
      </c>
      <c r="D37" s="196">
        <v>1216239</v>
      </c>
      <c r="E37" s="196">
        <v>-1811997</v>
      </c>
      <c r="F37" s="196">
        <v>-694</v>
      </c>
      <c r="G37" s="197">
        <v>318062</v>
      </c>
    </row>
    <row r="38" spans="1:7">
      <c r="A38" t="s">
        <v>239</v>
      </c>
      <c r="B38" s="195">
        <v>107195</v>
      </c>
      <c r="C38" s="198"/>
      <c r="D38" s="198"/>
      <c r="E38" s="198"/>
      <c r="F38" s="198"/>
      <c r="G38" s="199"/>
    </row>
    <row r="39" spans="1:7">
      <c r="A39" t="s">
        <v>218</v>
      </c>
      <c r="B39" s="203"/>
      <c r="C39" s="204"/>
      <c r="D39" s="204"/>
      <c r="E39" s="204"/>
      <c r="F39" s="204"/>
      <c r="G39" s="211"/>
    </row>
    <row r="40" spans="1:7">
      <c r="A40" t="s">
        <v>60</v>
      </c>
      <c r="B40" s="200"/>
      <c r="C40" s="201"/>
      <c r="D40" s="207">
        <v>33191</v>
      </c>
      <c r="E40" s="201"/>
      <c r="F40" s="201"/>
      <c r="G40" s="208">
        <v>33191</v>
      </c>
    </row>
    <row r="41" spans="1:7">
      <c r="A41" t="s">
        <v>167</v>
      </c>
      <c r="B41" s="203"/>
      <c r="C41" s="204"/>
      <c r="D41" s="204"/>
      <c r="E41" s="204"/>
      <c r="F41" s="205">
        <v>-253</v>
      </c>
      <c r="G41" s="206">
        <v>-253</v>
      </c>
    </row>
    <row r="42" spans="1:7">
      <c r="A42" t="s">
        <v>240</v>
      </c>
      <c r="B42" s="200"/>
      <c r="C42" s="201"/>
      <c r="D42" s="207">
        <v>-13764</v>
      </c>
      <c r="E42" s="201"/>
      <c r="F42" s="201"/>
      <c r="G42" s="208">
        <v>-13764</v>
      </c>
    </row>
    <row r="43" spans="1:7">
      <c r="A43" t="s">
        <v>151</v>
      </c>
      <c r="B43" s="210">
        <v>7</v>
      </c>
      <c r="C43" s="205">
        <v>7691</v>
      </c>
      <c r="D43" s="204"/>
      <c r="E43" s="204"/>
      <c r="F43" s="204"/>
      <c r="G43" s="206">
        <v>7698</v>
      </c>
    </row>
    <row r="44" spans="1:7">
      <c r="A44" t="s">
        <v>221</v>
      </c>
      <c r="B44" s="209">
        <v>680</v>
      </c>
      <c r="C44" s="201"/>
      <c r="D44" s="201"/>
      <c r="E44" s="201"/>
      <c r="F44" s="201"/>
      <c r="G44" s="202"/>
    </row>
    <row r="45" spans="1:7">
      <c r="A45" t="s">
        <v>241</v>
      </c>
      <c r="B45" s="227"/>
      <c r="C45" s="228"/>
      <c r="D45" s="228"/>
      <c r="E45" s="226">
        <v>-12496</v>
      </c>
      <c r="F45" s="228"/>
      <c r="G45" s="229">
        <v>-12496</v>
      </c>
    </row>
    <row r="46" spans="1:7">
      <c r="A46" t="s">
        <v>242</v>
      </c>
      <c r="B46" s="195">
        <v>1079</v>
      </c>
      <c r="C46" s="196">
        <v>921133</v>
      </c>
      <c r="D46" s="196">
        <v>1235666</v>
      </c>
      <c r="E46" s="196">
        <v>-1824493</v>
      </c>
      <c r="F46" s="196">
        <v>-947</v>
      </c>
      <c r="G46" s="197">
        <v>332438</v>
      </c>
    </row>
    <row r="47" spans="1:7">
      <c r="A47" t="s">
        <v>243</v>
      </c>
      <c r="B47" s="195">
        <v>107875</v>
      </c>
      <c r="C47" s="198"/>
      <c r="D47" s="198"/>
      <c r="E47" s="198"/>
      <c r="F47" s="198"/>
      <c r="G47" s="199"/>
    </row>
    <row r="48" spans="1:7" s="96" customFormat="1">
      <c r="A48" s="218"/>
      <c r="B48" s="219"/>
      <c r="C48" s="220"/>
      <c r="D48" s="220"/>
      <c r="E48" s="220"/>
      <c r="F48" s="220"/>
      <c r="G48" s="221"/>
    </row>
    <row r="49" spans="1:7" s="96" customFormat="1" ht="23.5">
      <c r="A49" s="222">
        <v>2024</v>
      </c>
      <c r="B49" s="219"/>
      <c r="C49" s="220"/>
      <c r="D49" s="220"/>
      <c r="E49" s="220"/>
      <c r="F49" s="220"/>
      <c r="G49" s="221"/>
    </row>
    <row r="50" spans="1:7">
      <c r="A50" t="s">
        <v>238</v>
      </c>
      <c r="B50" s="195">
        <v>1072</v>
      </c>
      <c r="C50" s="196">
        <v>913442</v>
      </c>
      <c r="D50" s="196">
        <v>1216239</v>
      </c>
      <c r="E50" s="196">
        <v>-1811997</v>
      </c>
      <c r="F50" s="196">
        <v>-694</v>
      </c>
      <c r="G50" s="197">
        <v>318062</v>
      </c>
    </row>
    <row r="51" spans="1:7">
      <c r="A51" t="s">
        <v>239</v>
      </c>
      <c r="B51" s="195">
        <v>107195</v>
      </c>
      <c r="C51" s="198"/>
      <c r="D51" s="198"/>
      <c r="E51" s="198"/>
      <c r="F51" s="198"/>
      <c r="G51" s="199"/>
    </row>
    <row r="52" spans="1:7">
      <c r="A52" t="s">
        <v>218</v>
      </c>
      <c r="B52" s="200"/>
      <c r="C52" s="201"/>
      <c r="D52" s="201"/>
      <c r="E52" s="201"/>
      <c r="F52" s="201"/>
      <c r="G52" s="202"/>
    </row>
    <row r="53" spans="1:7">
      <c r="A53" t="s">
        <v>60</v>
      </c>
      <c r="B53" s="203"/>
      <c r="C53" s="204"/>
      <c r="D53" s="204"/>
      <c r="E53" s="204"/>
      <c r="F53" s="204"/>
      <c r="G53" s="206">
        <v>85635</v>
      </c>
    </row>
    <row r="54" spans="1:7">
      <c r="A54" t="s">
        <v>167</v>
      </c>
      <c r="B54" s="200"/>
      <c r="C54" s="201"/>
      <c r="D54" s="201"/>
      <c r="E54" s="201"/>
      <c r="F54" s="201"/>
      <c r="G54" s="208">
        <v>-377</v>
      </c>
    </row>
    <row r="55" spans="1:7">
      <c r="A55" s="91" t="s">
        <v>244</v>
      </c>
      <c r="B55" s="224"/>
      <c r="C55" s="225"/>
      <c r="D55" s="225"/>
      <c r="E55" s="225"/>
      <c r="F55" s="225"/>
      <c r="G55" s="223">
        <v>500</v>
      </c>
    </row>
    <row r="56" spans="1:7">
      <c r="A56" t="s">
        <v>245</v>
      </c>
      <c r="B56" s="195">
        <v>1079</v>
      </c>
      <c r="C56" s="196">
        <v>928015</v>
      </c>
      <c r="D56" s="196">
        <v>1274339</v>
      </c>
      <c r="E56" s="196">
        <v>-1828382</v>
      </c>
      <c r="F56" s="196">
        <v>-1071</v>
      </c>
      <c r="G56" s="197">
        <v>373980</v>
      </c>
    </row>
    <row r="57" spans="1:7">
      <c r="A57" t="s">
        <v>246</v>
      </c>
      <c r="B57" s="195">
        <v>107917</v>
      </c>
      <c r="C57" s="198"/>
      <c r="D57" s="198"/>
      <c r="E57" s="198"/>
      <c r="F57" s="198"/>
      <c r="G57" s="199"/>
    </row>
    <row r="58" spans="1:7">
      <c r="B58" s="195"/>
      <c r="C58" s="198"/>
      <c r="D58" s="198"/>
      <c r="E58" s="198"/>
      <c r="F58" s="198"/>
      <c r="G58" s="199"/>
    </row>
    <row r="59" spans="1:7">
      <c r="A59" t="s">
        <v>247</v>
      </c>
      <c r="B59" s="195">
        <v>1079</v>
      </c>
      <c r="C59" s="196">
        <v>921133</v>
      </c>
      <c r="D59" s="196">
        <v>1235666</v>
      </c>
      <c r="E59" s="196">
        <v>-1824493</v>
      </c>
      <c r="F59" s="196">
        <v>-947</v>
      </c>
      <c r="G59" s="197">
        <v>332438</v>
      </c>
    </row>
    <row r="60" spans="1:7">
      <c r="A60" t="s">
        <v>248</v>
      </c>
      <c r="B60" s="195">
        <v>107875</v>
      </c>
      <c r="C60" s="198"/>
      <c r="D60" s="198"/>
      <c r="E60" s="198"/>
      <c r="F60" s="198"/>
      <c r="G60" s="199"/>
    </row>
    <row r="61" spans="1:7">
      <c r="A61" t="s">
        <v>218</v>
      </c>
      <c r="B61" s="200"/>
      <c r="C61" s="201"/>
      <c r="D61" s="201"/>
      <c r="E61" s="201"/>
      <c r="F61" s="201"/>
      <c r="G61" s="202"/>
    </row>
    <row r="62" spans="1:7">
      <c r="A62" t="s">
        <v>60</v>
      </c>
      <c r="B62" s="203"/>
      <c r="C62" s="204"/>
      <c r="D62" s="205">
        <v>52444</v>
      </c>
      <c r="E62" s="204"/>
      <c r="F62" s="204"/>
      <c r="G62" s="206">
        <v>52444</v>
      </c>
    </row>
    <row r="63" spans="1:7">
      <c r="A63" t="s">
        <v>167</v>
      </c>
      <c r="B63" s="200"/>
      <c r="C63" s="201"/>
      <c r="D63" s="201"/>
      <c r="E63" s="201"/>
      <c r="F63" s="207">
        <v>-124</v>
      </c>
      <c r="G63" s="208">
        <v>-124</v>
      </c>
    </row>
    <row r="64" spans="1:7">
      <c r="A64" t="s">
        <v>240</v>
      </c>
      <c r="B64" s="203"/>
      <c r="C64" s="204"/>
      <c r="D64" s="205">
        <v>-13771</v>
      </c>
      <c r="E64" s="204"/>
      <c r="F64" s="204"/>
      <c r="G64" s="206">
        <v>-13771</v>
      </c>
    </row>
    <row r="65" spans="1:8">
      <c r="A65" t="s">
        <v>151</v>
      </c>
      <c r="B65" s="209">
        <v>0</v>
      </c>
      <c r="C65" s="207">
        <v>6882</v>
      </c>
      <c r="D65" s="201"/>
      <c r="E65" s="201"/>
      <c r="F65" s="201"/>
      <c r="G65" s="208">
        <v>6882</v>
      </c>
    </row>
    <row r="66" spans="1:8">
      <c r="A66" t="s">
        <v>221</v>
      </c>
      <c r="B66" s="210">
        <v>42</v>
      </c>
      <c r="C66" s="204"/>
      <c r="D66" s="204"/>
      <c r="E66" s="204"/>
      <c r="F66" s="204"/>
      <c r="G66" s="211"/>
    </row>
    <row r="67" spans="1:8">
      <c r="A67" t="s">
        <v>241</v>
      </c>
      <c r="B67" s="200"/>
      <c r="C67" s="201"/>
      <c r="D67" s="201"/>
      <c r="E67" s="226">
        <v>-3889</v>
      </c>
      <c r="F67" s="201"/>
      <c r="G67" s="208">
        <v>-3889</v>
      </c>
    </row>
    <row r="68" spans="1:8">
      <c r="A68" s="91" t="s">
        <v>244</v>
      </c>
      <c r="B68" s="224"/>
      <c r="C68" s="225"/>
      <c r="D68" s="225"/>
      <c r="E68" s="225"/>
      <c r="F68" s="225"/>
      <c r="G68" s="223">
        <v>100</v>
      </c>
    </row>
    <row r="69" spans="1:8">
      <c r="A69" t="s">
        <v>245</v>
      </c>
      <c r="B69" s="195">
        <v>1079</v>
      </c>
      <c r="C69" s="196">
        <v>928015</v>
      </c>
      <c r="D69" s="196">
        <v>1274339</v>
      </c>
      <c r="E69" s="196">
        <v>-1828382</v>
      </c>
      <c r="F69" s="196">
        <v>-1071</v>
      </c>
      <c r="G69" s="197">
        <v>373980</v>
      </c>
    </row>
    <row r="70" spans="1:8" ht="15" thickBot="1">
      <c r="A70" t="s">
        <v>246</v>
      </c>
      <c r="B70" s="212">
        <v>107917</v>
      </c>
      <c r="C70" s="213"/>
      <c r="D70" s="213"/>
      <c r="E70" s="213"/>
      <c r="F70" s="213"/>
      <c r="G70" s="214"/>
    </row>
    <row r="71" spans="1:8">
      <c r="A71" s="434"/>
      <c r="B71" s="434"/>
      <c r="C71" s="434"/>
      <c r="D71" s="434"/>
      <c r="E71" s="434"/>
      <c r="F71" s="434"/>
      <c r="G71" s="434"/>
    </row>
    <row r="72" spans="1:8">
      <c r="A72" s="435"/>
      <c r="B72" s="435"/>
      <c r="C72" s="435"/>
      <c r="D72" s="435"/>
      <c r="E72" s="435"/>
      <c r="F72" s="435"/>
      <c r="G72" s="435"/>
    </row>
    <row r="73" spans="1:8">
      <c r="A73" t="s">
        <v>238</v>
      </c>
      <c r="B73" s="195">
        <v>1072</v>
      </c>
      <c r="C73" s="196">
        <v>913442</v>
      </c>
      <c r="D73" s="196">
        <v>1216239</v>
      </c>
      <c r="E73" s="196">
        <v>-1811997</v>
      </c>
      <c r="F73" s="196">
        <v>-694</v>
      </c>
      <c r="G73" s="197">
        <v>318062</v>
      </c>
    </row>
    <row r="74" spans="1:8">
      <c r="A74" t="s">
        <v>247</v>
      </c>
      <c r="B74" s="195">
        <v>1079</v>
      </c>
      <c r="C74" s="196">
        <v>921133</v>
      </c>
      <c r="D74" s="196">
        <v>1235666</v>
      </c>
      <c r="E74" s="196">
        <v>-1824493</v>
      </c>
      <c r="F74" s="196">
        <v>-947</v>
      </c>
      <c r="G74" s="197">
        <v>332438</v>
      </c>
      <c r="H74" s="92">
        <f>-E74+E73</f>
        <v>12496</v>
      </c>
    </row>
    <row r="75" spans="1:8">
      <c r="A75" t="s">
        <v>245</v>
      </c>
      <c r="B75" s="195">
        <v>1079</v>
      </c>
      <c r="C75" s="196">
        <v>928015</v>
      </c>
      <c r="D75" s="196">
        <v>1274339</v>
      </c>
      <c r="E75" s="196">
        <v>-1828382</v>
      </c>
      <c r="F75" s="196">
        <v>-1071</v>
      </c>
      <c r="G75" s="197">
        <v>373980</v>
      </c>
      <c r="H75" s="92">
        <f>-E75+E74</f>
        <v>3889</v>
      </c>
    </row>
    <row r="76" spans="1:8">
      <c r="H76" s="92">
        <f>SUM(H74:H75)</f>
        <v>16385</v>
      </c>
    </row>
  </sheetData>
  <mergeCells count="8">
    <mergeCell ref="A71:G71"/>
    <mergeCell ref="A72:G72"/>
    <mergeCell ref="B1:B2"/>
    <mergeCell ref="C1:C2"/>
    <mergeCell ref="D1:D2"/>
    <mergeCell ref="E1:E2"/>
    <mergeCell ref="F1:F2"/>
    <mergeCell ref="G1:G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3A9D-EDAC-47D2-9B01-0E552407C6EA}">
  <dimension ref="A1:R45"/>
  <sheetViews>
    <sheetView zoomScale="60" zoomScaleNormal="60" workbookViewId="0">
      <pane ySplit="2" topLeftCell="A27" activePane="bottomLeft" state="frozen"/>
      <selection activeCell="E50" sqref="E50"/>
      <selection pane="bottomLeft" activeCell="E50" sqref="E50"/>
    </sheetView>
  </sheetViews>
  <sheetFormatPr defaultRowHeight="14.5"/>
  <cols>
    <col min="1" max="1" width="89.26953125" bestFit="1" customWidth="1"/>
    <col min="2" max="2" width="8.81640625" style="194" bestFit="1" customWidth="1"/>
    <col min="3" max="4" width="11.7265625" style="193" bestFit="1" customWidth="1"/>
    <col min="5" max="5" width="10.90625" style="193" bestFit="1" customWidth="1"/>
    <col min="6" max="6" width="12.453125" style="193" bestFit="1" customWidth="1"/>
    <col min="7" max="7" width="11.7265625" style="193" bestFit="1" customWidth="1"/>
    <col min="8" max="8" width="12.6328125" style="193" bestFit="1" customWidth="1"/>
    <col min="9" max="9" width="10.08984375" style="193" bestFit="1" customWidth="1"/>
    <col min="10" max="10" width="13" style="193" bestFit="1" customWidth="1"/>
    <col min="11" max="11" width="13.90625" style="193" bestFit="1" customWidth="1"/>
    <col min="12" max="12" width="10.6328125" style="193" bestFit="1" customWidth="1"/>
    <col min="13" max="13" width="11.7265625" style="193" bestFit="1" customWidth="1"/>
    <col min="14" max="14" width="8.81640625" style="194" bestFit="1" customWidth="1"/>
    <col min="15" max="16" width="10.08984375" style="193" bestFit="1" customWidth="1"/>
    <col min="17" max="17" width="11.7265625" style="194" bestFit="1" customWidth="1"/>
    <col min="18" max="18" width="12.6328125" style="47" bestFit="1" customWidth="1"/>
  </cols>
  <sheetData>
    <row r="1" spans="1:18" ht="42">
      <c r="A1" s="166" t="s">
        <v>393</v>
      </c>
      <c r="B1" s="181" t="s">
        <v>394</v>
      </c>
      <c r="C1" s="179" t="s">
        <v>394</v>
      </c>
      <c r="D1" s="179" t="s">
        <v>394</v>
      </c>
      <c r="E1" s="179" t="s">
        <v>208</v>
      </c>
      <c r="F1" s="428" t="s">
        <v>208</v>
      </c>
      <c r="G1" s="179" t="s">
        <v>209</v>
      </c>
      <c r="H1" s="428" t="s">
        <v>209</v>
      </c>
      <c r="I1" s="179" t="s">
        <v>210</v>
      </c>
      <c r="J1" s="179" t="s">
        <v>210</v>
      </c>
      <c r="K1" s="428" t="s">
        <v>210</v>
      </c>
      <c r="L1" s="179" t="s">
        <v>211</v>
      </c>
      <c r="M1" s="428" t="s">
        <v>211</v>
      </c>
      <c r="N1" s="181" t="s">
        <v>212</v>
      </c>
      <c r="O1" s="428" t="s">
        <v>212</v>
      </c>
      <c r="P1" s="428" t="s">
        <v>213</v>
      </c>
      <c r="Q1" s="430" t="s">
        <v>214</v>
      </c>
      <c r="R1" s="425" t="s">
        <v>215</v>
      </c>
    </row>
    <row r="2" spans="1:18" ht="73.5">
      <c r="A2" s="167" t="s">
        <v>377</v>
      </c>
      <c r="B2" s="168" t="s">
        <v>213</v>
      </c>
      <c r="C2" s="180" t="s">
        <v>214</v>
      </c>
      <c r="D2" s="180" t="s">
        <v>395</v>
      </c>
      <c r="E2" s="180" t="s">
        <v>214</v>
      </c>
      <c r="F2" s="429"/>
      <c r="G2" s="180" t="s">
        <v>214</v>
      </c>
      <c r="H2" s="429"/>
      <c r="I2" s="180" t="s">
        <v>213</v>
      </c>
      <c r="J2" s="180" t="s">
        <v>214</v>
      </c>
      <c r="K2" s="429"/>
      <c r="L2" s="180" t="s">
        <v>214</v>
      </c>
      <c r="M2" s="429"/>
      <c r="N2" s="168" t="s">
        <v>214</v>
      </c>
      <c r="O2" s="429"/>
      <c r="P2" s="429"/>
      <c r="Q2" s="431"/>
      <c r="R2" s="442"/>
    </row>
    <row r="3" spans="1:18" ht="42">
      <c r="A3" s="230"/>
      <c r="B3" s="168" t="s">
        <v>395</v>
      </c>
      <c r="C3" s="180" t="s">
        <v>395</v>
      </c>
      <c r="D3" s="231"/>
      <c r="E3" s="231"/>
      <c r="F3" s="429"/>
      <c r="G3" s="231"/>
      <c r="H3" s="429"/>
      <c r="I3" s="231"/>
      <c r="J3" s="231"/>
      <c r="K3" s="429"/>
      <c r="L3" s="231"/>
      <c r="M3" s="429"/>
      <c r="N3" s="236"/>
      <c r="O3" s="429"/>
      <c r="P3" s="429"/>
      <c r="Q3" s="431"/>
      <c r="R3" s="442"/>
    </row>
    <row r="4" spans="1:18">
      <c r="A4" s="242" t="s">
        <v>216</v>
      </c>
      <c r="B4" s="185">
        <v>-4763</v>
      </c>
      <c r="C4" s="183">
        <v>213485</v>
      </c>
      <c r="D4" s="183">
        <v>218248</v>
      </c>
      <c r="E4" s="183">
        <v>986</v>
      </c>
      <c r="F4" s="183">
        <v>986</v>
      </c>
      <c r="G4" s="183">
        <v>878148</v>
      </c>
      <c r="H4" s="183">
        <v>878148</v>
      </c>
      <c r="I4" s="183">
        <v>4763</v>
      </c>
      <c r="J4" s="183">
        <v>1114850</v>
      </c>
      <c r="K4" s="183">
        <v>1110087</v>
      </c>
      <c r="L4" s="235">
        <v>-1696743</v>
      </c>
      <c r="M4" s="235">
        <v>-1696743</v>
      </c>
      <c r="N4" s="185">
        <v>-3785</v>
      </c>
      <c r="O4" s="235">
        <v>-3785</v>
      </c>
      <c r="P4" s="183">
        <v>4763</v>
      </c>
      <c r="Q4" s="184">
        <v>293456</v>
      </c>
      <c r="R4" s="171">
        <v>288693</v>
      </c>
    </row>
    <row r="5" spans="1:18">
      <c r="A5" s="242" t="s">
        <v>217</v>
      </c>
      <c r="B5" s="186"/>
      <c r="C5" s="183">
        <v>200</v>
      </c>
      <c r="D5" s="183">
        <v>200</v>
      </c>
      <c r="E5" s="183">
        <v>98645</v>
      </c>
      <c r="F5" s="183">
        <v>98645</v>
      </c>
      <c r="G5" s="234"/>
      <c r="H5" s="234"/>
      <c r="I5" s="234"/>
      <c r="J5" s="234"/>
      <c r="K5" s="234"/>
      <c r="L5" s="234"/>
      <c r="M5" s="234"/>
      <c r="N5" s="186"/>
      <c r="O5" s="234"/>
      <c r="P5" s="234"/>
      <c r="Q5" s="186"/>
      <c r="R5" s="172"/>
    </row>
    <row r="6" spans="1:18">
      <c r="A6" t="s">
        <v>218</v>
      </c>
      <c r="B6" s="188"/>
      <c r="C6" s="187"/>
      <c r="D6" s="187"/>
      <c r="E6" s="187"/>
      <c r="F6" s="187"/>
      <c r="G6" s="187"/>
      <c r="H6" s="187"/>
      <c r="I6" s="187"/>
      <c r="J6" s="187"/>
      <c r="K6" s="187"/>
      <c r="L6" s="187"/>
      <c r="M6" s="187"/>
      <c r="N6" s="188"/>
      <c r="O6" s="187"/>
      <c r="P6" s="187"/>
      <c r="Q6" s="188"/>
      <c r="R6" s="173"/>
    </row>
    <row r="7" spans="1:18">
      <c r="A7" t="s">
        <v>60</v>
      </c>
      <c r="B7" s="190"/>
      <c r="C7" s="189"/>
      <c r="D7" s="189"/>
      <c r="E7" s="189"/>
      <c r="F7" s="189"/>
      <c r="G7" s="189"/>
      <c r="H7" s="189"/>
      <c r="I7" s="189"/>
      <c r="J7" s="189"/>
      <c r="K7" s="192">
        <v>72373</v>
      </c>
      <c r="L7" s="189"/>
      <c r="M7" s="189"/>
      <c r="N7" s="190"/>
      <c r="O7" s="189"/>
      <c r="P7" s="189"/>
      <c r="Q7" s="190"/>
      <c r="R7" s="174">
        <v>72373</v>
      </c>
    </row>
    <row r="8" spans="1:18">
      <c r="A8" t="s">
        <v>167</v>
      </c>
      <c r="B8" s="188"/>
      <c r="C8" s="187"/>
      <c r="D8" s="187"/>
      <c r="E8" s="187"/>
      <c r="F8" s="187"/>
      <c r="G8" s="187"/>
      <c r="H8" s="187"/>
      <c r="I8" s="187"/>
      <c r="J8" s="187"/>
      <c r="K8" s="187"/>
      <c r="L8" s="187"/>
      <c r="M8" s="187"/>
      <c r="N8" s="188"/>
      <c r="O8" s="191">
        <v>34</v>
      </c>
      <c r="P8" s="187"/>
      <c r="Q8" s="188"/>
      <c r="R8" s="175">
        <v>34</v>
      </c>
    </row>
    <row r="9" spans="1:18">
      <c r="A9" t="s">
        <v>219</v>
      </c>
      <c r="B9" s="190"/>
      <c r="C9" s="189"/>
      <c r="D9" s="189"/>
      <c r="E9" s="189"/>
      <c r="F9" s="189"/>
      <c r="G9" s="189"/>
      <c r="H9" s="189"/>
      <c r="I9" s="189"/>
      <c r="J9" s="189"/>
      <c r="K9" s="189"/>
      <c r="L9" s="189"/>
      <c r="M9" s="189"/>
      <c r="N9" s="190"/>
      <c r="O9" s="192">
        <v>3464</v>
      </c>
      <c r="P9" s="189"/>
      <c r="Q9" s="190"/>
      <c r="R9" s="174">
        <v>3464</v>
      </c>
    </row>
    <row r="10" spans="1:18">
      <c r="A10" t="s">
        <v>220</v>
      </c>
      <c r="B10" s="188"/>
      <c r="C10" s="187"/>
      <c r="D10" s="187"/>
      <c r="E10" s="187"/>
      <c r="F10" s="187"/>
      <c r="G10" s="187"/>
      <c r="H10" s="187"/>
      <c r="I10" s="187"/>
      <c r="J10" s="187"/>
      <c r="K10" s="191">
        <v>588</v>
      </c>
      <c r="L10" s="187"/>
      <c r="M10" s="187"/>
      <c r="N10" s="188"/>
      <c r="O10" s="187"/>
      <c r="P10" s="187"/>
      <c r="Q10" s="188"/>
      <c r="R10" s="175">
        <v>588</v>
      </c>
    </row>
    <row r="11" spans="1:18">
      <c r="A11" t="s">
        <v>151</v>
      </c>
      <c r="B11" s="190"/>
      <c r="C11" s="189"/>
      <c r="D11" s="189"/>
      <c r="E11" s="189"/>
      <c r="F11" s="192">
        <v>8</v>
      </c>
      <c r="G11" s="189"/>
      <c r="H11" s="192">
        <v>24778</v>
      </c>
      <c r="I11" s="189"/>
      <c r="J11" s="189"/>
      <c r="K11" s="189"/>
      <c r="L11" s="189"/>
      <c r="M11" s="189"/>
      <c r="N11" s="190"/>
      <c r="O11" s="189"/>
      <c r="P11" s="189"/>
      <c r="Q11" s="190"/>
      <c r="R11" s="174">
        <v>24786</v>
      </c>
    </row>
    <row r="12" spans="1:18">
      <c r="A12" t="s">
        <v>221</v>
      </c>
      <c r="B12" s="188"/>
      <c r="C12" s="187"/>
      <c r="D12" s="187"/>
      <c r="E12" s="187"/>
      <c r="F12" s="191">
        <v>759</v>
      </c>
      <c r="G12" s="187"/>
      <c r="H12" s="187"/>
      <c r="I12" s="187"/>
      <c r="J12" s="187"/>
      <c r="K12" s="187"/>
      <c r="L12" s="187"/>
      <c r="M12" s="187"/>
      <c r="N12" s="188"/>
      <c r="O12" s="187"/>
      <c r="P12" s="187"/>
      <c r="Q12" s="188"/>
      <c r="R12" s="173"/>
    </row>
    <row r="13" spans="1:18">
      <c r="A13" t="s">
        <v>222</v>
      </c>
      <c r="B13" s="190"/>
      <c r="C13" s="189"/>
      <c r="D13" s="189"/>
      <c r="E13" s="189"/>
      <c r="F13" s="192">
        <v>5</v>
      </c>
      <c r="G13" s="189"/>
      <c r="H13" s="192">
        <v>23177</v>
      </c>
      <c r="I13" s="189"/>
      <c r="J13" s="189"/>
      <c r="K13" s="189"/>
      <c r="L13" s="189"/>
      <c r="M13" s="189"/>
      <c r="N13" s="190"/>
      <c r="O13" s="189"/>
      <c r="P13" s="189"/>
      <c r="Q13" s="190"/>
      <c r="R13" s="174">
        <v>23182</v>
      </c>
    </row>
    <row r="14" spans="1:18">
      <c r="A14" t="s">
        <v>223</v>
      </c>
      <c r="B14" s="188"/>
      <c r="C14" s="187"/>
      <c r="D14" s="187"/>
      <c r="E14" s="187"/>
      <c r="F14" s="191">
        <v>436</v>
      </c>
      <c r="G14" s="187"/>
      <c r="H14" s="187"/>
      <c r="I14" s="187"/>
      <c r="J14" s="187"/>
      <c r="K14" s="187"/>
      <c r="L14" s="187"/>
      <c r="M14" s="187"/>
      <c r="N14" s="188"/>
      <c r="O14" s="187"/>
      <c r="P14" s="187"/>
      <c r="Q14" s="188"/>
      <c r="R14" s="173"/>
    </row>
    <row r="15" spans="1:18">
      <c r="A15" t="s">
        <v>163</v>
      </c>
      <c r="B15" s="190"/>
      <c r="C15" s="189"/>
      <c r="D15" s="189"/>
      <c r="E15" s="189"/>
      <c r="F15" s="192">
        <v>31</v>
      </c>
      <c r="G15" s="189"/>
      <c r="H15" s="192">
        <v>167019</v>
      </c>
      <c r="I15" s="189"/>
      <c r="J15" s="189"/>
      <c r="K15" s="189"/>
      <c r="L15" s="189"/>
      <c r="M15" s="189"/>
      <c r="N15" s="190"/>
      <c r="O15" s="189"/>
      <c r="P15" s="189"/>
      <c r="Q15" s="190"/>
      <c r="R15" s="174">
        <v>167050</v>
      </c>
    </row>
    <row r="16" spans="1:18">
      <c r="A16" t="s">
        <v>224</v>
      </c>
      <c r="B16" s="188"/>
      <c r="C16" s="187"/>
      <c r="D16" s="187"/>
      <c r="E16" s="187"/>
      <c r="F16" s="191">
        <v>3125</v>
      </c>
      <c r="G16" s="187"/>
      <c r="H16" s="187"/>
      <c r="I16" s="187"/>
      <c r="J16" s="187"/>
      <c r="K16" s="187"/>
      <c r="L16" s="187"/>
      <c r="M16" s="187"/>
      <c r="N16" s="188"/>
      <c r="O16" s="187"/>
      <c r="P16" s="187"/>
      <c r="Q16" s="188"/>
      <c r="R16" s="173"/>
    </row>
    <row r="17" spans="1:18">
      <c r="A17" s="91" t="s">
        <v>165</v>
      </c>
      <c r="B17" s="249"/>
      <c r="C17" s="250"/>
      <c r="D17" s="250"/>
      <c r="E17" s="250"/>
      <c r="F17" s="250"/>
      <c r="G17" s="250"/>
      <c r="H17" s="250"/>
      <c r="I17" s="250"/>
      <c r="J17" s="250"/>
      <c r="K17" s="250"/>
      <c r="L17" s="250"/>
      <c r="M17" s="248">
        <v>-5766</v>
      </c>
      <c r="N17" s="190"/>
      <c r="O17" s="189"/>
      <c r="P17" s="189"/>
      <c r="Q17" s="190"/>
      <c r="R17" s="176">
        <v>-5766</v>
      </c>
    </row>
    <row r="18" spans="1:18">
      <c r="A18" t="s">
        <v>162</v>
      </c>
      <c r="B18" s="188"/>
      <c r="C18" s="187"/>
      <c r="D18" s="232">
        <v>-160114</v>
      </c>
      <c r="E18" s="187"/>
      <c r="F18" s="187"/>
      <c r="G18" s="187"/>
      <c r="H18" s="232">
        <v>-283637</v>
      </c>
      <c r="I18" s="187"/>
      <c r="J18" s="187"/>
      <c r="K18" s="187"/>
      <c r="L18" s="187"/>
      <c r="M18" s="187"/>
      <c r="N18" s="188"/>
      <c r="O18" s="187"/>
      <c r="P18" s="187"/>
      <c r="Q18" s="188"/>
      <c r="R18" s="178">
        <v>-283637</v>
      </c>
    </row>
    <row r="19" spans="1:18">
      <c r="A19" t="s">
        <v>225</v>
      </c>
      <c r="B19" s="190"/>
      <c r="C19" s="189"/>
      <c r="D19" s="192">
        <v>150</v>
      </c>
      <c r="E19" s="189"/>
      <c r="F19" s="189"/>
      <c r="G19" s="189"/>
      <c r="H19" s="189"/>
      <c r="I19" s="189"/>
      <c r="J19" s="189"/>
      <c r="K19" s="189"/>
      <c r="L19" s="189"/>
      <c r="M19" s="189"/>
      <c r="N19" s="190"/>
      <c r="O19" s="189"/>
      <c r="P19" s="189"/>
      <c r="Q19" s="190"/>
      <c r="R19" s="177"/>
    </row>
    <row r="20" spans="1:18">
      <c r="A20" t="s">
        <v>226</v>
      </c>
      <c r="B20" s="188"/>
      <c r="C20" s="187"/>
      <c r="D20" s="232">
        <v>-53371</v>
      </c>
      <c r="E20" s="187"/>
      <c r="F20" s="191">
        <v>24</v>
      </c>
      <c r="G20" s="187"/>
      <c r="H20" s="191">
        <v>53273</v>
      </c>
      <c r="I20" s="187"/>
      <c r="J20" s="187"/>
      <c r="K20" s="187"/>
      <c r="L20" s="187"/>
      <c r="M20" s="187"/>
      <c r="N20" s="188"/>
      <c r="O20" s="187"/>
      <c r="P20" s="187"/>
      <c r="Q20" s="188"/>
      <c r="R20" s="175">
        <v>53297</v>
      </c>
    </row>
    <row r="21" spans="1:18">
      <c r="A21" t="s">
        <v>227</v>
      </c>
      <c r="B21" s="190"/>
      <c r="C21" s="189"/>
      <c r="D21" s="233">
        <v>-50</v>
      </c>
      <c r="E21" s="189"/>
      <c r="F21" s="192">
        <v>2401</v>
      </c>
      <c r="G21" s="189"/>
      <c r="H21" s="189"/>
      <c r="I21" s="189"/>
      <c r="J21" s="189"/>
      <c r="K21" s="189"/>
      <c r="L21" s="189"/>
      <c r="M21" s="189"/>
      <c r="N21" s="190"/>
      <c r="O21" s="189"/>
      <c r="P21" s="189"/>
      <c r="Q21" s="190"/>
      <c r="R21" s="177"/>
    </row>
    <row r="22" spans="1:18">
      <c r="A22" t="s">
        <v>228</v>
      </c>
      <c r="B22" s="188"/>
      <c r="C22" s="187"/>
      <c r="D22" s="187"/>
      <c r="E22" s="187"/>
      <c r="F22" s="187"/>
      <c r="G22" s="187"/>
      <c r="H22" s="187"/>
      <c r="I22" s="187"/>
      <c r="J22" s="187"/>
      <c r="K22" s="232">
        <v>-13591</v>
      </c>
      <c r="L22" s="187"/>
      <c r="M22" s="187"/>
      <c r="N22" s="188"/>
      <c r="O22" s="187"/>
      <c r="P22" s="187"/>
      <c r="Q22" s="188"/>
      <c r="R22" s="178">
        <v>-13591</v>
      </c>
    </row>
    <row r="23" spans="1:18">
      <c r="A23" t="s">
        <v>229</v>
      </c>
      <c r="B23" s="190"/>
      <c r="C23" s="189"/>
      <c r="D23" s="189"/>
      <c r="E23" s="189"/>
      <c r="F23" s="189"/>
      <c r="G23" s="189"/>
      <c r="H23" s="189"/>
      <c r="I23" s="189"/>
      <c r="J23" s="189"/>
      <c r="K23" s="233">
        <v>-5070</v>
      </c>
      <c r="L23" s="189"/>
      <c r="M23" s="189"/>
      <c r="N23" s="190"/>
      <c r="O23" s="189"/>
      <c r="P23" s="189"/>
      <c r="Q23" s="190"/>
      <c r="R23" s="176">
        <v>-5070</v>
      </c>
    </row>
    <row r="24" spans="1:18" s="242" customFormat="1">
      <c r="A24" s="242" t="s">
        <v>230</v>
      </c>
      <c r="B24" s="237"/>
      <c r="C24" s="238"/>
      <c r="D24" s="238"/>
      <c r="E24" s="238"/>
      <c r="F24" s="239">
        <v>1054</v>
      </c>
      <c r="G24" s="238"/>
      <c r="H24" s="239">
        <v>862758</v>
      </c>
      <c r="I24" s="238"/>
      <c r="J24" s="238"/>
      <c r="K24" s="239">
        <v>1169150</v>
      </c>
      <c r="L24" s="238"/>
      <c r="M24" s="240">
        <v>-1702509</v>
      </c>
      <c r="N24" s="237"/>
      <c r="O24" s="240">
        <v>-287</v>
      </c>
      <c r="P24" s="238"/>
      <c r="Q24" s="237"/>
      <c r="R24" s="241">
        <v>330166</v>
      </c>
    </row>
    <row r="25" spans="1:18" s="242" customFormat="1">
      <c r="A25" s="242" t="s">
        <v>231</v>
      </c>
      <c r="B25" s="237"/>
      <c r="C25" s="238"/>
      <c r="D25" s="238"/>
      <c r="E25" s="238"/>
      <c r="F25" s="239">
        <v>105366</v>
      </c>
      <c r="G25" s="238"/>
      <c r="H25" s="238"/>
      <c r="I25" s="238"/>
      <c r="J25" s="238"/>
      <c r="K25" s="238"/>
      <c r="L25" s="238"/>
      <c r="M25" s="238"/>
      <c r="N25" s="237"/>
      <c r="O25" s="238"/>
      <c r="P25" s="238"/>
      <c r="Q25" s="237"/>
      <c r="R25" s="243"/>
    </row>
    <row r="26" spans="1:18">
      <c r="A26" t="s">
        <v>218</v>
      </c>
      <c r="B26" s="188"/>
      <c r="C26" s="187"/>
      <c r="D26" s="187"/>
      <c r="E26" s="187"/>
      <c r="F26" s="187"/>
      <c r="G26" s="187"/>
      <c r="H26" s="187"/>
      <c r="I26" s="187"/>
      <c r="J26" s="187"/>
      <c r="K26" s="187"/>
      <c r="L26" s="187"/>
      <c r="M26" s="187"/>
      <c r="N26" s="188"/>
      <c r="O26" s="187"/>
      <c r="P26" s="187"/>
      <c r="Q26" s="188"/>
      <c r="R26" s="173"/>
    </row>
    <row r="27" spans="1:18">
      <c r="A27" t="s">
        <v>60</v>
      </c>
      <c r="B27" s="190"/>
      <c r="C27" s="189"/>
      <c r="D27" s="189"/>
      <c r="E27" s="189"/>
      <c r="F27" s="189"/>
      <c r="G27" s="189"/>
      <c r="H27" s="189"/>
      <c r="I27" s="189"/>
      <c r="J27" s="189"/>
      <c r="K27" s="192">
        <v>43123</v>
      </c>
      <c r="L27" s="189"/>
      <c r="M27" s="189"/>
      <c r="N27" s="190"/>
      <c r="O27" s="189"/>
      <c r="P27" s="189"/>
      <c r="Q27" s="190"/>
      <c r="R27" s="174">
        <v>43123</v>
      </c>
    </row>
    <row r="28" spans="1:18">
      <c r="A28" t="s">
        <v>167</v>
      </c>
      <c r="B28" s="188"/>
      <c r="C28" s="187"/>
      <c r="D28" s="187"/>
      <c r="E28" s="187"/>
      <c r="F28" s="187"/>
      <c r="G28" s="187"/>
      <c r="H28" s="187"/>
      <c r="I28" s="187"/>
      <c r="J28" s="187"/>
      <c r="K28" s="187"/>
      <c r="L28" s="187"/>
      <c r="M28" s="187"/>
      <c r="N28" s="188"/>
      <c r="O28" s="232">
        <v>-695</v>
      </c>
      <c r="P28" s="187"/>
      <c r="Q28" s="188"/>
      <c r="R28" s="178">
        <v>-695</v>
      </c>
    </row>
    <row r="29" spans="1:18">
      <c r="A29" t="s">
        <v>220</v>
      </c>
      <c r="B29" s="190"/>
      <c r="C29" s="189"/>
      <c r="D29" s="189"/>
      <c r="E29" s="189"/>
      <c r="F29" s="189"/>
      <c r="G29" s="189"/>
      <c r="H29" s="189"/>
      <c r="I29" s="189"/>
      <c r="J29" s="189"/>
      <c r="K29" s="233">
        <v>-42195</v>
      </c>
      <c r="L29" s="189"/>
      <c r="M29" s="189"/>
      <c r="N29" s="190"/>
      <c r="O29" s="189"/>
      <c r="P29" s="189"/>
      <c r="Q29" s="190"/>
      <c r="R29" s="176">
        <v>-42195</v>
      </c>
    </row>
    <row r="30" spans="1:18">
      <c r="A30" t="s">
        <v>151</v>
      </c>
      <c r="B30" s="188"/>
      <c r="C30" s="187"/>
      <c r="D30" s="187"/>
      <c r="E30" s="187"/>
      <c r="F30" s="191">
        <v>8</v>
      </c>
      <c r="G30" s="187"/>
      <c r="H30" s="191">
        <v>24644</v>
      </c>
      <c r="I30" s="187"/>
      <c r="J30" s="187"/>
      <c r="K30" s="187"/>
      <c r="L30" s="187"/>
      <c r="M30" s="187"/>
      <c r="N30" s="188"/>
      <c r="O30" s="187"/>
      <c r="P30" s="187"/>
      <c r="Q30" s="188"/>
      <c r="R30" s="175">
        <v>24652</v>
      </c>
    </row>
    <row r="31" spans="1:18">
      <c r="A31" t="s">
        <v>221</v>
      </c>
      <c r="B31" s="190"/>
      <c r="C31" s="189"/>
      <c r="D31" s="189"/>
      <c r="E31" s="189"/>
      <c r="F31" s="192">
        <v>788</v>
      </c>
      <c r="G31" s="189"/>
      <c r="H31" s="189"/>
      <c r="I31" s="189"/>
      <c r="J31" s="189"/>
      <c r="K31" s="189"/>
      <c r="L31" s="189"/>
      <c r="M31" s="189"/>
      <c r="N31" s="190"/>
      <c r="O31" s="189"/>
      <c r="P31" s="189"/>
      <c r="Q31" s="190"/>
      <c r="R31" s="177"/>
    </row>
    <row r="32" spans="1:18">
      <c r="A32" t="s">
        <v>222</v>
      </c>
      <c r="B32" s="188"/>
      <c r="C32" s="187"/>
      <c r="D32" s="187"/>
      <c r="E32" s="187"/>
      <c r="F32" s="191">
        <v>1</v>
      </c>
      <c r="G32" s="187"/>
      <c r="H32" s="191">
        <v>83</v>
      </c>
      <c r="I32" s="187"/>
      <c r="J32" s="187"/>
      <c r="K32" s="187"/>
      <c r="L32" s="187"/>
      <c r="M32" s="187"/>
      <c r="N32" s="188"/>
      <c r="O32" s="187"/>
      <c r="P32" s="187"/>
      <c r="Q32" s="188"/>
      <c r="R32" s="175">
        <v>84</v>
      </c>
    </row>
    <row r="33" spans="1:18">
      <c r="A33" t="s">
        <v>223</v>
      </c>
      <c r="B33" s="190"/>
      <c r="C33" s="189"/>
      <c r="D33" s="189"/>
      <c r="E33" s="189"/>
      <c r="F33" s="192">
        <v>169</v>
      </c>
      <c r="G33" s="189"/>
      <c r="H33" s="189"/>
      <c r="I33" s="189"/>
      <c r="J33" s="189"/>
      <c r="K33" s="189"/>
      <c r="L33" s="189"/>
      <c r="M33" s="189"/>
      <c r="N33" s="190"/>
      <c r="O33" s="189"/>
      <c r="P33" s="189"/>
      <c r="Q33" s="190"/>
      <c r="R33" s="177"/>
    </row>
    <row r="34" spans="1:18">
      <c r="A34" t="s">
        <v>165</v>
      </c>
      <c r="B34" s="188"/>
      <c r="C34" s="187"/>
      <c r="D34" s="187"/>
      <c r="E34" s="187"/>
      <c r="F34" s="187"/>
      <c r="G34" s="187"/>
      <c r="H34" s="187"/>
      <c r="I34" s="187"/>
      <c r="J34" s="187"/>
      <c r="K34" s="187"/>
      <c r="L34" s="187"/>
      <c r="M34" s="248">
        <v>-63132</v>
      </c>
      <c r="N34" s="188"/>
      <c r="O34" s="187"/>
      <c r="P34" s="187"/>
      <c r="Q34" s="188"/>
      <c r="R34" s="178">
        <v>-63132</v>
      </c>
    </row>
    <row r="35" spans="1:18" s="242" customFormat="1">
      <c r="A35" s="242" t="s">
        <v>232</v>
      </c>
      <c r="B35" s="237"/>
      <c r="C35" s="238"/>
      <c r="D35" s="238"/>
      <c r="E35" s="238"/>
      <c r="F35" s="239">
        <v>1063</v>
      </c>
      <c r="G35" s="238"/>
      <c r="H35" s="239">
        <v>887485</v>
      </c>
      <c r="I35" s="238"/>
      <c r="J35" s="238"/>
      <c r="K35" s="239">
        <v>1170078</v>
      </c>
      <c r="L35" s="238"/>
      <c r="M35" s="240">
        <v>-1765641</v>
      </c>
      <c r="N35" s="237"/>
      <c r="O35" s="240">
        <v>-982</v>
      </c>
      <c r="P35" s="238"/>
      <c r="Q35" s="237"/>
      <c r="R35" s="241">
        <v>292003</v>
      </c>
    </row>
    <row r="36" spans="1:18" s="242" customFormat="1">
      <c r="A36" s="242" t="s">
        <v>233</v>
      </c>
      <c r="B36" s="237"/>
      <c r="C36" s="238"/>
      <c r="D36" s="238"/>
      <c r="E36" s="238"/>
      <c r="F36" s="239">
        <v>106323</v>
      </c>
      <c r="G36" s="238"/>
      <c r="H36" s="238"/>
      <c r="I36" s="238"/>
      <c r="J36" s="238"/>
      <c r="K36" s="238"/>
      <c r="L36" s="238"/>
      <c r="M36" s="238"/>
      <c r="N36" s="237"/>
      <c r="O36" s="238"/>
      <c r="P36" s="238"/>
      <c r="Q36" s="237"/>
      <c r="R36" s="243"/>
    </row>
    <row r="37" spans="1:18">
      <c r="A37" t="s">
        <v>218</v>
      </c>
      <c r="B37" s="190"/>
      <c r="C37" s="189"/>
      <c r="D37" s="189"/>
      <c r="E37" s="189"/>
      <c r="F37" s="189"/>
      <c r="G37" s="189"/>
      <c r="H37" s="189"/>
      <c r="I37" s="189"/>
      <c r="J37" s="189"/>
      <c r="K37" s="189"/>
      <c r="L37" s="189"/>
      <c r="M37" s="189"/>
      <c r="N37" s="190"/>
      <c r="O37" s="189"/>
      <c r="P37" s="189"/>
      <c r="Q37" s="190"/>
      <c r="R37" s="177"/>
    </row>
    <row r="38" spans="1:18">
      <c r="A38" t="s">
        <v>60</v>
      </c>
      <c r="B38" s="188"/>
      <c r="C38" s="187"/>
      <c r="D38" s="187"/>
      <c r="E38" s="187"/>
      <c r="F38" s="187"/>
      <c r="G38" s="187"/>
      <c r="H38" s="187"/>
      <c r="I38" s="187"/>
      <c r="J38" s="187"/>
      <c r="K38" s="191">
        <v>101351</v>
      </c>
      <c r="L38" s="187"/>
      <c r="M38" s="187"/>
      <c r="N38" s="188"/>
      <c r="O38" s="187"/>
      <c r="P38" s="187"/>
      <c r="Q38" s="188"/>
      <c r="R38" s="175">
        <v>101351</v>
      </c>
    </row>
    <row r="39" spans="1:18">
      <c r="A39" t="s">
        <v>167</v>
      </c>
      <c r="B39" s="190"/>
      <c r="C39" s="189"/>
      <c r="D39" s="189"/>
      <c r="E39" s="189"/>
      <c r="F39" s="189"/>
      <c r="G39" s="189"/>
      <c r="H39" s="189"/>
      <c r="I39" s="189"/>
      <c r="J39" s="189"/>
      <c r="K39" s="189"/>
      <c r="L39" s="189"/>
      <c r="M39" s="189"/>
      <c r="N39" s="190"/>
      <c r="O39" s="192">
        <v>288</v>
      </c>
      <c r="P39" s="189"/>
      <c r="Q39" s="190"/>
      <c r="R39" s="174">
        <v>288</v>
      </c>
    </row>
    <row r="40" spans="1:18">
      <c r="A40" t="s">
        <v>220</v>
      </c>
      <c r="B40" s="188"/>
      <c r="C40" s="187"/>
      <c r="D40" s="187"/>
      <c r="E40" s="187"/>
      <c r="F40" s="187"/>
      <c r="G40" s="187"/>
      <c r="H40" s="187"/>
      <c r="I40" s="187"/>
      <c r="J40" s="187"/>
      <c r="K40" s="232">
        <v>-55190</v>
      </c>
      <c r="L40" s="187"/>
      <c r="M40" s="187"/>
      <c r="N40" s="188"/>
      <c r="O40" s="187"/>
      <c r="P40" s="187"/>
      <c r="Q40" s="188"/>
      <c r="R40" s="178">
        <v>-55190</v>
      </c>
    </row>
    <row r="41" spans="1:18">
      <c r="A41" t="s">
        <v>151</v>
      </c>
      <c r="B41" s="190"/>
      <c r="C41" s="189"/>
      <c r="D41" s="189"/>
      <c r="E41" s="189"/>
      <c r="F41" s="192">
        <v>9</v>
      </c>
      <c r="G41" s="189"/>
      <c r="H41" s="192">
        <v>25957</v>
      </c>
      <c r="I41" s="189"/>
      <c r="J41" s="189"/>
      <c r="K41" s="189"/>
      <c r="L41" s="189"/>
      <c r="M41" s="189"/>
      <c r="N41" s="190"/>
      <c r="O41" s="189"/>
      <c r="P41" s="189"/>
      <c r="Q41" s="190"/>
      <c r="R41" s="174">
        <v>25966</v>
      </c>
    </row>
    <row r="42" spans="1:18">
      <c r="A42" t="s">
        <v>221</v>
      </c>
      <c r="B42" s="188"/>
      <c r="C42" s="187"/>
      <c r="D42" s="187"/>
      <c r="E42" s="187"/>
      <c r="F42" s="191">
        <v>872</v>
      </c>
      <c r="G42" s="187"/>
      <c r="H42" s="187"/>
      <c r="I42" s="187"/>
      <c r="J42" s="187"/>
      <c r="K42" s="187"/>
      <c r="L42" s="187"/>
      <c r="M42" s="187"/>
      <c r="N42" s="188"/>
      <c r="O42" s="187"/>
      <c r="P42" s="187"/>
      <c r="Q42" s="188"/>
      <c r="R42" s="173"/>
    </row>
    <row r="43" spans="1:18">
      <c r="A43" t="s">
        <v>165</v>
      </c>
      <c r="B43" s="190"/>
      <c r="C43" s="189"/>
      <c r="D43" s="189"/>
      <c r="E43" s="189"/>
      <c r="F43" s="189"/>
      <c r="G43" s="189"/>
      <c r="H43" s="189"/>
      <c r="I43" s="189"/>
      <c r="J43" s="189"/>
      <c r="K43" s="189"/>
      <c r="L43" s="189"/>
      <c r="M43" s="248">
        <v>-46356</v>
      </c>
      <c r="N43" s="190"/>
      <c r="O43" s="189"/>
      <c r="P43" s="189"/>
      <c r="Q43" s="190"/>
      <c r="R43" s="176">
        <v>-46356</v>
      </c>
    </row>
    <row r="44" spans="1:18" s="242" customFormat="1">
      <c r="A44" s="242" t="s">
        <v>234</v>
      </c>
      <c r="B44" s="237"/>
      <c r="C44" s="238"/>
      <c r="D44" s="238"/>
      <c r="E44" s="238"/>
      <c r="F44" s="239">
        <v>1072</v>
      </c>
      <c r="G44" s="238"/>
      <c r="H44" s="239">
        <v>913442</v>
      </c>
      <c r="I44" s="238"/>
      <c r="J44" s="238"/>
      <c r="K44" s="239">
        <v>1216239</v>
      </c>
      <c r="L44" s="238"/>
      <c r="M44" s="240">
        <v>-1811997</v>
      </c>
      <c r="N44" s="237"/>
      <c r="O44" s="240">
        <v>-694</v>
      </c>
      <c r="P44" s="238"/>
      <c r="Q44" s="237"/>
      <c r="R44" s="241">
        <v>318062</v>
      </c>
    </row>
    <row r="45" spans="1:18" s="242" customFormat="1" ht="15" thickBot="1">
      <c r="A45" s="242" t="s">
        <v>235</v>
      </c>
      <c r="B45" s="244"/>
      <c r="C45" s="245"/>
      <c r="D45" s="245"/>
      <c r="E45" s="245"/>
      <c r="F45" s="246">
        <v>107195</v>
      </c>
      <c r="G45" s="245"/>
      <c r="H45" s="245"/>
      <c r="I45" s="245"/>
      <c r="J45" s="245"/>
      <c r="K45" s="245"/>
      <c r="L45" s="245"/>
      <c r="M45" s="245"/>
      <c r="N45" s="244"/>
      <c r="O45" s="245"/>
      <c r="P45" s="245"/>
      <c r="Q45" s="244"/>
      <c r="R45" s="247"/>
    </row>
  </sheetData>
  <mergeCells count="8">
    <mergeCell ref="Q1:Q3"/>
    <mergeCell ref="R1:R3"/>
    <mergeCell ref="F1:F3"/>
    <mergeCell ref="H1:H3"/>
    <mergeCell ref="K1:K3"/>
    <mergeCell ref="M1:M3"/>
    <mergeCell ref="O1:O3"/>
    <mergeCell ref="P1:P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9298B-630F-4ED1-AE2D-E9AC41AC7964}">
  <sheetPr codeName="Sheet11">
    <tabColor theme="7" tint="-0.249977111117893"/>
  </sheetPr>
  <dimension ref="A1:N43"/>
  <sheetViews>
    <sheetView workbookViewId="0"/>
  </sheetViews>
  <sheetFormatPr defaultColWidth="9.08984375" defaultRowHeight="11.5"/>
  <cols>
    <col min="1" max="1" width="2" style="4" customWidth="1"/>
    <col min="2" max="2" width="40.08984375" style="4" customWidth="1"/>
    <col min="3" max="3" width="11.1796875" style="4" hidden="1" customWidth="1"/>
    <col min="4" max="4" width="10.54296875" style="4" bestFit="1" customWidth="1"/>
    <col min="5" max="5" width="9.54296875" style="4" customWidth="1"/>
    <col min="6" max="6" width="10.08984375" style="4" bestFit="1" customWidth="1"/>
    <col min="7" max="7" width="2" style="4" customWidth="1"/>
    <col min="8" max="8" width="12.36328125" style="4" bestFit="1" customWidth="1"/>
    <col min="9" max="11" width="9.08984375" style="4"/>
    <col min="12" max="12" width="9.7265625" style="4" bestFit="1" customWidth="1"/>
    <col min="13" max="13" width="2" style="4" customWidth="1"/>
    <col min="14" max="16384" width="9.08984375" style="4"/>
  </cols>
  <sheetData>
    <row r="1" spans="2:14" ht="15.5">
      <c r="B1" s="3" t="s">
        <v>256</v>
      </c>
    </row>
    <row r="3" spans="2:14" ht="23.5" thickBot="1">
      <c r="B3" s="11" t="s">
        <v>19</v>
      </c>
      <c r="C3" s="12" t="s">
        <v>71</v>
      </c>
      <c r="D3" s="12" t="s">
        <v>72</v>
      </c>
      <c r="E3" s="12" t="s">
        <v>73</v>
      </c>
      <c r="F3" s="12" t="s">
        <v>74</v>
      </c>
      <c r="G3" s="15"/>
      <c r="H3" s="13" t="s">
        <v>75</v>
      </c>
      <c r="I3" s="13" t="s">
        <v>76</v>
      </c>
      <c r="J3" s="13" t="s">
        <v>77</v>
      </c>
      <c r="K3" s="13" t="s">
        <v>78</v>
      </c>
      <c r="L3" s="13" t="s">
        <v>79</v>
      </c>
      <c r="N3" s="16" t="s">
        <v>21</v>
      </c>
    </row>
    <row r="4" spans="2:14">
      <c r="B4" s="17"/>
      <c r="C4" s="15"/>
      <c r="D4" s="15"/>
      <c r="E4" s="15"/>
      <c r="F4" s="15"/>
      <c r="G4" s="15"/>
      <c r="H4" s="105"/>
      <c r="I4" s="105"/>
      <c r="J4" s="105"/>
      <c r="K4" s="105"/>
      <c r="L4" s="105"/>
      <c r="N4" s="64"/>
    </row>
    <row r="5" spans="2:14">
      <c r="B5" s="49" t="s">
        <v>254</v>
      </c>
      <c r="C5" s="19" t="e">
        <f>#REF!</f>
        <v>#REF!</v>
      </c>
      <c r="D5" s="19" t="e">
        <f>#REF!</f>
        <v>#REF!</v>
      </c>
      <c r="E5" s="19" t="e">
        <f t="shared" ref="E5:F5" si="0">D8</f>
        <v>#REF!</v>
      </c>
      <c r="F5" s="19" t="e">
        <f t="shared" si="0"/>
        <v>#REF!</v>
      </c>
      <c r="H5" s="19" t="e">
        <f>F8</f>
        <v>#REF!</v>
      </c>
      <c r="I5" s="19" t="e">
        <f>H8</f>
        <v>#REF!</v>
      </c>
      <c r="J5" s="19" t="e">
        <f t="shared" ref="J5:L5" si="1">I8</f>
        <v>#REF!</v>
      </c>
      <c r="K5" s="19" t="e">
        <f t="shared" si="1"/>
        <v>#REF!</v>
      </c>
      <c r="L5" s="19" t="e">
        <f t="shared" si="1"/>
        <v>#REF!</v>
      </c>
    </row>
    <row r="6" spans="2:14">
      <c r="B6" s="59" t="s">
        <v>249</v>
      </c>
      <c r="C6" s="19" t="e">
        <f>#REF!</f>
        <v>#REF!</v>
      </c>
      <c r="D6" s="19" t="e">
        <f>#REF!+#REF!</f>
        <v>#REF!</v>
      </c>
      <c r="E6" s="19" t="e">
        <f>#REF!</f>
        <v>#REF!</v>
      </c>
      <c r="F6" s="19" t="e">
        <f>SUM(#REF!,#REF!)</f>
        <v>#REF!</v>
      </c>
      <c r="H6" s="19">
        <v>850</v>
      </c>
      <c r="I6" s="19">
        <v>850</v>
      </c>
      <c r="J6" s="19">
        <v>850</v>
      </c>
      <c r="K6" s="19">
        <v>850</v>
      </c>
      <c r="L6" s="19">
        <v>850</v>
      </c>
    </row>
    <row r="7" spans="2:14" ht="14" customHeight="1">
      <c r="B7" s="59" t="s">
        <v>250</v>
      </c>
      <c r="C7" s="19"/>
      <c r="D7" s="19"/>
      <c r="E7" s="19"/>
      <c r="F7" s="19">
        <v>-600</v>
      </c>
      <c r="H7" s="19">
        <f>-200</f>
        <v>-200</v>
      </c>
      <c r="I7" s="19">
        <f t="shared" ref="I7:L7" si="2">-200</f>
        <v>-200</v>
      </c>
      <c r="J7" s="19">
        <f t="shared" si="2"/>
        <v>-200</v>
      </c>
      <c r="K7" s="19">
        <f t="shared" si="2"/>
        <v>-200</v>
      </c>
      <c r="L7" s="19">
        <f t="shared" si="2"/>
        <v>-200</v>
      </c>
    </row>
    <row r="8" spans="2:14">
      <c r="B8" s="49" t="s">
        <v>255</v>
      </c>
      <c r="C8" s="50">
        <f>BS!C27</f>
        <v>292003</v>
      </c>
      <c r="D8" s="22" t="e">
        <f>#REF!</f>
        <v>#REF!</v>
      </c>
      <c r="E8" s="22" t="e">
        <f>#REF!</f>
        <v>#REF!</v>
      </c>
      <c r="F8" s="22" t="e">
        <f>#REF!</f>
        <v>#REF!</v>
      </c>
      <c r="H8" s="74" t="e">
        <f>SUM(H5:H7)</f>
        <v>#REF!</v>
      </c>
      <c r="I8" s="74" t="e">
        <f t="shared" ref="I8:L8" si="3">SUM(I5:I7)</f>
        <v>#REF!</v>
      </c>
      <c r="J8" s="74" t="e">
        <f t="shared" si="3"/>
        <v>#REF!</v>
      </c>
      <c r="K8" s="74" t="e">
        <f t="shared" si="3"/>
        <v>#REF!</v>
      </c>
      <c r="L8" s="74" t="e">
        <f t="shared" si="3"/>
        <v>#REF!</v>
      </c>
    </row>
    <row r="9" spans="2:14" ht="12" customHeight="1">
      <c r="B9" s="59" t="s">
        <v>120</v>
      </c>
      <c r="C9" s="9"/>
      <c r="D9" s="9" t="e">
        <f>D8*E10</f>
        <v>#REF!</v>
      </c>
      <c r="E9" s="9" t="e">
        <f>SUM(E5:E6)-E8</f>
        <v>#REF!</v>
      </c>
      <c r="F9" s="9" t="e">
        <f>SUM(F5:F6)-F8</f>
        <v>#REF!</v>
      </c>
      <c r="H9" s="19"/>
      <c r="I9" s="19"/>
      <c r="J9" s="19"/>
      <c r="K9" s="19"/>
      <c r="L9" s="19"/>
    </row>
    <row r="10" spans="2:14" ht="12" customHeight="1">
      <c r="B10" s="49"/>
      <c r="C10" s="50"/>
      <c r="D10" s="50"/>
      <c r="E10" s="50"/>
      <c r="F10" s="50"/>
      <c r="G10" s="49"/>
      <c r="H10" s="80"/>
      <c r="I10" s="80"/>
      <c r="J10" s="80"/>
      <c r="K10" s="80"/>
      <c r="L10" s="80"/>
    </row>
    <row r="11" spans="2:14" ht="12" customHeight="1">
      <c r="B11" s="57" t="s">
        <v>251</v>
      </c>
      <c r="C11" s="50"/>
      <c r="D11" s="9" t="e">
        <f>#REF!</f>
        <v>#REF!</v>
      </c>
      <c r="E11" s="9" t="e">
        <f>#REF!</f>
        <v>#REF!</v>
      </c>
      <c r="F11" s="9" t="e">
        <f>#REF!</f>
        <v>#REF!</v>
      </c>
      <c r="G11" s="49"/>
      <c r="H11" s="19" t="e">
        <f>AVERAGE(D11:F11)</f>
        <v>#REF!</v>
      </c>
      <c r="I11" s="19" t="e">
        <f>H11*0.98</f>
        <v>#REF!</v>
      </c>
      <c r="J11" s="19" t="e">
        <f>I11*0.99</f>
        <v>#REF!</v>
      </c>
      <c r="K11" s="19" t="e">
        <f>J11*1.01</f>
        <v>#REF!</v>
      </c>
      <c r="L11" s="19" t="e">
        <f>K11*1.01</f>
        <v>#REF!</v>
      </c>
    </row>
    <row r="12" spans="2:14" ht="12" customHeight="1">
      <c r="B12" s="106" t="s">
        <v>252</v>
      </c>
      <c r="C12" s="9"/>
      <c r="D12" s="9" t="e">
        <f>D13-D11</f>
        <v>#REF!</v>
      </c>
      <c r="E12" s="9" t="e">
        <f t="shared" ref="E12:F12" si="4">E13-E11</f>
        <v>#REF!</v>
      </c>
      <c r="F12" s="9" t="e">
        <f t="shared" si="4"/>
        <v>#REF!</v>
      </c>
      <c r="H12" s="19" t="e">
        <f>AVERAGE(D12:F12)</f>
        <v>#REF!</v>
      </c>
      <c r="I12" s="19">
        <v>761.33333333333337</v>
      </c>
      <c r="J12" s="19">
        <v>761.33333333333337</v>
      </c>
      <c r="K12" s="19">
        <v>761.33333333333337</v>
      </c>
      <c r="L12" s="19">
        <v>761.33333333333337</v>
      </c>
    </row>
    <row r="13" spans="2:14" ht="12" customHeight="1">
      <c r="B13" s="57" t="s">
        <v>253</v>
      </c>
      <c r="C13" s="9"/>
      <c r="D13" s="22">
        <f>'P&amp;L'!D31</f>
        <v>49778</v>
      </c>
      <c r="E13" s="22">
        <f>'P&amp;L'!E31</f>
        <v>49085</v>
      </c>
      <c r="F13" s="22">
        <f>'P&amp;L'!F31</f>
        <v>48985</v>
      </c>
      <c r="G13" s="49"/>
      <c r="H13" s="74" t="e">
        <f>SUM(H11:H12)</f>
        <v>#REF!</v>
      </c>
      <c r="I13" s="74" t="e">
        <f t="shared" ref="I13:L13" si="5">SUM(I11:I12)</f>
        <v>#REF!</v>
      </c>
      <c r="J13" s="74" t="e">
        <f t="shared" si="5"/>
        <v>#REF!</v>
      </c>
      <c r="K13" s="74" t="e">
        <f t="shared" si="5"/>
        <v>#REF!</v>
      </c>
      <c r="L13" s="74" t="e">
        <f t="shared" si="5"/>
        <v>#REF!</v>
      </c>
    </row>
    <row r="14" spans="2:14" ht="12" customHeight="1">
      <c r="B14" s="59"/>
      <c r="C14" s="9"/>
      <c r="D14" s="9"/>
      <c r="E14" s="9"/>
      <c r="F14" s="9"/>
      <c r="H14" s="19"/>
      <c r="I14" s="19"/>
      <c r="J14" s="19"/>
      <c r="K14" s="19"/>
      <c r="L14" s="19"/>
    </row>
    <row r="15" spans="2:14" ht="12" customHeight="1">
      <c r="B15" s="63"/>
      <c r="C15" s="63"/>
      <c r="D15" s="111"/>
      <c r="E15" s="111"/>
      <c r="F15" s="111"/>
      <c r="G15" s="108"/>
      <c r="H15" s="109"/>
      <c r="I15" s="80"/>
      <c r="J15" s="80"/>
      <c r="K15" s="80"/>
      <c r="L15" s="80"/>
    </row>
    <row r="16" spans="2:14" s="63" customFormat="1" ht="20" customHeight="1">
      <c r="H16" s="110"/>
      <c r="I16" s="110"/>
      <c r="J16" s="110"/>
      <c r="K16" s="110"/>
      <c r="L16" s="110"/>
    </row>
    <row r="17" spans="1:12" ht="12" customHeight="1">
      <c r="A17" s="63"/>
      <c r="B17" s="107"/>
      <c r="C17" s="107"/>
      <c r="D17" s="107"/>
      <c r="E17" s="107"/>
      <c r="F17" s="63"/>
      <c r="G17" s="9"/>
      <c r="H17" s="19"/>
      <c r="I17" s="19"/>
      <c r="J17" s="19"/>
      <c r="K17" s="19"/>
      <c r="L17" s="19"/>
    </row>
    <row r="18" spans="1:12" ht="12" customHeight="1">
      <c r="B18" s="59"/>
      <c r="C18" s="9"/>
      <c r="D18" s="76"/>
      <c r="E18" s="76"/>
      <c r="F18" s="76"/>
      <c r="G18" s="9"/>
      <c r="H18" s="19"/>
      <c r="I18" s="19"/>
      <c r="J18" s="19"/>
      <c r="K18" s="19"/>
      <c r="L18" s="19"/>
    </row>
    <row r="19" spans="1:12" ht="12" customHeight="1">
      <c r="B19" s="59"/>
      <c r="C19" s="9"/>
      <c r="D19" s="9"/>
      <c r="E19" s="9"/>
      <c r="F19" s="9"/>
      <c r="G19" s="9"/>
      <c r="H19" s="19"/>
      <c r="I19" s="19"/>
      <c r="J19" s="19"/>
      <c r="K19" s="19"/>
      <c r="L19" s="19"/>
    </row>
    <row r="20" spans="1:12" ht="12" customHeight="1">
      <c r="B20" s="59"/>
      <c r="C20" s="9"/>
      <c r="D20" s="9"/>
      <c r="E20" s="9"/>
      <c r="F20" s="9"/>
      <c r="G20" s="9"/>
      <c r="H20" s="19"/>
      <c r="I20" s="19"/>
      <c r="J20" s="19"/>
      <c r="K20" s="19"/>
      <c r="L20" s="19"/>
    </row>
    <row r="21" spans="1:12" ht="12" customHeight="1">
      <c r="B21" s="59"/>
      <c r="C21" s="9"/>
      <c r="D21" s="9"/>
      <c r="E21" s="9"/>
      <c r="F21" s="9"/>
      <c r="G21" s="9"/>
      <c r="H21" s="19"/>
      <c r="I21" s="19"/>
      <c r="J21" s="19"/>
      <c r="K21" s="19"/>
      <c r="L21" s="19"/>
    </row>
    <row r="22" spans="1:12" ht="12" customHeight="1">
      <c r="B22" s="78"/>
      <c r="C22" s="9"/>
      <c r="D22" s="9"/>
      <c r="E22" s="9"/>
      <c r="F22" s="9"/>
      <c r="G22" s="9"/>
      <c r="H22" s="19"/>
      <c r="I22" s="19"/>
      <c r="J22" s="19"/>
      <c r="K22" s="19"/>
      <c r="L22" s="19"/>
    </row>
    <row r="23" spans="1:12" ht="12" customHeight="1">
      <c r="B23" s="59"/>
      <c r="C23" s="9"/>
      <c r="D23" s="9"/>
      <c r="E23" s="9"/>
      <c r="F23" s="9"/>
      <c r="G23" s="9"/>
      <c r="H23" s="19"/>
      <c r="I23" s="19"/>
      <c r="J23" s="19"/>
      <c r="K23" s="19"/>
      <c r="L23" s="19"/>
    </row>
    <row r="24" spans="1:12" ht="12" customHeight="1">
      <c r="B24" s="59"/>
      <c r="C24" s="9"/>
      <c r="D24" s="9"/>
      <c r="E24" s="9"/>
      <c r="F24" s="9"/>
      <c r="G24" s="9"/>
      <c r="H24" s="19"/>
      <c r="I24" s="19"/>
      <c r="J24" s="19"/>
      <c r="K24" s="19"/>
      <c r="L24" s="19"/>
    </row>
    <row r="25" spans="1:12" ht="12" customHeight="1">
      <c r="B25" s="59"/>
      <c r="C25" s="50"/>
      <c r="D25" s="9"/>
      <c r="E25" s="9"/>
      <c r="F25" s="9"/>
      <c r="G25" s="9"/>
      <c r="H25" s="19"/>
      <c r="I25" s="19"/>
      <c r="J25" s="19"/>
      <c r="K25" s="19"/>
      <c r="L25" s="19"/>
    </row>
    <row r="26" spans="1:12" ht="7" customHeight="1">
      <c r="B26" s="70"/>
      <c r="C26" s="86"/>
      <c r="D26" s="86"/>
      <c r="E26" s="86"/>
      <c r="F26" s="86"/>
      <c r="G26" s="86"/>
      <c r="H26" s="87"/>
      <c r="I26" s="87"/>
      <c r="J26" s="87"/>
      <c r="K26" s="87"/>
      <c r="L26" s="87"/>
    </row>
    <row r="27" spans="1:12">
      <c r="C27" s="9"/>
      <c r="D27" s="9"/>
      <c r="E27" s="9"/>
      <c r="F27" s="9"/>
      <c r="G27" s="9"/>
      <c r="H27" s="9"/>
      <c r="I27" s="9"/>
      <c r="J27" s="9"/>
      <c r="K27" s="9"/>
      <c r="L27" s="9"/>
    </row>
    <row r="28" spans="1:12" ht="7" customHeight="1">
      <c r="C28" s="9"/>
      <c r="D28" s="9"/>
      <c r="E28" s="9"/>
      <c r="F28" s="9"/>
      <c r="G28" s="9"/>
      <c r="H28" s="9"/>
      <c r="I28" s="9"/>
      <c r="J28" s="9"/>
      <c r="K28" s="9"/>
      <c r="L28" s="9"/>
    </row>
    <row r="29" spans="1:12" ht="12" thickBot="1">
      <c r="B29" s="69"/>
      <c r="C29" s="69"/>
      <c r="D29" s="69"/>
      <c r="E29" s="69"/>
      <c r="F29" s="69"/>
      <c r="G29" s="69"/>
      <c r="H29" s="69"/>
      <c r="I29" s="69"/>
      <c r="J29" s="69"/>
      <c r="K29" s="69"/>
      <c r="L29" s="69"/>
    </row>
    <row r="30" spans="1:12">
      <c r="C30" s="9"/>
      <c r="H30" s="9"/>
      <c r="I30" s="9"/>
      <c r="J30" s="9"/>
      <c r="K30" s="9"/>
      <c r="L30" s="9"/>
    </row>
    <row r="31" spans="1:12" ht="7" customHeight="1">
      <c r="H31" s="9"/>
      <c r="I31" s="9"/>
      <c r="J31" s="9"/>
      <c r="K31" s="9"/>
      <c r="L31" s="9"/>
    </row>
    <row r="32" spans="1:12">
      <c r="B32" s="59"/>
    </row>
    <row r="33" spans="2:12">
      <c r="B33" s="59"/>
    </row>
    <row r="34" spans="2:12">
      <c r="B34" s="59"/>
      <c r="C34" s="18"/>
      <c r="D34" s="18"/>
      <c r="E34" s="18"/>
      <c r="F34" s="18"/>
      <c r="H34" s="18"/>
      <c r="I34" s="18"/>
      <c r="J34" s="18"/>
      <c r="K34" s="18"/>
      <c r="L34" s="18"/>
    </row>
    <row r="35" spans="2:12" ht="7" customHeight="1"/>
    <row r="36" spans="2:12">
      <c r="B36" s="59"/>
    </row>
    <row r="37" spans="2:12">
      <c r="B37" s="59"/>
      <c r="C37" s="18"/>
      <c r="D37" s="18"/>
      <c r="E37" s="18"/>
      <c r="F37" s="18"/>
      <c r="H37" s="18"/>
      <c r="I37" s="18"/>
      <c r="J37" s="18"/>
      <c r="K37" s="18"/>
      <c r="L37" s="18"/>
    </row>
    <row r="38" spans="2:12">
      <c r="B38" s="59"/>
      <c r="C38" s="18"/>
      <c r="D38" s="18"/>
      <c r="E38" s="18"/>
      <c r="F38" s="18"/>
      <c r="H38" s="18"/>
      <c r="I38" s="18"/>
      <c r="J38" s="18"/>
      <c r="K38" s="18"/>
      <c r="L38" s="18"/>
    </row>
    <row r="42" spans="2:12">
      <c r="C42" s="62"/>
    </row>
    <row r="43" spans="2:12">
      <c r="C43" s="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4D261-FC17-4043-8679-625884C69538}">
  <sheetPr codeName="Sheet10">
    <tabColor theme="7" tint="-0.249977111117893"/>
  </sheetPr>
  <dimension ref="B1:Q40"/>
  <sheetViews>
    <sheetView zoomScale="80" zoomScaleNormal="80" workbookViewId="0">
      <selection activeCell="B1" sqref="B1"/>
    </sheetView>
  </sheetViews>
  <sheetFormatPr defaultColWidth="9.08984375" defaultRowHeight="11.5"/>
  <cols>
    <col min="1" max="1" width="2" style="4" customWidth="1"/>
    <col min="2" max="2" width="40.08984375" style="4" customWidth="1"/>
    <col min="3" max="3" width="11.1796875" style="4" customWidth="1"/>
    <col min="4" max="4" width="9.54296875" style="4" bestFit="1" customWidth="1"/>
    <col min="5" max="5" width="9.54296875" style="4" customWidth="1"/>
    <col min="6" max="6" width="9.7265625" style="4" bestFit="1" customWidth="1"/>
    <col min="7" max="9" width="9.7265625" style="4" customWidth="1"/>
    <col min="10" max="10" width="8.36328125" style="4" customWidth="1"/>
    <col min="11" max="11" width="8.6328125" style="4" customWidth="1"/>
    <col min="12" max="14" width="9.08984375" style="4"/>
    <col min="15" max="15" width="9.7265625" style="4" bestFit="1" customWidth="1"/>
    <col min="16" max="16" width="2" style="4" customWidth="1"/>
    <col min="17" max="17" width="10.54296875" style="404" customWidth="1"/>
    <col min="18" max="16384" width="9.08984375" style="4"/>
  </cols>
  <sheetData>
    <row r="1" spans="2:17" ht="15.5">
      <c r="B1" s="3" t="s">
        <v>67</v>
      </c>
    </row>
    <row r="3" spans="2:17" ht="23.5" thickBot="1">
      <c r="B3" s="11" t="s">
        <v>19</v>
      </c>
      <c r="C3" s="12" t="s">
        <v>430</v>
      </c>
      <c r="D3" s="12" t="s">
        <v>431</v>
      </c>
      <c r="E3" s="12" t="s">
        <v>432</v>
      </c>
      <c r="F3" s="12" t="s">
        <v>433</v>
      </c>
      <c r="G3" s="12" t="s">
        <v>434</v>
      </c>
      <c r="H3" s="12" t="s">
        <v>435</v>
      </c>
      <c r="I3" s="12" t="s">
        <v>436</v>
      </c>
      <c r="J3" s="12" t="s">
        <v>437</v>
      </c>
      <c r="K3" s="13" t="s">
        <v>440</v>
      </c>
      <c r="L3" s="13" t="s">
        <v>441</v>
      </c>
      <c r="M3" s="13" t="s">
        <v>442</v>
      </c>
      <c r="N3" s="13" t="s">
        <v>443</v>
      </c>
      <c r="O3" s="13" t="s">
        <v>444</v>
      </c>
      <c r="Q3" s="405" t="s">
        <v>21</v>
      </c>
    </row>
    <row r="4" spans="2:17">
      <c r="B4" s="4" t="s">
        <v>25</v>
      </c>
      <c r="C4" s="9"/>
      <c r="D4" s="9">
        <f>'P&amp;L'!D4</f>
        <v>866114</v>
      </c>
      <c r="E4" s="9">
        <f>'P&amp;L'!E4</f>
        <v>866170</v>
      </c>
      <c r="F4" s="9">
        <f>'P&amp;L'!F4</f>
        <v>830210</v>
      </c>
      <c r="G4" s="9">
        <f>'P&amp;L'!G4</f>
        <v>877009</v>
      </c>
      <c r="H4" s="9">
        <f>'P&amp;L'!H4</f>
        <v>891223</v>
      </c>
      <c r="I4" s="9">
        <f>'P&amp;L'!I4</f>
        <v>904042</v>
      </c>
      <c r="J4" s="9">
        <f>'P&amp;L'!J4</f>
        <v>865471</v>
      </c>
      <c r="K4" s="19">
        <f>'P&amp;L'!K4</f>
        <v>891435.13</v>
      </c>
      <c r="L4" s="19">
        <f>'P&amp;L'!L4</f>
        <v>918178.18390000006</v>
      </c>
      <c r="M4" s="19">
        <f>'P&amp;L'!M4</f>
        <v>945723.52941700013</v>
      </c>
      <c r="N4" s="19">
        <f>'P&amp;L'!N4</f>
        <v>974095.23529951018</v>
      </c>
      <c r="O4" s="19">
        <f>'P&amp;L'!O4</f>
        <v>1003318.0923584955</v>
      </c>
    </row>
    <row r="5" spans="2:17">
      <c r="B5" s="4" t="s">
        <v>142</v>
      </c>
      <c r="C5" s="9"/>
      <c r="D5" s="9">
        <f>-CF_Prelim!B23</f>
        <v>37962</v>
      </c>
      <c r="E5" s="9">
        <f>-CF_Prelim!C23</f>
        <v>24698</v>
      </c>
      <c r="F5" s="9">
        <f>-CF_Prelim!D23</f>
        <v>37263</v>
      </c>
      <c r="G5" s="9">
        <f>-CF_Prelim!E23</f>
        <v>51642</v>
      </c>
      <c r="H5" s="9">
        <f>-CF_Prelim!F23</f>
        <v>37110</v>
      </c>
      <c r="I5" s="9">
        <f>-CF_Prelim!G23</f>
        <v>29187</v>
      </c>
      <c r="J5" s="9">
        <f>-CF_Prelim!H23</f>
        <v>54215</v>
      </c>
      <c r="K5" s="19">
        <f>K$4*K$25</f>
        <v>35657.405200000001</v>
      </c>
      <c r="L5" s="19">
        <f t="shared" ref="L5:O5" si="0">L$4*L$25</f>
        <v>36727.127356000005</v>
      </c>
      <c r="M5" s="19">
        <f t="shared" si="0"/>
        <v>37828.941176680004</v>
      </c>
      <c r="N5" s="19">
        <f t="shared" si="0"/>
        <v>38963.809411980408</v>
      </c>
      <c r="O5" s="19">
        <f t="shared" si="0"/>
        <v>40132.723694339817</v>
      </c>
    </row>
    <row r="6" spans="2:17" ht="12">
      <c r="B6" s="95" t="s">
        <v>141</v>
      </c>
      <c r="C6" s="93"/>
      <c r="D6" s="93">
        <f t="shared" ref="D6:E6" si="1">D5/D4</f>
        <v>4.3830257910621465E-2</v>
      </c>
      <c r="E6" s="93">
        <f t="shared" si="1"/>
        <v>2.8514033042012537E-2</v>
      </c>
      <c r="F6" s="93">
        <f>F5/F4</f>
        <v>4.4883824574505245E-2</v>
      </c>
      <c r="G6" s="93">
        <f t="shared" ref="G6:J6" si="2">G5/G4</f>
        <v>5.8884230378479584E-2</v>
      </c>
      <c r="H6" s="93">
        <f t="shared" si="2"/>
        <v>4.163941011396699E-2</v>
      </c>
      <c r="I6" s="93">
        <f t="shared" si="2"/>
        <v>3.2285004457757491E-2</v>
      </c>
      <c r="J6" s="93">
        <f t="shared" si="2"/>
        <v>6.2642191361697852E-2</v>
      </c>
      <c r="K6" s="97"/>
      <c r="L6" s="97"/>
      <c r="M6" s="97"/>
      <c r="N6" s="97"/>
      <c r="O6" s="97"/>
    </row>
    <row r="7" spans="2:17" ht="3.75" customHeight="1">
      <c r="C7" s="9"/>
      <c r="D7" s="9"/>
      <c r="E7" s="9"/>
      <c r="F7" s="9"/>
      <c r="G7" s="9"/>
      <c r="H7" s="9"/>
      <c r="I7" s="9"/>
      <c r="J7" s="9"/>
      <c r="K7" s="19"/>
      <c r="L7" s="19"/>
      <c r="M7" s="19"/>
      <c r="N7" s="19"/>
      <c r="O7" s="19"/>
    </row>
    <row r="8" spans="2:17">
      <c r="B8" s="85" t="s">
        <v>143</v>
      </c>
      <c r="C8" s="9"/>
      <c r="D8" s="9">
        <f>-'P&amp;L'!D14</f>
        <v>22955</v>
      </c>
      <c r="E8" s="9">
        <f>-'P&amp;L'!E14</f>
        <v>23332</v>
      </c>
      <c r="F8" s="9">
        <f>-'P&amp;L'!F14</f>
        <v>22837</v>
      </c>
      <c r="G8" s="9">
        <f>-'P&amp;L'!G14</f>
        <v>24012</v>
      </c>
      <c r="H8" s="9">
        <f>-'P&amp;L'!H14</f>
        <v>24756</v>
      </c>
      <c r="I8" s="9">
        <f>-'P&amp;L'!I14</f>
        <v>24960</v>
      </c>
      <c r="J8" s="9">
        <f>-'P&amp;L'!J14</f>
        <v>25299</v>
      </c>
      <c r="K8" s="19">
        <f>K$5*K$29</f>
        <v>25673.331743999999</v>
      </c>
      <c r="L8" s="19">
        <f t="shared" ref="L8:O8" si="3">L$5*L$29</f>
        <v>26810.802969880002</v>
      </c>
      <c r="M8" s="19">
        <f t="shared" si="3"/>
        <v>27993.416470743203</v>
      </c>
      <c r="N8" s="19">
        <f t="shared" si="3"/>
        <v>29222.857058985304</v>
      </c>
      <c r="O8" s="19">
        <f t="shared" si="3"/>
        <v>30500.87000769826</v>
      </c>
    </row>
    <row r="9" spans="2:17" ht="12">
      <c r="B9" s="57" t="s">
        <v>144</v>
      </c>
      <c r="C9" s="93"/>
      <c r="D9" s="93">
        <f t="shared" ref="D9:E9" si="4">D8/D5</f>
        <v>0.60468363099942046</v>
      </c>
      <c r="E9" s="93">
        <f t="shared" si="4"/>
        <v>0.94469187788484899</v>
      </c>
      <c r="F9" s="93">
        <f>F8/F5</f>
        <v>0.61285994149692724</v>
      </c>
      <c r="G9" s="93">
        <f t="shared" ref="G9:J9" si="5">G8/G5</f>
        <v>0.46497037295224819</v>
      </c>
      <c r="H9" s="93">
        <f t="shared" si="5"/>
        <v>0.66709781729991913</v>
      </c>
      <c r="I9" s="93">
        <f t="shared" si="5"/>
        <v>0.85517524925480526</v>
      </c>
      <c r="J9" s="93">
        <f t="shared" si="5"/>
        <v>0.46664207322696671</v>
      </c>
      <c r="K9" s="97"/>
      <c r="L9" s="97"/>
      <c r="M9" s="97"/>
      <c r="N9" s="97"/>
      <c r="O9" s="97"/>
    </row>
    <row r="10" spans="2:17" ht="12">
      <c r="B10" s="95" t="s">
        <v>145</v>
      </c>
      <c r="C10" s="93"/>
      <c r="D10" s="93">
        <f>D8/BS!D10</f>
        <v>3.0408202465243509E-2</v>
      </c>
      <c r="E10" s="93">
        <f>E8/BS!E10</f>
        <v>3.0288907784477778E-2</v>
      </c>
      <c r="F10" s="93">
        <f>F8/BS!F10</f>
        <v>2.9365964182704981E-2</v>
      </c>
      <c r="G10" s="93">
        <f>G8/BS!G10</f>
        <v>3.0352942068758035E-2</v>
      </c>
      <c r="H10" s="93">
        <f>H8/BS!H10</f>
        <v>3.1186304027412102E-2</v>
      </c>
      <c r="I10" s="93">
        <f>I8/BS!I10</f>
        <v>3.079793298488236E-2</v>
      </c>
      <c r="J10" s="93">
        <f>J8/BS!J10</f>
        <v>3.0503030529555952E-2</v>
      </c>
      <c r="K10" s="19"/>
      <c r="L10" s="19"/>
      <c r="M10" s="19"/>
      <c r="N10" s="19"/>
      <c r="O10" s="19"/>
    </row>
    <row r="11" spans="2:17" ht="12" customHeight="1">
      <c r="B11" s="59"/>
      <c r="C11" s="9"/>
      <c r="D11" s="9"/>
      <c r="E11" s="9"/>
      <c r="F11" s="9"/>
      <c r="G11" s="9"/>
      <c r="H11" s="9"/>
      <c r="I11" s="9"/>
      <c r="J11" s="9"/>
      <c r="K11" s="19"/>
      <c r="L11" s="19"/>
      <c r="M11" s="19"/>
      <c r="N11" s="19"/>
      <c r="O11" s="19"/>
    </row>
    <row r="12" spans="2:17" ht="12" customHeight="1">
      <c r="B12" s="49" t="s">
        <v>146</v>
      </c>
      <c r="C12" s="94"/>
      <c r="D12" s="50"/>
      <c r="E12" s="50"/>
      <c r="F12" s="50"/>
      <c r="G12" s="50"/>
      <c r="H12" s="50"/>
      <c r="I12" s="50"/>
      <c r="J12" s="50"/>
      <c r="K12" s="19">
        <f>J16</f>
        <v>829393</v>
      </c>
      <c r="L12" s="19">
        <f>K16</f>
        <v>839377.07345600007</v>
      </c>
      <c r="M12" s="19">
        <f t="shared" ref="M12:O12" si="6">L16</f>
        <v>849293.39784212003</v>
      </c>
      <c r="N12" s="19">
        <f t="shared" si="6"/>
        <v>859128.92254805681</v>
      </c>
      <c r="O12" s="19">
        <f t="shared" si="6"/>
        <v>868869.87490105198</v>
      </c>
    </row>
    <row r="13" spans="2:17" ht="12" customHeight="1">
      <c r="B13" s="4" t="s">
        <v>142</v>
      </c>
      <c r="C13" s="50"/>
      <c r="D13" s="50"/>
      <c r="E13" s="50"/>
      <c r="F13" s="50"/>
      <c r="G13" s="50"/>
      <c r="H13" s="50"/>
      <c r="I13" s="50"/>
      <c r="J13" s="50"/>
      <c r="K13" s="19">
        <f>K5</f>
        <v>35657.405200000001</v>
      </c>
      <c r="L13" s="19">
        <f t="shared" ref="L13:O13" si="7">L5</f>
        <v>36727.127356000005</v>
      </c>
      <c r="M13" s="19">
        <f t="shared" si="7"/>
        <v>37828.941176680004</v>
      </c>
      <c r="N13" s="19">
        <f t="shared" si="7"/>
        <v>38963.809411980408</v>
      </c>
      <c r="O13" s="19">
        <f t="shared" si="7"/>
        <v>40132.723694339817</v>
      </c>
    </row>
    <row r="14" spans="2:17" ht="12" customHeight="1">
      <c r="B14" s="59" t="s">
        <v>179</v>
      </c>
      <c r="C14" s="9"/>
      <c r="D14" s="9"/>
      <c r="E14" s="9"/>
      <c r="F14" s="9"/>
      <c r="G14" s="9"/>
      <c r="H14" s="9"/>
      <c r="I14" s="9"/>
      <c r="J14" s="9"/>
      <c r="K14" s="19">
        <f>-K8</f>
        <v>-25673.331743999999</v>
      </c>
      <c r="L14" s="19">
        <f t="shared" ref="L14:O14" si="8">-L8</f>
        <v>-26810.802969880002</v>
      </c>
      <c r="M14" s="19">
        <f t="shared" si="8"/>
        <v>-27993.416470743203</v>
      </c>
      <c r="N14" s="19">
        <f t="shared" si="8"/>
        <v>-29222.857058985304</v>
      </c>
      <c r="O14" s="19">
        <f t="shared" si="8"/>
        <v>-30500.87000769826</v>
      </c>
      <c r="Q14" s="404" t="s">
        <v>181</v>
      </c>
    </row>
    <row r="15" spans="2:17" ht="12" customHeight="1" thickBot="1">
      <c r="B15" s="59" t="s">
        <v>180</v>
      </c>
      <c r="C15" s="9"/>
      <c r="D15" s="9"/>
      <c r="E15" s="9"/>
      <c r="F15" s="9"/>
      <c r="G15" s="9"/>
      <c r="H15" s="9"/>
      <c r="I15" s="9"/>
      <c r="J15" s="9"/>
      <c r="K15" s="19">
        <v>0</v>
      </c>
      <c r="L15" s="19">
        <v>0</v>
      </c>
      <c r="M15" s="19">
        <v>0</v>
      </c>
      <c r="N15" s="19">
        <v>0</v>
      </c>
      <c r="O15" s="19">
        <v>0</v>
      </c>
      <c r="Q15" s="404" t="s">
        <v>181</v>
      </c>
    </row>
    <row r="16" spans="2:17" ht="12" customHeight="1">
      <c r="B16" s="88" t="s">
        <v>147</v>
      </c>
      <c r="C16" s="89"/>
      <c r="D16" s="89">
        <f>BS!D10</f>
        <v>754895</v>
      </c>
      <c r="E16" s="89">
        <f>BS!E10</f>
        <v>770315</v>
      </c>
      <c r="F16" s="89">
        <f>BS!F10</f>
        <v>777669</v>
      </c>
      <c r="G16" s="89">
        <f>BS!G10</f>
        <v>791093</v>
      </c>
      <c r="H16" s="89">
        <f>BS!H10</f>
        <v>793810</v>
      </c>
      <c r="I16" s="89">
        <f>BS!I10</f>
        <v>810444</v>
      </c>
      <c r="J16" s="89">
        <f>BS!J10</f>
        <v>829393</v>
      </c>
      <c r="K16" s="90">
        <f>SUM(K12:K15)</f>
        <v>839377.07345600007</v>
      </c>
      <c r="L16" s="90">
        <f t="shared" ref="L16:O16" si="9">SUM(L12:L15)</f>
        <v>849293.39784212003</v>
      </c>
      <c r="M16" s="90">
        <f t="shared" si="9"/>
        <v>859128.92254805681</v>
      </c>
      <c r="N16" s="90">
        <f t="shared" si="9"/>
        <v>868869.87490105198</v>
      </c>
      <c r="O16" s="90">
        <f t="shared" si="9"/>
        <v>878501.72858769353</v>
      </c>
    </row>
    <row r="17" spans="2:17" ht="12" customHeight="1">
      <c r="B17" s="57"/>
      <c r="C17" s="9"/>
      <c r="D17" s="9"/>
      <c r="E17" s="9"/>
      <c r="F17" s="9"/>
      <c r="G17" s="9"/>
      <c r="H17" s="9"/>
      <c r="I17" s="9"/>
      <c r="K17" s="19"/>
      <c r="L17" s="19"/>
      <c r="M17" s="19"/>
      <c r="N17" s="19"/>
      <c r="O17" s="19"/>
    </row>
    <row r="18" spans="2:17" ht="12" customHeight="1">
      <c r="B18" s="57"/>
      <c r="C18" s="9"/>
      <c r="D18" s="9"/>
      <c r="E18" s="9"/>
      <c r="F18" s="9"/>
      <c r="G18" s="9"/>
      <c r="H18" s="9"/>
      <c r="I18" s="9"/>
      <c r="K18" s="19"/>
      <c r="L18" s="19"/>
      <c r="M18" s="19"/>
      <c r="N18" s="19"/>
      <c r="O18" s="19"/>
    </row>
    <row r="19" spans="2:17" ht="12" customHeight="1">
      <c r="B19" s="49"/>
      <c r="C19" s="50"/>
      <c r="D19" s="50"/>
      <c r="E19" s="50"/>
      <c r="F19" s="50"/>
      <c r="G19" s="50"/>
      <c r="H19" s="50"/>
      <c r="I19" s="50"/>
      <c r="J19" s="96"/>
      <c r="K19" s="96"/>
      <c r="L19" s="96"/>
      <c r="M19" s="96"/>
      <c r="N19" s="96"/>
      <c r="O19" s="96"/>
      <c r="P19" s="96"/>
    </row>
    <row r="20" spans="2:17" ht="12" customHeight="1">
      <c r="B20" s="4" t="s">
        <v>86</v>
      </c>
      <c r="C20" s="27">
        <f>'P&amp;L'!C36</f>
        <v>2</v>
      </c>
      <c r="D20" s="50"/>
      <c r="E20" s="50"/>
      <c r="F20" s="50"/>
      <c r="G20" s="50"/>
      <c r="H20" s="50"/>
      <c r="I20" s="50"/>
      <c r="J20" s="96"/>
      <c r="K20" s="96"/>
      <c r="L20" s="96"/>
      <c r="M20" s="96"/>
      <c r="N20" s="96"/>
      <c r="O20" s="96"/>
      <c r="P20" s="96"/>
    </row>
    <row r="21" spans="2:17" ht="12" customHeight="1">
      <c r="B21" s="49"/>
      <c r="C21" s="50"/>
      <c r="D21" s="50"/>
      <c r="E21" s="50"/>
      <c r="F21" s="50"/>
      <c r="G21" s="50"/>
      <c r="H21" s="50"/>
      <c r="I21" s="50"/>
      <c r="J21" s="96"/>
      <c r="K21" s="96"/>
      <c r="L21" s="96"/>
      <c r="M21" s="96"/>
      <c r="N21" s="96"/>
      <c r="O21" s="96"/>
      <c r="P21" s="96"/>
    </row>
    <row r="22" spans="2:17" ht="12" customHeight="1">
      <c r="B22" s="49"/>
      <c r="C22" s="50"/>
      <c r="D22" s="50"/>
      <c r="E22" s="50"/>
      <c r="F22" s="50"/>
      <c r="G22" s="50"/>
      <c r="H22" s="50"/>
      <c r="I22" s="50"/>
      <c r="J22" s="96"/>
      <c r="K22" s="96"/>
      <c r="L22" s="96"/>
      <c r="M22" s="96"/>
      <c r="N22" s="96"/>
      <c r="O22" s="96"/>
      <c r="P22" s="96"/>
    </row>
    <row r="23" spans="2:17" ht="12" thickBot="1">
      <c r="B23" s="69" t="s">
        <v>81</v>
      </c>
      <c r="C23" s="69"/>
      <c r="D23" s="69"/>
      <c r="E23" s="69"/>
      <c r="F23" s="69"/>
      <c r="G23" s="69"/>
      <c r="H23" s="69"/>
      <c r="I23" s="69"/>
      <c r="J23" s="69"/>
      <c r="K23" s="69"/>
      <c r="L23" s="69"/>
      <c r="M23" s="69"/>
      <c r="N23" s="69"/>
      <c r="O23" s="69"/>
    </row>
    <row r="25" spans="2:17" ht="12">
      <c r="B25" s="4" t="s">
        <v>141</v>
      </c>
      <c r="C25" s="93"/>
      <c r="D25" s="93">
        <f t="shared" ref="D25:J25" si="10">D$5/D$4</f>
        <v>4.3830257910621465E-2</v>
      </c>
      <c r="E25" s="93">
        <f t="shared" si="10"/>
        <v>2.8514033042012537E-2</v>
      </c>
      <c r="F25" s="93">
        <f t="shared" si="10"/>
        <v>4.4883824574505245E-2</v>
      </c>
      <c r="G25" s="93">
        <f t="shared" si="10"/>
        <v>5.8884230378479584E-2</v>
      </c>
      <c r="H25" s="93">
        <f t="shared" si="10"/>
        <v>4.163941011396699E-2</v>
      </c>
      <c r="I25" s="93">
        <f t="shared" si="10"/>
        <v>3.2285004457757491E-2</v>
      </c>
      <c r="J25" s="93">
        <f t="shared" si="10"/>
        <v>6.2642191361697852E-2</v>
      </c>
      <c r="K25" s="71">
        <f>CHOOSE($C$20,K26,K27,K28)</f>
        <v>0.04</v>
      </c>
      <c r="L25" s="72">
        <f t="shared" ref="L25:O25" si="11">CHOOSE($C$20,L26,L27,L28)</f>
        <v>0.04</v>
      </c>
      <c r="M25" s="72">
        <f t="shared" si="11"/>
        <v>0.04</v>
      </c>
      <c r="N25" s="72">
        <f t="shared" si="11"/>
        <v>0.04</v>
      </c>
      <c r="O25" s="73">
        <f t="shared" si="11"/>
        <v>0.04</v>
      </c>
    </row>
    <row r="26" spans="2:17" ht="14" customHeight="1">
      <c r="B26" s="59" t="s">
        <v>48</v>
      </c>
      <c r="K26" s="18">
        <v>4.4999999999999998E-2</v>
      </c>
      <c r="L26" s="18">
        <v>4.4999999999999998E-2</v>
      </c>
      <c r="M26" s="18">
        <v>4.4999999999999998E-2</v>
      </c>
      <c r="N26" s="18">
        <v>4.4999999999999998E-2</v>
      </c>
      <c r="O26" s="18">
        <v>4.4999999999999998E-2</v>
      </c>
    </row>
    <row r="27" spans="2:17" ht="14" customHeight="1">
      <c r="B27" s="59" t="s">
        <v>49</v>
      </c>
      <c r="K27" s="18">
        <v>0.04</v>
      </c>
      <c r="L27" s="18">
        <v>0.04</v>
      </c>
      <c r="M27" s="18">
        <v>0.04</v>
      </c>
      <c r="N27" s="18">
        <v>0.04</v>
      </c>
      <c r="O27" s="18">
        <v>0.04</v>
      </c>
      <c r="Q27" s="404" t="s">
        <v>177</v>
      </c>
    </row>
    <row r="28" spans="2:17" ht="14" customHeight="1">
      <c r="B28" s="59" t="s">
        <v>50</v>
      </c>
      <c r="K28" s="18">
        <v>3.5000000000000003E-2</v>
      </c>
      <c r="L28" s="18">
        <v>3.5000000000000003E-2</v>
      </c>
      <c r="M28" s="18">
        <v>3.5000000000000003E-2</v>
      </c>
      <c r="N28" s="18">
        <v>3.5000000000000003E-2</v>
      </c>
      <c r="O28" s="18">
        <v>3.5000000000000003E-2</v>
      </c>
    </row>
    <row r="29" spans="2:17" ht="14" customHeight="1">
      <c r="B29" s="4" t="s">
        <v>144</v>
      </c>
      <c r="C29" s="93"/>
      <c r="D29" s="93">
        <f t="shared" ref="D29:J29" si="12">D8/D5</f>
        <v>0.60468363099942046</v>
      </c>
      <c r="E29" s="93">
        <f t="shared" si="12"/>
        <v>0.94469187788484899</v>
      </c>
      <c r="F29" s="93">
        <f t="shared" si="12"/>
        <v>0.61285994149692724</v>
      </c>
      <c r="G29" s="93">
        <f t="shared" si="12"/>
        <v>0.46497037295224819</v>
      </c>
      <c r="H29" s="93">
        <f t="shared" si="12"/>
        <v>0.66709781729991913</v>
      </c>
      <c r="I29" s="93">
        <f t="shared" si="12"/>
        <v>0.85517524925480526</v>
      </c>
      <c r="J29" s="93">
        <f t="shared" si="12"/>
        <v>0.46664207322696671</v>
      </c>
      <c r="K29" s="71">
        <f>CHOOSE($C$20,K30,K31,K32)</f>
        <v>0.72</v>
      </c>
      <c r="L29" s="72">
        <f t="shared" ref="L29:O29" si="13">CHOOSE($C$20,L30,L31,L32)</f>
        <v>0.73</v>
      </c>
      <c r="M29" s="72">
        <f t="shared" si="13"/>
        <v>0.74</v>
      </c>
      <c r="N29" s="72">
        <f t="shared" si="13"/>
        <v>0.75</v>
      </c>
      <c r="O29" s="73">
        <f t="shared" si="13"/>
        <v>0.76</v>
      </c>
      <c r="P29" s="18"/>
      <c r="Q29" s="404" t="s">
        <v>178</v>
      </c>
    </row>
    <row r="30" spans="2:17" ht="14" customHeight="1">
      <c r="B30" s="59" t="s">
        <v>48</v>
      </c>
      <c r="K30" s="18">
        <v>0.72</v>
      </c>
      <c r="L30" s="18">
        <v>0.73</v>
      </c>
      <c r="M30" s="18">
        <v>0.74</v>
      </c>
      <c r="N30" s="18">
        <v>0.75</v>
      </c>
      <c r="O30" s="18">
        <v>0.76</v>
      </c>
    </row>
    <row r="31" spans="2:17" ht="14" customHeight="1">
      <c r="B31" s="59" t="s">
        <v>49</v>
      </c>
      <c r="C31" s="18"/>
      <c r="D31" s="18"/>
      <c r="E31" s="18"/>
      <c r="F31" s="18"/>
      <c r="G31" s="18"/>
      <c r="H31" s="18"/>
      <c r="I31" s="18"/>
      <c r="K31" s="18">
        <v>0.72</v>
      </c>
      <c r="L31" s="18">
        <v>0.73</v>
      </c>
      <c r="M31" s="18">
        <v>0.74</v>
      </c>
      <c r="N31" s="18">
        <v>0.75</v>
      </c>
      <c r="O31" s="18">
        <v>0.76</v>
      </c>
    </row>
    <row r="32" spans="2:17" ht="14" customHeight="1">
      <c r="B32" s="59" t="s">
        <v>50</v>
      </c>
      <c r="K32" s="18">
        <v>0.72</v>
      </c>
      <c r="L32" s="18">
        <v>0.73</v>
      </c>
      <c r="M32" s="18">
        <v>0.74</v>
      </c>
      <c r="N32" s="18">
        <v>0.75</v>
      </c>
      <c r="O32" s="18">
        <v>0.76</v>
      </c>
    </row>
    <row r="33" spans="2:15">
      <c r="C33" s="122"/>
      <c r="K33" s="136"/>
      <c r="L33" s="136"/>
      <c r="M33" s="136"/>
      <c r="N33" s="136"/>
      <c r="O33" s="136"/>
    </row>
    <row r="34" spans="2:15">
      <c r="C34" s="18"/>
      <c r="D34" s="18"/>
      <c r="E34" s="18"/>
      <c r="F34" s="18"/>
      <c r="G34" s="18"/>
      <c r="H34" s="18"/>
      <c r="I34" s="18"/>
      <c r="K34" s="18"/>
      <c r="L34" s="18"/>
      <c r="M34" s="18"/>
      <c r="N34" s="18"/>
      <c r="O34" s="18"/>
    </row>
    <row r="35" spans="2:15">
      <c r="C35" s="18"/>
      <c r="D35" s="18"/>
      <c r="E35" s="18"/>
      <c r="F35" s="18"/>
      <c r="G35" s="18"/>
      <c r="H35" s="18"/>
      <c r="I35" s="18"/>
      <c r="K35" s="18"/>
      <c r="L35" s="18"/>
      <c r="M35" s="18"/>
      <c r="N35" s="18"/>
      <c r="O35" s="18"/>
    </row>
    <row r="36" spans="2:15">
      <c r="B36" s="59"/>
    </row>
    <row r="37" spans="2:15">
      <c r="B37" s="59"/>
    </row>
    <row r="38" spans="2:15">
      <c r="B38" s="59"/>
    </row>
    <row r="39" spans="2:15">
      <c r="C39" s="62"/>
    </row>
    <row r="40" spans="2:15">
      <c r="C40" s="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AFDB-8ED1-4135-BC18-86ACC36E27DD}">
  <sheetPr codeName="Sheet12">
    <tabColor theme="7" tint="-0.249977111117893"/>
  </sheetPr>
  <dimension ref="B1:Q59"/>
  <sheetViews>
    <sheetView zoomScale="80" zoomScaleNormal="80" workbookViewId="0"/>
  </sheetViews>
  <sheetFormatPr defaultColWidth="9.08984375" defaultRowHeight="11.5"/>
  <cols>
    <col min="1" max="1" width="2" style="4" customWidth="1"/>
    <col min="2" max="2" width="40.08984375" style="4" customWidth="1"/>
    <col min="3" max="3" width="11.1796875" style="4" customWidth="1"/>
    <col min="4" max="4" width="9.7265625" style="4" bestFit="1" customWidth="1"/>
    <col min="5" max="5" width="9.54296875" style="4" customWidth="1"/>
    <col min="6" max="6" width="9.81640625" style="4" bestFit="1" customWidth="1"/>
    <col min="7" max="9" width="9.81640625" style="4" customWidth="1"/>
    <col min="10" max="10" width="11.1796875" style="4" customWidth="1"/>
    <col min="11" max="11" width="12.36328125" style="4" bestFit="1" customWidth="1"/>
    <col min="12" max="14" width="9.08984375" style="4"/>
    <col min="15" max="15" width="9.7265625" style="4" bestFit="1" customWidth="1"/>
    <col min="16" max="16" width="2" style="4" customWidth="1"/>
    <col min="17" max="17" width="9.08984375" style="404"/>
    <col min="18" max="18" width="5.453125" style="4" customWidth="1"/>
    <col min="19" max="16384" width="9.08984375" style="4"/>
  </cols>
  <sheetData>
    <row r="1" spans="2:17" ht="15.5">
      <c r="B1" s="3" t="s">
        <v>121</v>
      </c>
    </row>
    <row r="2" spans="2:17">
      <c r="F2" s="4" t="s">
        <v>294</v>
      </c>
    </row>
    <row r="3" spans="2:17" ht="23.5" thickBot="1">
      <c r="B3" s="11" t="s">
        <v>19</v>
      </c>
      <c r="C3" s="12" t="s">
        <v>430</v>
      </c>
      <c r="D3" s="12" t="s">
        <v>431</v>
      </c>
      <c r="E3" s="12" t="s">
        <v>432</v>
      </c>
      <c r="F3" s="12" t="s">
        <v>433</v>
      </c>
      <c r="G3" s="12" t="s">
        <v>434</v>
      </c>
      <c r="H3" s="12" t="s">
        <v>435</v>
      </c>
      <c r="I3" s="12" t="s">
        <v>436</v>
      </c>
      <c r="J3" s="12" t="s">
        <v>437</v>
      </c>
      <c r="K3" s="13" t="s">
        <v>440</v>
      </c>
      <c r="L3" s="13" t="s">
        <v>441</v>
      </c>
      <c r="M3" s="13" t="s">
        <v>442</v>
      </c>
      <c r="N3" s="13" t="s">
        <v>443</v>
      </c>
      <c r="O3" s="13" t="s">
        <v>444</v>
      </c>
      <c r="Q3" s="405" t="s">
        <v>21</v>
      </c>
    </row>
    <row r="4" spans="2:17">
      <c r="B4" s="4" t="s">
        <v>25</v>
      </c>
      <c r="C4" s="9">
        <f>'P&amp;L'!C4</f>
        <v>892802</v>
      </c>
      <c r="D4" s="9">
        <f>'P&amp;L'!D4</f>
        <v>866114</v>
      </c>
      <c r="E4" s="9">
        <f>'P&amp;L'!E4</f>
        <v>866170</v>
      </c>
      <c r="F4" s="9">
        <f>'P&amp;L'!F4</f>
        <v>830210</v>
      </c>
      <c r="G4" s="9">
        <f>'P&amp;L'!G4</f>
        <v>877009</v>
      </c>
      <c r="H4" s="9">
        <f>'P&amp;L'!H4</f>
        <v>891223</v>
      </c>
      <c r="I4" s="9">
        <f>'P&amp;L'!I4</f>
        <v>904042</v>
      </c>
      <c r="J4" s="9">
        <f>'P&amp;L'!J4</f>
        <v>865471</v>
      </c>
      <c r="K4" s="19">
        <f>'P&amp;L'!K4</f>
        <v>891435.13</v>
      </c>
      <c r="L4" s="19">
        <f>'P&amp;L'!L4</f>
        <v>918178.18390000006</v>
      </c>
      <c r="M4" s="19">
        <f>'P&amp;L'!M4</f>
        <v>945723.52941700013</v>
      </c>
      <c r="N4" s="19">
        <f>'P&amp;L'!N4</f>
        <v>974095.23529951018</v>
      </c>
      <c r="O4" s="19">
        <f>'P&amp;L'!O4</f>
        <v>1003318.0923584955</v>
      </c>
    </row>
    <row r="5" spans="2:17">
      <c r="B5" s="4" t="s">
        <v>122</v>
      </c>
      <c r="C5" s="9">
        <f>-'P&amp;L'!C8</f>
        <v>539098</v>
      </c>
      <c r="D5" s="9">
        <f>-'P&amp;L'!D8</f>
        <v>517752</v>
      </c>
      <c r="E5" s="9">
        <f>-'P&amp;L'!E8</f>
        <v>507243</v>
      </c>
      <c r="F5" s="9">
        <f>-'P&amp;L'!F8</f>
        <v>496396</v>
      </c>
      <c r="G5" s="9">
        <f>-'P&amp;L'!G8</f>
        <v>510004</v>
      </c>
      <c r="H5" s="9">
        <f>-'P&amp;L'!H8</f>
        <v>524183</v>
      </c>
      <c r="I5" s="9">
        <f>-'P&amp;L'!I8</f>
        <v>518976</v>
      </c>
      <c r="J5" s="9">
        <f>-'P&amp;L'!J8</f>
        <v>506245</v>
      </c>
      <c r="K5" s="19">
        <f>-'P&amp;L'!K8</f>
        <v>534861.07799999998</v>
      </c>
      <c r="L5" s="19">
        <f>-'P&amp;L'!L8</f>
        <v>550906.91033999994</v>
      </c>
      <c r="M5" s="19">
        <f>-'P&amp;L'!M8</f>
        <v>567434.11765020003</v>
      </c>
      <c r="N5" s="19">
        <f>-'P&amp;L'!N8</f>
        <v>584457.14117970609</v>
      </c>
      <c r="O5" s="19">
        <f>-'P&amp;L'!O8</f>
        <v>601990.8554150972</v>
      </c>
      <c r="Q5" s="404" t="s">
        <v>125</v>
      </c>
    </row>
    <row r="6" spans="2:17">
      <c r="C6" s="9"/>
      <c r="D6" s="9"/>
      <c r="E6" s="9"/>
      <c r="F6" s="9"/>
      <c r="G6" s="9"/>
      <c r="H6" s="9"/>
      <c r="I6" s="9"/>
      <c r="K6" s="19"/>
      <c r="L6" s="19"/>
      <c r="M6" s="19"/>
      <c r="N6" s="19"/>
      <c r="O6" s="19"/>
    </row>
    <row r="7" spans="2:17" ht="3.75" customHeight="1">
      <c r="C7" s="9"/>
      <c r="D7" s="9"/>
      <c r="E7" s="9"/>
      <c r="F7" s="9"/>
      <c r="G7" s="9"/>
      <c r="H7" s="9"/>
      <c r="I7" s="9"/>
      <c r="K7" s="19"/>
      <c r="L7" s="19"/>
      <c r="M7" s="19"/>
      <c r="N7" s="19"/>
      <c r="O7" s="19"/>
    </row>
    <row r="8" spans="2:17">
      <c r="B8" s="85" t="s">
        <v>123</v>
      </c>
      <c r="C8" s="9"/>
      <c r="D8" s="9"/>
      <c r="E8" s="9"/>
      <c r="F8" s="9"/>
      <c r="G8" s="9"/>
      <c r="H8" s="9"/>
      <c r="I8" s="9"/>
      <c r="J8" s="9"/>
      <c r="K8" s="19"/>
      <c r="L8" s="19"/>
      <c r="M8" s="19"/>
      <c r="N8" s="19"/>
      <c r="O8" s="19"/>
    </row>
    <row r="9" spans="2:17">
      <c r="B9" s="59" t="s">
        <v>124</v>
      </c>
      <c r="C9" s="9">
        <f>BS!C5</f>
        <v>105511</v>
      </c>
      <c r="D9" s="9">
        <f>BS!D5</f>
        <v>68456</v>
      </c>
      <c r="E9" s="9">
        <f>BS!E5</f>
        <v>71366</v>
      </c>
      <c r="F9" s="9">
        <f>BS!F5</f>
        <v>70236</v>
      </c>
      <c r="G9" s="9">
        <f>BS!G5</f>
        <v>103094</v>
      </c>
      <c r="H9" s="9">
        <f>BS!H5</f>
        <v>75559</v>
      </c>
      <c r="I9" s="9">
        <f>BS!I5</f>
        <v>72420</v>
      </c>
      <c r="J9" s="9">
        <f>BS!J5</f>
        <v>74344</v>
      </c>
      <c r="K9" s="19">
        <f>(K$32*K$4)/360</f>
        <v>74286.260833333334</v>
      </c>
      <c r="L9" s="19">
        <f t="shared" ref="L9:O9" si="0">(L$32*L$4)/360</f>
        <v>76514.848658333329</v>
      </c>
      <c r="M9" s="19">
        <f t="shared" si="0"/>
        <v>78810.294118083344</v>
      </c>
      <c r="N9" s="19">
        <f t="shared" si="0"/>
        <v>81174.602941625839</v>
      </c>
      <c r="O9" s="19">
        <f t="shared" si="0"/>
        <v>83609.841029874617</v>
      </c>
      <c r="Q9" s="404" t="s">
        <v>304</v>
      </c>
    </row>
    <row r="10" spans="2:17">
      <c r="B10" s="59" t="s">
        <v>92</v>
      </c>
      <c r="C10" s="9">
        <f>BS!C6</f>
        <v>55559</v>
      </c>
      <c r="D10" s="9">
        <f>BS!D6</f>
        <v>58989</v>
      </c>
      <c r="E10" s="9">
        <f>BS!E6</f>
        <v>60868</v>
      </c>
      <c r="F10" s="9">
        <f>BS!F6</f>
        <v>58672</v>
      </c>
      <c r="G10" s="9">
        <f>BS!G6</f>
        <v>57654</v>
      </c>
      <c r="H10" s="9">
        <f>BS!H6</f>
        <v>65469</v>
      </c>
      <c r="I10" s="9">
        <f>BS!I6</f>
        <v>70987</v>
      </c>
      <c r="J10" s="9">
        <f>BS!J6</f>
        <v>69805</v>
      </c>
      <c r="K10" s="19">
        <f>(K$36*K$5)/360</f>
        <v>63886.184316666666</v>
      </c>
      <c r="L10" s="19">
        <f t="shared" ref="L10:O10" si="1">(L$36*L$5)/360</f>
        <v>65802.769846166659</v>
      </c>
      <c r="M10" s="19">
        <f t="shared" si="1"/>
        <v>67776.852941551668</v>
      </c>
      <c r="N10" s="19">
        <f t="shared" si="1"/>
        <v>69810.158529798238</v>
      </c>
      <c r="O10" s="19">
        <f t="shared" si="1"/>
        <v>71904.463285692167</v>
      </c>
      <c r="Q10" s="404" t="s">
        <v>305</v>
      </c>
    </row>
    <row r="11" spans="2:17" ht="12" customHeight="1">
      <c r="B11" s="59" t="s">
        <v>116</v>
      </c>
      <c r="C11" s="9">
        <f>BS!C8</f>
        <v>69921</v>
      </c>
      <c r="D11" s="9">
        <f>BS!D8</f>
        <v>70027</v>
      </c>
      <c r="E11" s="9">
        <f>BS!E8</f>
        <v>75380</v>
      </c>
      <c r="F11" s="9">
        <f>BS!F8</f>
        <v>79481</v>
      </c>
      <c r="G11" s="9">
        <f>BS!G8</f>
        <v>83760</v>
      </c>
      <c r="H11" s="9">
        <f>BS!H8</f>
        <v>82324</v>
      </c>
      <c r="I11" s="9">
        <f>BS!I8</f>
        <v>93874</v>
      </c>
      <c r="J11" s="9">
        <f>BS!J8</f>
        <v>90174</v>
      </c>
      <c r="K11" s="19">
        <f>K$40*K$4</f>
        <v>93600.688649999996</v>
      </c>
      <c r="L11" s="19">
        <f t="shared" ref="L11:O11" si="2">L$40*L$4</f>
        <v>96408.709309500002</v>
      </c>
      <c r="M11" s="19">
        <f t="shared" si="2"/>
        <v>99300.970588785014</v>
      </c>
      <c r="N11" s="19">
        <f t="shared" si="2"/>
        <v>102279.99970644857</v>
      </c>
      <c r="O11" s="19">
        <f t="shared" si="2"/>
        <v>105348.39969764202</v>
      </c>
      <c r="Q11" s="404" t="s">
        <v>306</v>
      </c>
    </row>
    <row r="12" spans="2:17" ht="12" customHeight="1">
      <c r="B12" s="49" t="s">
        <v>127</v>
      </c>
      <c r="C12" s="50">
        <f>SUM(C9:C11)</f>
        <v>230991</v>
      </c>
      <c r="D12" s="50">
        <f t="shared" ref="D12:O12" si="3">SUM(D9:D11)</f>
        <v>197472</v>
      </c>
      <c r="E12" s="50">
        <f t="shared" si="3"/>
        <v>207614</v>
      </c>
      <c r="F12" s="50">
        <f t="shared" si="3"/>
        <v>208389</v>
      </c>
      <c r="G12" s="50">
        <f t="shared" ref="G12:J12" si="4">SUM(G9:G11)</f>
        <v>244508</v>
      </c>
      <c r="H12" s="50">
        <f t="shared" si="4"/>
        <v>223352</v>
      </c>
      <c r="I12" s="50">
        <f t="shared" si="4"/>
        <v>237281</v>
      </c>
      <c r="J12" s="50">
        <f t="shared" si="4"/>
        <v>234323</v>
      </c>
      <c r="K12" s="80">
        <f t="shared" si="3"/>
        <v>231773.13379999998</v>
      </c>
      <c r="L12" s="80">
        <f t="shared" si="3"/>
        <v>238726.32781399999</v>
      </c>
      <c r="M12" s="80">
        <f t="shared" si="3"/>
        <v>245888.11764842004</v>
      </c>
      <c r="N12" s="80">
        <f t="shared" si="3"/>
        <v>253264.76117787266</v>
      </c>
      <c r="O12" s="80">
        <f t="shared" si="3"/>
        <v>260862.7040132088</v>
      </c>
    </row>
    <row r="13" spans="2:17" ht="12" customHeight="1">
      <c r="B13" s="49"/>
      <c r="C13" s="25"/>
      <c r="D13" s="25"/>
      <c r="E13" s="25"/>
      <c r="F13" s="25"/>
      <c r="G13" s="25"/>
      <c r="H13" s="25"/>
      <c r="I13" s="25"/>
      <c r="J13" s="49"/>
      <c r="K13" s="80"/>
      <c r="L13" s="80"/>
      <c r="M13" s="80"/>
      <c r="N13" s="80"/>
      <c r="O13" s="80"/>
    </row>
    <row r="14" spans="2:17" ht="12" customHeight="1">
      <c r="B14" s="59" t="s">
        <v>104</v>
      </c>
      <c r="C14" s="9">
        <f>BS!C18</f>
        <v>219808</v>
      </c>
      <c r="D14" s="9">
        <f>BS!D18</f>
        <v>191908</v>
      </c>
      <c r="E14" s="9">
        <f>BS!E18</f>
        <v>187483</v>
      </c>
      <c r="F14" s="9">
        <f>BS!F18</f>
        <v>180200</v>
      </c>
      <c r="G14" s="9">
        <f>BS!G18</f>
        <v>222915</v>
      </c>
      <c r="H14" s="9">
        <f>BS!H18</f>
        <v>196236</v>
      </c>
      <c r="I14" s="9">
        <f>BS!I18</f>
        <v>192344</v>
      </c>
      <c r="J14" s="9">
        <f>BS!J18</f>
        <v>184258</v>
      </c>
      <c r="K14" s="19">
        <f>K5*K56</f>
        <v>187201.37729999999</v>
      </c>
      <c r="L14" s="19">
        <f t="shared" ref="L14:O14" si="5">L5*L56</f>
        <v>192817.41861899997</v>
      </c>
      <c r="M14" s="19">
        <f t="shared" si="5"/>
        <v>198601.94117757</v>
      </c>
      <c r="N14" s="19">
        <f t="shared" si="5"/>
        <v>204559.99941289713</v>
      </c>
      <c r="O14" s="19">
        <f t="shared" si="5"/>
        <v>210696.799395284</v>
      </c>
      <c r="Q14" s="404" t="s">
        <v>307</v>
      </c>
    </row>
    <row r="15" spans="2:17" ht="12" customHeight="1">
      <c r="B15" s="59" t="s">
        <v>103</v>
      </c>
      <c r="C15" s="9">
        <f>BS!C17</f>
        <v>66638</v>
      </c>
      <c r="D15" s="9">
        <f>BS!D17</f>
        <v>57001</v>
      </c>
      <c r="E15" s="9">
        <f>BS!E17</f>
        <v>72682</v>
      </c>
      <c r="F15" s="9">
        <f>BS!F17</f>
        <v>53392</v>
      </c>
      <c r="G15" s="9">
        <f>BS!G17</f>
        <v>63152</v>
      </c>
      <c r="H15" s="9">
        <f>BS!H17</f>
        <v>61383</v>
      </c>
      <c r="I15" s="9">
        <f>BS!I17</f>
        <v>68644</v>
      </c>
      <c r="J15" s="9">
        <f>BS!J17</f>
        <v>62663</v>
      </c>
      <c r="K15" s="19">
        <f>(K$44*K$5)/360</f>
        <v>66857.634749999997</v>
      </c>
      <c r="L15" s="19">
        <f t="shared" ref="L15:O15" si="6">(L$44*L$5)/360</f>
        <v>68863.363792499993</v>
      </c>
      <c r="M15" s="19">
        <f t="shared" si="6"/>
        <v>70929.264706275004</v>
      </c>
      <c r="N15" s="19">
        <f t="shared" si="6"/>
        <v>73057.142647463261</v>
      </c>
      <c r="O15" s="19">
        <f t="shared" si="6"/>
        <v>75248.856926887151</v>
      </c>
      <c r="Q15" s="404" t="s">
        <v>305</v>
      </c>
    </row>
    <row r="16" spans="2:17" ht="12" customHeight="1">
      <c r="B16" s="59" t="s">
        <v>126</v>
      </c>
      <c r="C16" s="9">
        <f>BS!C20</f>
        <v>231133</v>
      </c>
      <c r="D16" s="9">
        <f>BS!D20</f>
        <v>237293</v>
      </c>
      <c r="E16" s="9">
        <f>BS!E20</f>
        <v>220917</v>
      </c>
      <c r="F16" s="9">
        <f>BS!F20</f>
        <v>240440</v>
      </c>
      <c r="G16" s="9">
        <f>BS!G20</f>
        <v>239699</v>
      </c>
      <c r="H16" s="9">
        <f>BS!H20</f>
        <v>249502</v>
      </c>
      <c r="I16" s="9">
        <f>BS!I20</f>
        <v>231720</v>
      </c>
      <c r="J16" s="9">
        <f>BS!J20</f>
        <v>264998</v>
      </c>
      <c r="K16" s="19">
        <f>K$48*K$5</f>
        <v>256733.31743999998</v>
      </c>
      <c r="L16" s="19">
        <f t="shared" ref="L16:O16" si="7">L$48*L$5</f>
        <v>264435.31696319999</v>
      </c>
      <c r="M16" s="19">
        <f t="shared" si="7"/>
        <v>272368.37647209602</v>
      </c>
      <c r="N16" s="19">
        <f t="shared" si="7"/>
        <v>280539.42776625889</v>
      </c>
      <c r="O16" s="19">
        <f t="shared" si="7"/>
        <v>288955.61059924663</v>
      </c>
      <c r="Q16" s="404" t="s">
        <v>307</v>
      </c>
    </row>
    <row r="17" spans="2:17" ht="12" customHeight="1">
      <c r="B17" s="59" t="s">
        <v>105</v>
      </c>
      <c r="C17" s="9">
        <f>BS!C19</f>
        <v>139099</v>
      </c>
      <c r="D17" s="9">
        <f>BS!D19</f>
        <v>140493</v>
      </c>
      <c r="E17" s="9">
        <f>BS!E19</f>
        <v>142370</v>
      </c>
      <c r="F17" s="9">
        <f>BS!F19</f>
        <v>144488</v>
      </c>
      <c r="G17" s="9">
        <f>BS!G19</f>
        <v>134905</v>
      </c>
      <c r="H17" s="9">
        <f>BS!H19</f>
        <v>147380</v>
      </c>
      <c r="I17" s="9">
        <f>BS!I19</f>
        <v>149899</v>
      </c>
      <c r="J17" s="9">
        <f>BS!J19</f>
        <v>139974</v>
      </c>
      <c r="K17" s="19">
        <f>K$52*K$5</f>
        <v>144412.49106</v>
      </c>
      <c r="L17" s="19">
        <f t="shared" ref="L17:O17" si="8">L$52*L$5</f>
        <v>148744.8657918</v>
      </c>
      <c r="M17" s="19">
        <f t="shared" si="8"/>
        <v>153207.21176555401</v>
      </c>
      <c r="N17" s="19">
        <f t="shared" si="8"/>
        <v>157803.42811852065</v>
      </c>
      <c r="O17" s="19">
        <f t="shared" si="8"/>
        <v>162537.53096207624</v>
      </c>
      <c r="Q17" s="404" t="s">
        <v>301</v>
      </c>
    </row>
    <row r="18" spans="2:17" ht="12" customHeight="1">
      <c r="B18" s="49" t="s">
        <v>128</v>
      </c>
      <c r="C18" s="50">
        <f>SUM(C15:C17)</f>
        <v>436870</v>
      </c>
      <c r="D18" s="50">
        <f t="shared" ref="D18:F18" si="9">SUM(D15:D17)</f>
        <v>434787</v>
      </c>
      <c r="E18" s="50">
        <f t="shared" si="9"/>
        <v>435969</v>
      </c>
      <c r="F18" s="50">
        <f t="shared" si="9"/>
        <v>438320</v>
      </c>
      <c r="G18" s="50">
        <f t="shared" ref="G18:J18" si="10">SUM(G15:G17)</f>
        <v>437756</v>
      </c>
      <c r="H18" s="50">
        <f t="shared" si="10"/>
        <v>458265</v>
      </c>
      <c r="I18" s="50">
        <f t="shared" si="10"/>
        <v>450263</v>
      </c>
      <c r="J18" s="50">
        <f t="shared" si="10"/>
        <v>467635</v>
      </c>
      <c r="K18" s="80">
        <f t="shared" ref="K18:O18" si="11">SUM(K15:K17)</f>
        <v>468003.44325000001</v>
      </c>
      <c r="L18" s="80">
        <f t="shared" si="11"/>
        <v>482043.54654749995</v>
      </c>
      <c r="M18" s="80">
        <f t="shared" si="11"/>
        <v>496504.85294392507</v>
      </c>
      <c r="N18" s="80">
        <f t="shared" si="11"/>
        <v>511399.99853224278</v>
      </c>
      <c r="O18" s="80">
        <f t="shared" si="11"/>
        <v>526741.99848821003</v>
      </c>
    </row>
    <row r="19" spans="2:17" ht="15" customHeight="1">
      <c r="C19" s="121">
        <f>C12/C18</f>
        <v>0.52874081534552608</v>
      </c>
      <c r="D19" s="121">
        <f t="shared" ref="D19:K19" si="12">D12/D18</f>
        <v>0.45418101277177103</v>
      </c>
      <c r="E19" s="121">
        <f t="shared" si="12"/>
        <v>0.47621275824657255</v>
      </c>
      <c r="F19" s="121">
        <f t="shared" si="12"/>
        <v>0.47542662894688814</v>
      </c>
      <c r="G19" s="121">
        <f t="shared" si="12"/>
        <v>0.5585485978490301</v>
      </c>
      <c r="H19" s="121">
        <f t="shared" si="12"/>
        <v>0.48738611938507198</v>
      </c>
      <c r="I19" s="121">
        <f t="shared" si="12"/>
        <v>0.52698311875503867</v>
      </c>
      <c r="J19" s="121">
        <f t="shared" si="12"/>
        <v>0.50108097127032836</v>
      </c>
      <c r="K19" s="61">
        <f t="shared" si="12"/>
        <v>0.4952380952380952</v>
      </c>
      <c r="L19" s="61">
        <f t="shared" ref="L19" si="13">L12/L18</f>
        <v>0.49523809523809526</v>
      </c>
      <c r="M19" s="61">
        <f t="shared" ref="M19" si="14">M12/M18</f>
        <v>0.49523809523809526</v>
      </c>
      <c r="N19" s="61">
        <f t="shared" ref="N19" si="15">N12/N18</f>
        <v>0.49523809523809531</v>
      </c>
      <c r="O19" s="61">
        <f t="shared" ref="O19" si="16">O12/O18</f>
        <v>0.49523809523809531</v>
      </c>
    </row>
    <row r="20" spans="2:17" ht="12" customHeight="1">
      <c r="C20" s="9"/>
      <c r="D20" s="9"/>
      <c r="E20" s="9"/>
      <c r="F20" s="9"/>
      <c r="G20" s="9"/>
      <c r="H20" s="9"/>
      <c r="I20" s="9"/>
      <c r="J20" s="9"/>
      <c r="K20" s="19"/>
      <c r="L20" s="19"/>
      <c r="M20" s="19"/>
      <c r="N20" s="19"/>
      <c r="O20" s="19"/>
    </row>
    <row r="21" spans="2:17" ht="12" customHeight="1">
      <c r="B21" s="4" t="s">
        <v>129</v>
      </c>
      <c r="C21" s="9">
        <f>C12-C18</f>
        <v>-205879</v>
      </c>
      <c r="D21" s="9">
        <f t="shared" ref="D21:O21" si="17">D12-D18</f>
        <v>-237315</v>
      </c>
      <c r="E21" s="9">
        <f t="shared" si="17"/>
        <v>-228355</v>
      </c>
      <c r="F21" s="9">
        <f t="shared" si="17"/>
        <v>-229931</v>
      </c>
      <c r="G21" s="9">
        <f t="shared" si="17"/>
        <v>-193248</v>
      </c>
      <c r="H21" s="9">
        <f t="shared" si="17"/>
        <v>-234913</v>
      </c>
      <c r="I21" s="9">
        <f t="shared" si="17"/>
        <v>-212982</v>
      </c>
      <c r="J21" s="9">
        <f t="shared" si="17"/>
        <v>-233312</v>
      </c>
      <c r="K21" s="19">
        <f t="shared" si="17"/>
        <v>-236230.30945000003</v>
      </c>
      <c r="L21" s="19">
        <f>L12-L18</f>
        <v>-243317.21873349996</v>
      </c>
      <c r="M21" s="19">
        <f t="shared" si="17"/>
        <v>-250616.73529550503</v>
      </c>
      <c r="N21" s="19">
        <f t="shared" si="17"/>
        <v>-258135.23735437013</v>
      </c>
      <c r="O21" s="19">
        <f t="shared" si="17"/>
        <v>-265879.29447500122</v>
      </c>
    </row>
    <row r="22" spans="2:17" ht="12" customHeight="1">
      <c r="C22" s="9"/>
      <c r="D22" s="9"/>
      <c r="E22" s="9"/>
      <c r="F22" s="9"/>
      <c r="G22" s="9"/>
      <c r="H22" s="9"/>
      <c r="I22" s="9"/>
      <c r="J22" s="9"/>
      <c r="K22" s="19"/>
      <c r="L22" s="19"/>
      <c r="M22" s="19"/>
      <c r="N22" s="19"/>
      <c r="O22" s="19"/>
    </row>
    <row r="23" spans="2:17" ht="12" customHeight="1">
      <c r="B23" s="78" t="s">
        <v>130</v>
      </c>
      <c r="C23" s="50"/>
      <c r="D23" s="50">
        <f>C21-D21</f>
        <v>31436</v>
      </c>
      <c r="E23" s="50">
        <f t="shared" ref="E23:F23" si="18">D21-E21</f>
        <v>-8960</v>
      </c>
      <c r="F23" s="50">
        <f t="shared" si="18"/>
        <v>1576</v>
      </c>
      <c r="G23" s="50">
        <f t="shared" ref="G23" si="19">F21-G21</f>
        <v>-36683</v>
      </c>
      <c r="H23" s="50">
        <f t="shared" ref="H23" si="20">G21-H21</f>
        <v>41665</v>
      </c>
      <c r="I23" s="50">
        <f t="shared" ref="I23" si="21">H21-I21</f>
        <v>-21931</v>
      </c>
      <c r="J23" s="50">
        <f t="shared" ref="J23" si="22">I21-J21</f>
        <v>20330</v>
      </c>
      <c r="K23" s="80">
        <f>J21-K21</f>
        <v>2918.3094500000298</v>
      </c>
      <c r="L23" s="80">
        <f>K21-L21</f>
        <v>7086.9092834999319</v>
      </c>
      <c r="M23" s="80">
        <f t="shared" ref="M23:O23" si="23">L21-M21</f>
        <v>7299.5165620050684</v>
      </c>
      <c r="N23" s="80">
        <f t="shared" si="23"/>
        <v>7518.502058865095</v>
      </c>
      <c r="O23" s="80">
        <f t="shared" si="23"/>
        <v>7744.0571206310997</v>
      </c>
    </row>
    <row r="24" spans="2:17" ht="7" customHeight="1">
      <c r="B24" s="70"/>
      <c r="C24" s="86"/>
      <c r="D24" s="86"/>
      <c r="E24" s="86"/>
      <c r="F24" s="86"/>
      <c r="G24" s="86"/>
      <c r="H24" s="86"/>
      <c r="I24" s="86"/>
      <c r="J24" s="86"/>
      <c r="K24" s="87"/>
      <c r="L24" s="87"/>
      <c r="M24" s="87"/>
      <c r="N24" s="87"/>
      <c r="O24" s="87"/>
    </row>
    <row r="25" spans="2:17">
      <c r="C25" s="9"/>
      <c r="D25" s="9"/>
      <c r="E25" s="9"/>
      <c r="F25" s="9"/>
      <c r="G25" s="9"/>
      <c r="H25" s="9"/>
      <c r="I25" s="9"/>
      <c r="J25" s="9"/>
      <c r="K25" s="9"/>
      <c r="L25" s="9"/>
      <c r="M25" s="9"/>
      <c r="N25" s="9"/>
      <c r="O25" s="9"/>
    </row>
    <row r="26" spans="2:17">
      <c r="B26" s="4" t="s">
        <v>86</v>
      </c>
      <c r="C26" s="67">
        <f>'P&amp;L'!C36</f>
        <v>2</v>
      </c>
      <c r="D26" s="9"/>
      <c r="E26" s="9"/>
      <c r="F26" s="9"/>
      <c r="G26" s="9"/>
      <c r="H26" s="9"/>
      <c r="I26" s="9"/>
      <c r="J26" s="9"/>
      <c r="K26" s="9"/>
      <c r="L26" s="9"/>
      <c r="M26" s="9"/>
      <c r="N26" s="9"/>
      <c r="O26" s="9"/>
    </row>
    <row r="27" spans="2:17">
      <c r="C27" s="9"/>
      <c r="D27" s="9"/>
      <c r="E27" s="9"/>
      <c r="F27" s="9"/>
      <c r="G27" s="9"/>
      <c r="H27" s="9"/>
      <c r="I27" s="9"/>
      <c r="J27" s="9"/>
      <c r="K27" s="9"/>
      <c r="L27" s="9"/>
      <c r="M27" s="9"/>
      <c r="N27" s="9"/>
      <c r="O27" s="9"/>
    </row>
    <row r="28" spans="2:17" ht="14" customHeight="1">
      <c r="C28" s="9"/>
      <c r="D28" s="9"/>
      <c r="E28" s="9"/>
      <c r="F28" s="9"/>
      <c r="G28" s="9"/>
      <c r="H28" s="9"/>
      <c r="I28" s="9"/>
      <c r="J28" s="9"/>
      <c r="K28" s="9"/>
      <c r="L28" s="9"/>
      <c r="M28" s="9"/>
      <c r="N28" s="9"/>
      <c r="O28" s="9"/>
    </row>
    <row r="29" spans="2:17" ht="12" thickBot="1">
      <c r="B29" s="69" t="s">
        <v>81</v>
      </c>
      <c r="C29" s="69"/>
      <c r="D29" s="69"/>
      <c r="E29" s="69"/>
      <c r="F29" s="69"/>
      <c r="G29" s="69"/>
      <c r="H29" s="69"/>
      <c r="I29" s="69"/>
      <c r="J29" s="69"/>
      <c r="K29" s="69"/>
      <c r="L29" s="69"/>
      <c r="M29" s="69"/>
      <c r="N29" s="69"/>
      <c r="O29" s="69"/>
    </row>
    <row r="30" spans="2:17">
      <c r="B30" s="4" t="s">
        <v>131</v>
      </c>
      <c r="C30" s="9">
        <v>360</v>
      </c>
      <c r="K30" s="9"/>
      <c r="L30" s="9"/>
      <c r="M30" s="9"/>
      <c r="N30" s="9"/>
      <c r="O30" s="9"/>
    </row>
    <row r="31" spans="2:17" ht="7" customHeight="1">
      <c r="K31" s="9"/>
      <c r="L31" s="9"/>
      <c r="M31" s="9"/>
      <c r="N31" s="9"/>
      <c r="O31" s="9"/>
    </row>
    <row r="32" spans="2:17">
      <c r="B32" s="57" t="s">
        <v>134</v>
      </c>
      <c r="C32" s="4">
        <f>(C$9/C$4)*360</f>
        <v>42.544662758371956</v>
      </c>
      <c r="D32" s="4">
        <f t="shared" ref="D32:J32" si="24">(D$9/D$4)*360</f>
        <v>28.453713945277414</v>
      </c>
      <c r="E32" s="4">
        <f t="shared" si="24"/>
        <v>29.661336689102598</v>
      </c>
      <c r="F32" s="4">
        <f t="shared" si="24"/>
        <v>30.456101468303203</v>
      </c>
      <c r="G32" s="4">
        <f t="shared" si="24"/>
        <v>42.318653514388103</v>
      </c>
      <c r="H32" s="4">
        <f t="shared" si="24"/>
        <v>30.521250012623103</v>
      </c>
      <c r="I32" s="4">
        <f t="shared" si="24"/>
        <v>28.838483167817426</v>
      </c>
      <c r="J32" s="4">
        <f t="shared" si="24"/>
        <v>30.924017095893454</v>
      </c>
      <c r="K32" s="127">
        <f>CHOOSE($C$26,K33,K34,K35)</f>
        <v>30</v>
      </c>
      <c r="L32" s="128">
        <f t="shared" ref="L32:O32" si="25">CHOOSE($C$26,L33,L34,L35)</f>
        <v>30</v>
      </c>
      <c r="M32" s="128">
        <f t="shared" si="25"/>
        <v>30</v>
      </c>
      <c r="N32" s="128">
        <f t="shared" si="25"/>
        <v>30</v>
      </c>
      <c r="O32" s="129">
        <f t="shared" si="25"/>
        <v>30</v>
      </c>
      <c r="Q32" s="404" t="s">
        <v>34</v>
      </c>
    </row>
    <row r="33" spans="2:17">
      <c r="B33" s="59" t="s">
        <v>48</v>
      </c>
      <c r="K33" s="4">
        <v>28</v>
      </c>
      <c r="L33" s="4">
        <v>28</v>
      </c>
      <c r="M33" s="4">
        <v>28</v>
      </c>
      <c r="N33" s="4">
        <v>28</v>
      </c>
      <c r="O33" s="4">
        <v>28</v>
      </c>
    </row>
    <row r="34" spans="2:17">
      <c r="B34" s="59" t="s">
        <v>49</v>
      </c>
      <c r="K34" s="4">
        <v>30</v>
      </c>
      <c r="L34" s="4">
        <v>30</v>
      </c>
      <c r="M34" s="4">
        <v>30</v>
      </c>
      <c r="N34" s="4">
        <v>30</v>
      </c>
      <c r="O34" s="4">
        <v>30</v>
      </c>
    </row>
    <row r="35" spans="2:17">
      <c r="B35" s="59" t="s">
        <v>50</v>
      </c>
      <c r="K35" s="4">
        <v>32</v>
      </c>
      <c r="L35" s="4">
        <v>32</v>
      </c>
      <c r="M35" s="4">
        <v>32</v>
      </c>
      <c r="N35" s="4">
        <v>32</v>
      </c>
      <c r="O35" s="4">
        <v>32</v>
      </c>
    </row>
    <row r="36" spans="2:17">
      <c r="B36" s="57" t="s">
        <v>133</v>
      </c>
      <c r="C36" s="4">
        <f>(C$10/C$5)*360</f>
        <v>37.101306256005401</v>
      </c>
      <c r="D36" s="4">
        <f t="shared" ref="D36:J36" si="26">(D$10/D$5)*360</f>
        <v>41.01585314977055</v>
      </c>
      <c r="E36" s="4">
        <f t="shared" si="26"/>
        <v>43.199176725947915</v>
      </c>
      <c r="F36" s="4">
        <f t="shared" si="26"/>
        <v>42.55054432348367</v>
      </c>
      <c r="G36" s="4">
        <f t="shared" si="26"/>
        <v>40.696621987278533</v>
      </c>
      <c r="H36" s="4">
        <f t="shared" si="26"/>
        <v>44.962999563129671</v>
      </c>
      <c r="I36" s="4">
        <f t="shared" si="26"/>
        <v>49.241814650388456</v>
      </c>
      <c r="J36" s="4">
        <f t="shared" si="26"/>
        <v>49.639601378779048</v>
      </c>
      <c r="K36" s="127">
        <f>CHOOSE($C$26,K37,K38,K39)</f>
        <v>43</v>
      </c>
      <c r="L36" s="128">
        <f t="shared" ref="L36:O36" si="27">CHOOSE($C$26,L37,L38,L39)</f>
        <v>43</v>
      </c>
      <c r="M36" s="128">
        <f t="shared" si="27"/>
        <v>43</v>
      </c>
      <c r="N36" s="128">
        <f t="shared" si="27"/>
        <v>43</v>
      </c>
      <c r="O36" s="129">
        <f t="shared" si="27"/>
        <v>43</v>
      </c>
      <c r="Q36" s="404" t="s">
        <v>139</v>
      </c>
    </row>
    <row r="37" spans="2:17">
      <c r="B37" s="59" t="s">
        <v>48</v>
      </c>
      <c r="K37" s="4">
        <v>41</v>
      </c>
      <c r="L37" s="4">
        <v>41</v>
      </c>
      <c r="M37" s="4">
        <v>41</v>
      </c>
      <c r="N37" s="4">
        <v>41</v>
      </c>
      <c r="O37" s="4">
        <v>41</v>
      </c>
      <c r="P37" s="4">
        <v>41</v>
      </c>
    </row>
    <row r="38" spans="2:17">
      <c r="B38" s="59" t="s">
        <v>49</v>
      </c>
      <c r="K38" s="4">
        <v>43</v>
      </c>
      <c r="L38" s="4">
        <v>43</v>
      </c>
      <c r="M38" s="4">
        <v>43</v>
      </c>
      <c r="N38" s="4">
        <v>43</v>
      </c>
      <c r="O38" s="4">
        <v>43</v>
      </c>
      <c r="P38" s="4">
        <v>43</v>
      </c>
    </row>
    <row r="39" spans="2:17">
      <c r="B39" s="59" t="s">
        <v>50</v>
      </c>
      <c r="K39" s="4">
        <v>45</v>
      </c>
      <c r="L39" s="4">
        <v>45</v>
      </c>
      <c r="M39" s="4">
        <v>45</v>
      </c>
      <c r="N39" s="4">
        <v>45</v>
      </c>
      <c r="O39" s="4">
        <v>45</v>
      </c>
      <c r="P39" s="4">
        <v>45</v>
      </c>
    </row>
    <row r="40" spans="2:17" ht="12" customHeight="1">
      <c r="B40" s="57" t="s">
        <v>132</v>
      </c>
      <c r="C40" s="18">
        <f>(C$11/C$4)</f>
        <v>7.8316356818197097E-2</v>
      </c>
      <c r="D40" s="18">
        <f t="shared" ref="D40:J40" si="28">(D$11/D$4)</f>
        <v>8.0851943277674768E-2</v>
      </c>
      <c r="E40" s="18">
        <f t="shared" si="28"/>
        <v>8.70267961254719E-2</v>
      </c>
      <c r="F40" s="18">
        <f t="shared" si="28"/>
        <v>9.5736018597704198E-2</v>
      </c>
      <c r="G40" s="18">
        <f t="shared" si="28"/>
        <v>9.5506431518946777E-2</v>
      </c>
      <c r="H40" s="18">
        <f t="shared" si="28"/>
        <v>9.2371942824635359E-2</v>
      </c>
      <c r="I40" s="18">
        <f t="shared" si="28"/>
        <v>0.10383809601766289</v>
      </c>
      <c r="J40" s="18">
        <f t="shared" si="28"/>
        <v>0.10419066612283948</v>
      </c>
      <c r="K40" s="133">
        <f>CHOOSE($C$26,K41,K42,K43)</f>
        <v>0.105</v>
      </c>
      <c r="L40" s="134">
        <f t="shared" ref="L40:O40" si="29">CHOOSE($C$26,L41,L42,L43)</f>
        <v>0.105</v>
      </c>
      <c r="M40" s="134">
        <f t="shared" si="29"/>
        <v>0.105</v>
      </c>
      <c r="N40" s="134">
        <f t="shared" si="29"/>
        <v>0.105</v>
      </c>
      <c r="O40" s="135">
        <f t="shared" si="29"/>
        <v>0.105</v>
      </c>
      <c r="Q40" s="404" t="s">
        <v>137</v>
      </c>
    </row>
    <row r="41" spans="2:17" ht="12" customHeight="1">
      <c r="B41" s="59" t="s">
        <v>48</v>
      </c>
      <c r="K41" s="18">
        <v>0.11</v>
      </c>
      <c r="L41" s="18">
        <v>0.11</v>
      </c>
      <c r="M41" s="18">
        <v>0.11</v>
      </c>
      <c r="N41" s="18">
        <v>0.11</v>
      </c>
      <c r="O41" s="18">
        <v>0.11</v>
      </c>
    </row>
    <row r="42" spans="2:17" ht="12" customHeight="1">
      <c r="B42" s="59" t="s">
        <v>49</v>
      </c>
      <c r="K42" s="18">
        <v>0.105</v>
      </c>
      <c r="L42" s="18">
        <v>0.105</v>
      </c>
      <c r="M42" s="18">
        <v>0.105</v>
      </c>
      <c r="N42" s="18">
        <v>0.105</v>
      </c>
      <c r="O42" s="18">
        <v>0.105</v>
      </c>
    </row>
    <row r="43" spans="2:17" ht="12" customHeight="1">
      <c r="B43" s="59" t="s">
        <v>50</v>
      </c>
      <c r="K43" s="18">
        <v>0.1</v>
      </c>
      <c r="L43" s="18">
        <v>0.1</v>
      </c>
      <c r="M43" s="18">
        <v>0.1</v>
      </c>
      <c r="N43" s="18">
        <v>0.1</v>
      </c>
      <c r="O43" s="18">
        <v>0.1</v>
      </c>
    </row>
    <row r="44" spans="2:17">
      <c r="B44" s="57" t="s">
        <v>135</v>
      </c>
      <c r="C44" s="4">
        <f>(C$15/C$5)*360</f>
        <v>44.499664253994631</v>
      </c>
      <c r="D44" s="4">
        <f t="shared" ref="D44:J44" si="30">(D$15/D$5)*360</f>
        <v>39.633569739952719</v>
      </c>
      <c r="E44" s="4">
        <f t="shared" si="30"/>
        <v>51.583797114992223</v>
      </c>
      <c r="F44" s="4">
        <f t="shared" si="30"/>
        <v>38.721343443541045</v>
      </c>
      <c r="G44" s="4">
        <f t="shared" si="30"/>
        <v>44.577532725233525</v>
      </c>
      <c r="H44" s="4">
        <f t="shared" si="30"/>
        <v>42.156804016917761</v>
      </c>
      <c r="I44" s="4">
        <f t="shared" si="30"/>
        <v>47.616537180910093</v>
      </c>
      <c r="J44" s="4">
        <f t="shared" si="30"/>
        <v>44.56079566217938</v>
      </c>
      <c r="K44" s="127">
        <f>CHOOSE($C$26,K45,K46,K47)</f>
        <v>45</v>
      </c>
      <c r="L44" s="128">
        <f t="shared" ref="L44:O44" si="31">CHOOSE($C$26,L45,L46,L47)</f>
        <v>45</v>
      </c>
      <c r="M44" s="128">
        <f t="shared" si="31"/>
        <v>45</v>
      </c>
      <c r="N44" s="128">
        <f t="shared" si="31"/>
        <v>45</v>
      </c>
      <c r="O44" s="129">
        <f t="shared" si="31"/>
        <v>45</v>
      </c>
      <c r="Q44" s="404" t="s">
        <v>35</v>
      </c>
    </row>
    <row r="45" spans="2:17">
      <c r="B45" s="59" t="s">
        <v>48</v>
      </c>
      <c r="K45" s="4">
        <v>42</v>
      </c>
      <c r="L45" s="4">
        <v>42</v>
      </c>
      <c r="M45" s="4">
        <v>42</v>
      </c>
      <c r="N45" s="4">
        <v>42</v>
      </c>
      <c r="O45" s="4">
        <v>42</v>
      </c>
    </row>
    <row r="46" spans="2:17">
      <c r="B46" s="59" t="s">
        <v>49</v>
      </c>
      <c r="K46" s="4">
        <v>45</v>
      </c>
      <c r="L46" s="4">
        <v>45</v>
      </c>
      <c r="M46" s="4">
        <v>45</v>
      </c>
      <c r="N46" s="4">
        <v>45</v>
      </c>
      <c r="O46" s="4">
        <v>45</v>
      </c>
    </row>
    <row r="47" spans="2:17">
      <c r="B47" s="59" t="s">
        <v>50</v>
      </c>
      <c r="K47" s="4">
        <v>48</v>
      </c>
      <c r="L47" s="4">
        <v>48</v>
      </c>
      <c r="M47" s="4">
        <v>48</v>
      </c>
      <c r="N47" s="4">
        <v>48</v>
      </c>
      <c r="O47" s="4">
        <v>48</v>
      </c>
    </row>
    <row r="48" spans="2:17">
      <c r="B48" s="57" t="s">
        <v>136</v>
      </c>
      <c r="C48" s="18">
        <f>C$16/C$5</f>
        <v>0.42874022904926379</v>
      </c>
      <c r="D48" s="18">
        <f t="shared" ref="D48:J48" si="32">D$16/D$5</f>
        <v>0.45831401906704367</v>
      </c>
      <c r="E48" s="18">
        <f t="shared" si="32"/>
        <v>0.43552498506632914</v>
      </c>
      <c r="F48" s="18">
        <f t="shared" si="32"/>
        <v>0.48437134868129478</v>
      </c>
      <c r="G48" s="18">
        <f t="shared" si="32"/>
        <v>0.46999435298546677</v>
      </c>
      <c r="H48" s="18">
        <f t="shared" si="32"/>
        <v>0.47598262438881078</v>
      </c>
      <c r="I48" s="18">
        <f t="shared" si="32"/>
        <v>0.44649463559008506</v>
      </c>
      <c r="J48" s="18">
        <f t="shared" si="32"/>
        <v>0.52345800946182186</v>
      </c>
      <c r="K48" s="130">
        <f>CHOOSE($C$26,K49,K50,K51)</f>
        <v>0.48</v>
      </c>
      <c r="L48" s="131">
        <f t="shared" ref="L48:O48" si="33">CHOOSE($C$26,L49,L50,L51)</f>
        <v>0.48</v>
      </c>
      <c r="M48" s="131">
        <f t="shared" si="33"/>
        <v>0.48</v>
      </c>
      <c r="N48" s="131">
        <f t="shared" si="33"/>
        <v>0.48</v>
      </c>
      <c r="O48" s="132">
        <f t="shared" si="33"/>
        <v>0.48</v>
      </c>
      <c r="Q48" s="404" t="s">
        <v>138</v>
      </c>
    </row>
    <row r="49" spans="2:17">
      <c r="B49" s="59" t="s">
        <v>48</v>
      </c>
      <c r="C49" s="18"/>
      <c r="D49" s="18"/>
      <c r="E49" s="18"/>
      <c r="F49" s="18"/>
      <c r="G49" s="18"/>
      <c r="H49" s="18"/>
      <c r="I49" s="18"/>
      <c r="K49" s="18">
        <v>0.47</v>
      </c>
      <c r="L49" s="18">
        <v>0.47</v>
      </c>
      <c r="M49" s="18">
        <v>0.47</v>
      </c>
      <c r="N49" s="18">
        <v>0.47</v>
      </c>
      <c r="O49" s="18">
        <v>0.47</v>
      </c>
    </row>
    <row r="50" spans="2:17">
      <c r="B50" s="59" t="s">
        <v>49</v>
      </c>
      <c r="C50" s="18"/>
      <c r="D50" s="18"/>
      <c r="E50" s="18"/>
      <c r="F50" s="18"/>
      <c r="G50" s="18"/>
      <c r="H50" s="18"/>
      <c r="I50" s="18"/>
      <c r="K50" s="18">
        <v>0.48</v>
      </c>
      <c r="L50" s="18">
        <v>0.48</v>
      </c>
      <c r="M50" s="18">
        <v>0.48</v>
      </c>
      <c r="N50" s="18">
        <v>0.48</v>
      </c>
      <c r="O50" s="18">
        <v>0.48</v>
      </c>
    </row>
    <row r="51" spans="2:17">
      <c r="B51" s="59" t="s">
        <v>50</v>
      </c>
      <c r="C51" s="18"/>
      <c r="D51" s="18"/>
      <c r="E51" s="18"/>
      <c r="F51" s="18"/>
      <c r="G51" s="18"/>
      <c r="H51" s="18"/>
      <c r="I51" s="18"/>
      <c r="K51" s="18">
        <v>0.49</v>
      </c>
      <c r="L51" s="18">
        <v>0.49</v>
      </c>
      <c r="M51" s="18">
        <v>0.49</v>
      </c>
      <c r="N51" s="18">
        <v>0.49</v>
      </c>
      <c r="O51" s="18">
        <v>0.49</v>
      </c>
    </row>
    <row r="52" spans="2:17">
      <c r="B52" s="57" t="s">
        <v>105</v>
      </c>
      <c r="C52" s="18">
        <f>C$17/C$5</f>
        <v>0.25802173259778372</v>
      </c>
      <c r="D52" s="18">
        <f t="shared" ref="D52:J52" si="34">D$17/D$5</f>
        <v>0.27135192138321051</v>
      </c>
      <c r="E52" s="18">
        <f t="shared" si="34"/>
        <v>0.28067415420222652</v>
      </c>
      <c r="F52" s="18">
        <f t="shared" si="34"/>
        <v>0.29107406183772633</v>
      </c>
      <c r="G52" s="18">
        <f t="shared" si="34"/>
        <v>0.26451753319581806</v>
      </c>
      <c r="H52" s="18">
        <f t="shared" si="34"/>
        <v>0.28116135013916893</v>
      </c>
      <c r="I52" s="18">
        <f t="shared" si="34"/>
        <v>0.28883609261314591</v>
      </c>
      <c r="J52" s="18">
        <f t="shared" si="34"/>
        <v>0.27649458266254484</v>
      </c>
      <c r="K52" s="130">
        <f>CHOOSE($C$26,K53,K54,K55)</f>
        <v>0.27</v>
      </c>
      <c r="L52" s="131">
        <f t="shared" ref="L52:O52" si="35">CHOOSE($C$26,L53,L54,L55)</f>
        <v>0.27</v>
      </c>
      <c r="M52" s="131">
        <f t="shared" si="35"/>
        <v>0.27</v>
      </c>
      <c r="N52" s="131">
        <f t="shared" si="35"/>
        <v>0.27</v>
      </c>
      <c r="O52" s="132">
        <f t="shared" si="35"/>
        <v>0.27</v>
      </c>
      <c r="Q52" s="404" t="s">
        <v>140</v>
      </c>
    </row>
    <row r="53" spans="2:17">
      <c r="B53" s="59" t="s">
        <v>48</v>
      </c>
      <c r="K53" s="18">
        <v>0.26</v>
      </c>
      <c r="L53" s="18">
        <v>0.26</v>
      </c>
      <c r="M53" s="18">
        <v>0.26</v>
      </c>
      <c r="N53" s="18">
        <v>0.26</v>
      </c>
      <c r="O53" s="18">
        <v>0.26</v>
      </c>
    </row>
    <row r="54" spans="2:17">
      <c r="B54" s="59" t="s">
        <v>49</v>
      </c>
      <c r="K54" s="18">
        <v>0.27</v>
      </c>
      <c r="L54" s="18">
        <v>0.27</v>
      </c>
      <c r="M54" s="18">
        <v>0.27</v>
      </c>
      <c r="N54" s="18">
        <v>0.27</v>
      </c>
      <c r="O54" s="18">
        <v>0.27</v>
      </c>
    </row>
    <row r="55" spans="2:17">
      <c r="B55" s="59" t="s">
        <v>50</v>
      </c>
      <c r="K55" s="18">
        <v>0.28000000000000003</v>
      </c>
      <c r="L55" s="18">
        <v>0.28000000000000003</v>
      </c>
      <c r="M55" s="18">
        <v>0.28000000000000003</v>
      </c>
      <c r="N55" s="18">
        <v>0.28000000000000003</v>
      </c>
      <c r="O55" s="18">
        <v>0.28000000000000003</v>
      </c>
    </row>
    <row r="56" spans="2:17">
      <c r="B56" s="57" t="s">
        <v>104</v>
      </c>
      <c r="C56" s="18">
        <f>C$14/C$5</f>
        <v>0.407732916835158</v>
      </c>
      <c r="D56" s="18">
        <f t="shared" ref="D56:J56" si="36">D$14/D$5</f>
        <v>0.37065622151145722</v>
      </c>
      <c r="E56" s="18">
        <f t="shared" si="36"/>
        <v>0.36961180341571986</v>
      </c>
      <c r="F56" s="18">
        <f t="shared" si="36"/>
        <v>0.36301662382452721</v>
      </c>
      <c r="G56" s="18">
        <f t="shared" si="36"/>
        <v>0.43708480717798293</v>
      </c>
      <c r="H56" s="18">
        <f t="shared" si="36"/>
        <v>0.3743654410768758</v>
      </c>
      <c r="I56" s="18">
        <f t="shared" si="36"/>
        <v>0.37062214823036133</v>
      </c>
      <c r="J56" s="18">
        <f t="shared" si="36"/>
        <v>0.3639700145186619</v>
      </c>
      <c r="K56" s="130">
        <f>CHOOSE($C$26,K57,K58,K59)</f>
        <v>0.35</v>
      </c>
      <c r="L56" s="131">
        <f t="shared" ref="L56:O56" si="37">CHOOSE($C$26,L57,L58,L59)</f>
        <v>0.35</v>
      </c>
      <c r="M56" s="131">
        <f t="shared" si="37"/>
        <v>0.35</v>
      </c>
      <c r="N56" s="131">
        <f t="shared" si="37"/>
        <v>0.35</v>
      </c>
      <c r="O56" s="132">
        <f t="shared" si="37"/>
        <v>0.35</v>
      </c>
      <c r="Q56" s="404" t="s">
        <v>313</v>
      </c>
    </row>
    <row r="57" spans="2:17">
      <c r="B57" s="59" t="s">
        <v>48</v>
      </c>
      <c r="C57" s="9"/>
      <c r="K57" s="18">
        <v>0.34</v>
      </c>
      <c r="L57" s="18">
        <v>0.34</v>
      </c>
      <c r="M57" s="18">
        <v>0.34</v>
      </c>
      <c r="N57" s="18">
        <v>0.34</v>
      </c>
      <c r="O57" s="18">
        <v>0.34</v>
      </c>
    </row>
    <row r="58" spans="2:17">
      <c r="B58" s="59" t="s">
        <v>49</v>
      </c>
      <c r="K58" s="18">
        <v>0.35</v>
      </c>
      <c r="L58" s="18">
        <v>0.35</v>
      </c>
      <c r="M58" s="18">
        <v>0.35</v>
      </c>
      <c r="N58" s="18">
        <v>0.35</v>
      </c>
      <c r="O58" s="18">
        <v>0.35</v>
      </c>
    </row>
    <row r="59" spans="2:17">
      <c r="B59" s="59" t="s">
        <v>50</v>
      </c>
      <c r="K59" s="18">
        <v>0.36</v>
      </c>
      <c r="L59" s="18">
        <v>0.36</v>
      </c>
      <c r="M59" s="18">
        <v>0.36</v>
      </c>
      <c r="N59" s="18">
        <v>0.36</v>
      </c>
      <c r="O59" s="18">
        <v>0.36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4616-B2A0-4C72-AF2E-B27956E53F8B}">
  <sheetPr>
    <tabColor rgb="FF002060"/>
  </sheetPr>
  <dimension ref="B11"/>
  <sheetViews>
    <sheetView workbookViewId="0"/>
  </sheetViews>
  <sheetFormatPr defaultRowHeight="14.5"/>
  <cols>
    <col min="1" max="1" width="23" style="96" customWidth="1"/>
    <col min="2" max="2" width="12.453125" style="96" customWidth="1"/>
    <col min="3" max="16384" width="8.7265625" style="96"/>
  </cols>
  <sheetData>
    <row r="11" spans="2:2" ht="50.5">
      <c r="B11" s="33" t="s">
        <v>309</v>
      </c>
    </row>
  </sheetData>
  <dataValidations count="1">
    <dataValidation type="list" allowBlank="1" showInputMessage="1" showErrorMessage="1" sqref="B3" xr:uid="{CA90F13E-F6C6-42C5-AEA9-8026C35D98E3}">
      <formula1>"1,2,3"</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5143-AC64-4B42-A0F3-09A9A7A84246}">
  <sheetPr codeName="Sheet15">
    <tabColor theme="7" tint="-0.249977111117893"/>
  </sheetPr>
  <dimension ref="B1:S47"/>
  <sheetViews>
    <sheetView zoomScale="80" zoomScaleNormal="80" workbookViewId="0"/>
  </sheetViews>
  <sheetFormatPr defaultColWidth="9.08984375" defaultRowHeight="11.5"/>
  <cols>
    <col min="1" max="1" width="2" style="4" customWidth="1"/>
    <col min="2" max="2" width="40.08984375" style="4" customWidth="1"/>
    <col min="3" max="3" width="11.1796875" style="4" customWidth="1"/>
    <col min="4" max="4" width="11.453125" style="4" bestFit="1" customWidth="1"/>
    <col min="5" max="5" width="9.54296875" style="4" customWidth="1"/>
    <col min="6" max="6" width="11.453125" style="4" bestFit="1" customWidth="1"/>
    <col min="7" max="9" width="11.453125" style="4" customWidth="1"/>
    <col min="10" max="10" width="10.1796875" style="4" customWidth="1"/>
    <col min="11" max="11" width="12.6328125" style="4" bestFit="1" customWidth="1"/>
    <col min="12" max="15" width="10.26953125" style="4" bestFit="1" customWidth="1"/>
    <col min="16" max="16" width="2" style="4" customWidth="1"/>
    <col min="17" max="17" width="10.54296875" style="404" customWidth="1"/>
    <col min="18" max="16384" width="9.08984375" style="4"/>
  </cols>
  <sheetData>
    <row r="1" spans="2:19" ht="15.5">
      <c r="B1" s="3" t="s">
        <v>310</v>
      </c>
    </row>
    <row r="3" spans="2:19" ht="23.5" thickBot="1">
      <c r="B3" s="11" t="s">
        <v>182</v>
      </c>
      <c r="C3" s="12" t="s">
        <v>430</v>
      </c>
      <c r="D3" s="12" t="s">
        <v>431</v>
      </c>
      <c r="E3" s="12" t="s">
        <v>432</v>
      </c>
      <c r="F3" s="12" t="s">
        <v>433</v>
      </c>
      <c r="G3" s="12" t="s">
        <v>434</v>
      </c>
      <c r="H3" s="12" t="s">
        <v>435</v>
      </c>
      <c r="I3" s="12" t="s">
        <v>436</v>
      </c>
      <c r="J3" s="12" t="s">
        <v>437</v>
      </c>
      <c r="K3" s="13" t="s">
        <v>440</v>
      </c>
      <c r="L3" s="13" t="s">
        <v>441</v>
      </c>
      <c r="M3" s="13" t="s">
        <v>442</v>
      </c>
      <c r="N3" s="13" t="s">
        <v>443</v>
      </c>
      <c r="O3" s="13" t="s">
        <v>444</v>
      </c>
      <c r="Q3" s="405" t="s">
        <v>21</v>
      </c>
      <c r="R3" s="16"/>
      <c r="S3" s="16"/>
    </row>
    <row r="4" spans="2:19">
      <c r="B4" s="57" t="s">
        <v>184</v>
      </c>
      <c r="C4" s="9">
        <f>BS!C11</f>
        <v>251524</v>
      </c>
      <c r="D4" s="9">
        <f>BS!D11</f>
        <v>251526</v>
      </c>
      <c r="E4" s="9">
        <f>BS!E11</f>
        <v>251559</v>
      </c>
      <c r="F4" s="9">
        <f>BS!F11</f>
        <v>251529</v>
      </c>
      <c r="G4" s="9">
        <f>BS!G11</f>
        <v>251727</v>
      </c>
      <c r="H4" s="9">
        <f>BS!H11</f>
        <v>251771</v>
      </c>
      <c r="I4" s="9">
        <f>BS!I11</f>
        <v>252039</v>
      </c>
      <c r="J4" s="9">
        <f>BS!J11</f>
        <v>252015</v>
      </c>
      <c r="K4" s="19">
        <f>J4*(1+K$22)</f>
        <v>252115.80599999998</v>
      </c>
      <c r="L4" s="19">
        <f>K4*(1+L$22)</f>
        <v>252216.65232239998</v>
      </c>
      <c r="M4" s="19">
        <f>L4*(1+M$22)</f>
        <v>252317.53898332894</v>
      </c>
      <c r="N4" s="19">
        <f>M4*(1+N$22)</f>
        <v>252418.46599892227</v>
      </c>
      <c r="O4" s="19">
        <f>N4*(1+O$22)</f>
        <v>252519.43338532184</v>
      </c>
    </row>
    <row r="5" spans="2:19">
      <c r="B5" s="4" t="s">
        <v>98</v>
      </c>
      <c r="C5" s="9">
        <f>BS!C12</f>
        <v>1268986</v>
      </c>
      <c r="D5" s="9">
        <f>BS!D12</f>
        <v>1259026</v>
      </c>
      <c r="E5" s="9">
        <f>BS!E12</f>
        <v>1280758</v>
      </c>
      <c r="F5" s="9">
        <f>BS!F12</f>
        <v>1307345</v>
      </c>
      <c r="G5" s="9">
        <f>BS!G12</f>
        <v>1302150</v>
      </c>
      <c r="H5" s="9">
        <f>BS!H12</f>
        <v>1310319</v>
      </c>
      <c r="I5" s="9">
        <f>BS!I12</f>
        <v>1338155</v>
      </c>
      <c r="J5" s="9">
        <f>BS!J12</f>
        <v>1361826</v>
      </c>
      <c r="K5" s="19">
        <f>J5*(1+K$26)</f>
        <v>1367273.304</v>
      </c>
      <c r="L5" s="19">
        <f>K5*(1+L$26)</f>
        <v>1372742.3972159999</v>
      </c>
      <c r="M5" s="19">
        <f t="shared" ref="M5:O5" si="0">L5*(1+M$26)</f>
        <v>1378233.3668048638</v>
      </c>
      <c r="N5" s="19">
        <f t="shared" si="0"/>
        <v>1383746.3002720831</v>
      </c>
      <c r="O5" s="19">
        <f t="shared" si="0"/>
        <v>1389281.2854731714</v>
      </c>
    </row>
    <row r="6" spans="2:19">
      <c r="B6" s="57" t="s">
        <v>185</v>
      </c>
      <c r="C6" s="9">
        <f>BS!C13</f>
        <v>162891</v>
      </c>
      <c r="D6" s="9">
        <f>BS!D13</f>
        <v>163405</v>
      </c>
      <c r="E6" s="9">
        <f>BS!E13</f>
        <v>167905</v>
      </c>
      <c r="F6" s="9">
        <f>BS!F13</f>
        <v>167971</v>
      </c>
      <c r="G6" s="9">
        <f>BS!G13</f>
        <v>194615</v>
      </c>
      <c r="H6" s="9">
        <f>BS!H13</f>
        <v>198168</v>
      </c>
      <c r="I6" s="9">
        <f>BS!I13</f>
        <v>201018</v>
      </c>
      <c r="J6" s="9">
        <f>BS!J13</f>
        <v>206016</v>
      </c>
      <c r="K6" s="19">
        <f>J6*(1+K$30)</f>
        <v>209930.30399999997</v>
      </c>
      <c r="L6" s="19">
        <f>K6*(1+L$30)</f>
        <v>213918.97977599996</v>
      </c>
      <c r="M6" s="19">
        <f t="shared" ref="M6:O6" si="1">L6*(1+M$30)</f>
        <v>217983.44039174393</v>
      </c>
      <c r="N6" s="19">
        <f t="shared" si="1"/>
        <v>222125.12575918704</v>
      </c>
      <c r="O6" s="19">
        <f t="shared" si="1"/>
        <v>226345.50314861158</v>
      </c>
    </row>
    <row r="7" spans="2:19" ht="12">
      <c r="B7" s="95" t="s">
        <v>186</v>
      </c>
      <c r="C7" s="101">
        <f t="shared" ref="C7:O7" si="2">SUM(C4:C6)</f>
        <v>1683401</v>
      </c>
      <c r="D7" s="101">
        <f t="shared" si="2"/>
        <v>1673957</v>
      </c>
      <c r="E7" s="101">
        <f t="shared" si="2"/>
        <v>1700222</v>
      </c>
      <c r="F7" s="101">
        <f t="shared" si="2"/>
        <v>1726845</v>
      </c>
      <c r="G7" s="101">
        <f t="shared" ref="G7:J7" si="3">SUM(G4:G6)</f>
        <v>1748492</v>
      </c>
      <c r="H7" s="101">
        <f t="shared" si="3"/>
        <v>1760258</v>
      </c>
      <c r="I7" s="101">
        <f t="shared" si="3"/>
        <v>1791212</v>
      </c>
      <c r="J7" s="101">
        <f t="shared" si="3"/>
        <v>1819857</v>
      </c>
      <c r="K7" s="102">
        <f t="shared" si="2"/>
        <v>1829319.4139999999</v>
      </c>
      <c r="L7" s="102">
        <f t="shared" si="2"/>
        <v>1838878.0293143997</v>
      </c>
      <c r="M7" s="102">
        <f t="shared" si="2"/>
        <v>1848534.3461799368</v>
      </c>
      <c r="N7" s="102">
        <f t="shared" si="2"/>
        <v>1858289.8920301925</v>
      </c>
      <c r="O7" s="102">
        <f t="shared" si="2"/>
        <v>1868146.2220071049</v>
      </c>
      <c r="Q7" s="411"/>
    </row>
    <row r="8" spans="2:19" ht="12">
      <c r="B8" s="100" t="s">
        <v>187</v>
      </c>
      <c r="C8" s="99"/>
      <c r="D8" s="99">
        <f>C7-D7</f>
        <v>9444</v>
      </c>
      <c r="E8" s="99">
        <f t="shared" ref="E8:J8" si="4">D7-E7</f>
        <v>-26265</v>
      </c>
      <c r="F8" s="99">
        <f t="shared" si="4"/>
        <v>-26623</v>
      </c>
      <c r="G8" s="99">
        <f t="shared" si="4"/>
        <v>-21647</v>
      </c>
      <c r="H8" s="99">
        <f t="shared" si="4"/>
        <v>-11766</v>
      </c>
      <c r="I8" s="99">
        <f t="shared" si="4"/>
        <v>-30954</v>
      </c>
      <c r="J8" s="99">
        <f t="shared" si="4"/>
        <v>-28645</v>
      </c>
      <c r="K8" s="274">
        <f>J7-K7</f>
        <v>-9462.4139999998733</v>
      </c>
      <c r="L8" s="274">
        <f>K7-L7</f>
        <v>-9558.6153143998235</v>
      </c>
      <c r="M8" s="274">
        <f t="shared" ref="M8:O8" si="5">L7-M7</f>
        <v>-9656.3168655370828</v>
      </c>
      <c r="N8" s="274">
        <f t="shared" si="5"/>
        <v>-9755.5458502557594</v>
      </c>
      <c r="O8" s="274">
        <f t="shared" si="5"/>
        <v>-9856.3299769123551</v>
      </c>
      <c r="Q8" s="411" t="s">
        <v>311</v>
      </c>
    </row>
    <row r="9" spans="2:19" ht="12">
      <c r="B9" s="95"/>
      <c r="C9" s="93"/>
      <c r="D9" s="93"/>
      <c r="E9" s="93"/>
      <c r="F9" s="93"/>
      <c r="G9" s="93"/>
      <c r="H9" s="93"/>
      <c r="I9" s="93"/>
      <c r="J9" s="93"/>
      <c r="K9" s="19"/>
      <c r="L9" s="19"/>
      <c r="M9" s="19"/>
      <c r="N9" s="19"/>
      <c r="O9" s="19"/>
      <c r="Q9" s="411"/>
    </row>
    <row r="10" spans="2:19" ht="12" customHeight="1">
      <c r="B10" s="17" t="s">
        <v>183</v>
      </c>
      <c r="C10" s="9"/>
      <c r="D10" s="9"/>
      <c r="E10" s="9"/>
      <c r="F10" s="9"/>
      <c r="G10" s="9"/>
      <c r="H10" s="9"/>
      <c r="I10" s="9"/>
      <c r="J10" s="9"/>
      <c r="K10" s="19"/>
      <c r="L10" s="19"/>
      <c r="M10" s="19"/>
      <c r="N10" s="19"/>
      <c r="O10" s="19"/>
      <c r="Q10" s="411"/>
    </row>
    <row r="11" spans="2:19" ht="12" customHeight="1">
      <c r="B11" s="4" t="s">
        <v>105</v>
      </c>
      <c r="C11" s="9">
        <f>BS!C23</f>
        <v>1233497</v>
      </c>
      <c r="D11" s="9">
        <f>BS!D23</f>
        <v>1218024</v>
      </c>
      <c r="E11" s="9">
        <f>BS!E23</f>
        <v>1228664</v>
      </c>
      <c r="F11" s="9">
        <f>BS!F23</f>
        <v>1246819</v>
      </c>
      <c r="G11" s="9">
        <f>BS!G23</f>
        <v>1254955</v>
      </c>
      <c r="H11" s="9">
        <f>BS!H23</f>
        <v>1243276</v>
      </c>
      <c r="I11" s="9">
        <f>BS!I23</f>
        <v>1258933</v>
      </c>
      <c r="J11" s="9">
        <f>BS!J23</f>
        <v>1276951</v>
      </c>
      <c r="K11" s="19">
        <f>J11*(1+K$34)</f>
        <v>1287166.608</v>
      </c>
      <c r="L11" s="19">
        <f>K11*(1+L$34)</f>
        <v>1297463.940864</v>
      </c>
      <c r="M11" s="19">
        <f t="shared" ref="M11:O11" si="6">L11*(1+M$34)</f>
        <v>1307843.6523909119</v>
      </c>
      <c r="N11" s="19">
        <f t="shared" si="6"/>
        <v>1318306.4016100392</v>
      </c>
      <c r="O11" s="19">
        <f t="shared" si="6"/>
        <v>1328852.8528229196</v>
      </c>
      <c r="Q11" s="411"/>
    </row>
    <row r="12" spans="2:19" ht="12" customHeight="1">
      <c r="B12" s="4" t="s">
        <v>119</v>
      </c>
      <c r="C12" s="9">
        <f>BS!C24</f>
        <v>125010</v>
      </c>
      <c r="D12" s="9">
        <f>BS!D24</f>
        <v>129394</v>
      </c>
      <c r="E12" s="9">
        <f>BS!E24</f>
        <v>122649</v>
      </c>
      <c r="F12" s="9">
        <f>BS!F24</f>
        <v>120364</v>
      </c>
      <c r="G12" s="9">
        <f>BS!G24</f>
        <v>136648</v>
      </c>
      <c r="H12" s="9">
        <f>BS!H24</f>
        <v>136874</v>
      </c>
      <c r="I12" s="9">
        <f>BS!I24</f>
        <v>133017</v>
      </c>
      <c r="J12" s="9">
        <f>BS!J24</f>
        <v>139007</v>
      </c>
      <c r="K12" s="19">
        <f>J12*(1+K$38)</f>
        <v>141370.11899999998</v>
      </c>
      <c r="L12" s="19">
        <f>K12*(1+L$38)</f>
        <v>143773.41102299996</v>
      </c>
      <c r="M12" s="19">
        <f t="shared" ref="M12:O12" si="7">L12*(1+M$38)</f>
        <v>146217.55901039095</v>
      </c>
      <c r="N12" s="19">
        <f t="shared" si="7"/>
        <v>148703.25751356757</v>
      </c>
      <c r="O12" s="19">
        <f t="shared" si="7"/>
        <v>151231.2128912982</v>
      </c>
      <c r="Q12" s="411"/>
    </row>
    <row r="13" spans="2:19" ht="12" customHeight="1">
      <c r="B13" s="95" t="s">
        <v>188</v>
      </c>
      <c r="C13" s="103">
        <f>SUM(C11:C12)</f>
        <v>1358507</v>
      </c>
      <c r="D13" s="103">
        <f t="shared" ref="D13:F13" si="8">SUM(D11:D12)</f>
        <v>1347418</v>
      </c>
      <c r="E13" s="103">
        <f t="shared" si="8"/>
        <v>1351313</v>
      </c>
      <c r="F13" s="103">
        <f t="shared" si="8"/>
        <v>1367183</v>
      </c>
      <c r="G13" s="103">
        <f t="shared" ref="G13:J13" si="9">SUM(G11:G12)</f>
        <v>1391603</v>
      </c>
      <c r="H13" s="103">
        <f t="shared" si="9"/>
        <v>1380150</v>
      </c>
      <c r="I13" s="103">
        <f t="shared" si="9"/>
        <v>1391950</v>
      </c>
      <c r="J13" s="103">
        <f t="shared" si="9"/>
        <v>1415958</v>
      </c>
      <c r="K13" s="104">
        <f>SUM(K11:K12)</f>
        <v>1428536.727</v>
      </c>
      <c r="L13" s="104">
        <f t="shared" ref="L13:O13" si="10">SUM(L11:L12)</f>
        <v>1441237.351887</v>
      </c>
      <c r="M13" s="104">
        <f t="shared" si="10"/>
        <v>1454061.2114013028</v>
      </c>
      <c r="N13" s="104">
        <f t="shared" si="10"/>
        <v>1467009.6591236067</v>
      </c>
      <c r="O13" s="104">
        <f t="shared" si="10"/>
        <v>1480084.0657142177</v>
      </c>
      <c r="Q13" s="411"/>
    </row>
    <row r="14" spans="2:19" ht="12" customHeight="1">
      <c r="B14" s="85" t="s">
        <v>193</v>
      </c>
      <c r="C14" s="9"/>
      <c r="D14" s="99">
        <f>D13-C13</f>
        <v>-11089</v>
      </c>
      <c r="E14" s="99">
        <f>E13-D13</f>
        <v>3895</v>
      </c>
      <c r="F14" s="99">
        <f t="shared" ref="F14" si="11">F13-E13</f>
        <v>15870</v>
      </c>
      <c r="G14" s="99">
        <f t="shared" ref="G14" si="12">G13-F13</f>
        <v>24420</v>
      </c>
      <c r="H14" s="99">
        <f t="shared" ref="H14" si="13">H13-G13</f>
        <v>-11453</v>
      </c>
      <c r="I14" s="99">
        <f t="shared" ref="I14" si="14">I13-H13</f>
        <v>11800</v>
      </c>
      <c r="J14" s="99">
        <f t="shared" ref="J14" si="15">J13-I13</f>
        <v>24008</v>
      </c>
      <c r="K14" s="274">
        <f>K13-J13</f>
        <v>12578.726999999955</v>
      </c>
      <c r="L14" s="274">
        <f>L13-K13</f>
        <v>12700.624887000071</v>
      </c>
      <c r="M14" s="274">
        <f t="shared" ref="M14:O14" si="16">M13-L13</f>
        <v>12823.859514302807</v>
      </c>
      <c r="N14" s="274">
        <f t="shared" si="16"/>
        <v>12948.447722303914</v>
      </c>
      <c r="O14" s="274">
        <f t="shared" si="16"/>
        <v>13074.406590610975</v>
      </c>
      <c r="Q14" s="411" t="s">
        <v>312</v>
      </c>
    </row>
    <row r="15" spans="2:19" ht="12" customHeight="1">
      <c r="C15" s="9"/>
      <c r="D15" s="9"/>
      <c r="E15" s="9"/>
      <c r="F15" s="9"/>
      <c r="G15" s="9"/>
      <c r="H15" s="9"/>
      <c r="I15" s="9"/>
      <c r="J15" s="9"/>
      <c r="K15" s="19"/>
      <c r="L15" s="19"/>
      <c r="M15" s="19"/>
      <c r="N15" s="19"/>
      <c r="O15" s="19"/>
      <c r="Q15" s="411"/>
    </row>
    <row r="16" spans="2:19" ht="12" customHeight="1">
      <c r="B16" s="4" t="s">
        <v>194</v>
      </c>
      <c r="C16" s="50"/>
      <c r="D16" s="137">
        <f>D8+D14</f>
        <v>-1645</v>
      </c>
      <c r="E16" s="137">
        <f t="shared" ref="E16:F16" si="17">E8+E14</f>
        <v>-22370</v>
      </c>
      <c r="F16" s="137">
        <f t="shared" si="17"/>
        <v>-10753</v>
      </c>
      <c r="G16" s="137">
        <f t="shared" ref="G16:I16" si="18">G8+G14</f>
        <v>2773</v>
      </c>
      <c r="H16" s="137">
        <f t="shared" si="18"/>
        <v>-23219</v>
      </c>
      <c r="I16" s="137">
        <f t="shared" si="18"/>
        <v>-19154</v>
      </c>
      <c r="J16" s="137">
        <f>J8+J14</f>
        <v>-4637</v>
      </c>
      <c r="K16" s="402">
        <f>K8+K14</f>
        <v>3116.313000000082</v>
      </c>
      <c r="L16" s="402">
        <f t="shared" ref="L16:O16" si="19">L8+L14</f>
        <v>3142.0095726002473</v>
      </c>
      <c r="M16" s="402">
        <f t="shared" si="19"/>
        <v>3167.5426487657242</v>
      </c>
      <c r="N16" s="402">
        <f t="shared" si="19"/>
        <v>3192.9018720481545</v>
      </c>
      <c r="O16" s="402">
        <f t="shared" si="19"/>
        <v>3218.0766136986203</v>
      </c>
      <c r="P16" s="96"/>
      <c r="Q16" s="411"/>
    </row>
    <row r="17" spans="2:19" ht="12" customHeight="1">
      <c r="B17" s="57"/>
      <c r="C17" s="50"/>
      <c r="D17" s="50"/>
      <c r="E17" s="50"/>
      <c r="F17" s="50"/>
      <c r="G17" s="50"/>
      <c r="H17" s="50"/>
      <c r="I17" s="50"/>
      <c r="J17" s="96"/>
      <c r="K17" s="96"/>
      <c r="L17" s="96"/>
      <c r="M17" s="96"/>
      <c r="N17" s="96"/>
      <c r="O17" s="96"/>
      <c r="P17" s="96"/>
      <c r="Q17" s="411"/>
    </row>
    <row r="18" spans="2:19" ht="12" customHeight="1">
      <c r="B18" s="85"/>
      <c r="C18" s="50"/>
      <c r="D18" s="50"/>
      <c r="E18" s="50"/>
      <c r="F18" s="50"/>
      <c r="G18" s="50"/>
      <c r="H18" s="50"/>
      <c r="I18" s="50"/>
      <c r="J18" s="96"/>
      <c r="K18" s="96"/>
      <c r="L18" s="96"/>
      <c r="M18" s="96"/>
      <c r="N18" s="96"/>
      <c r="O18" s="96"/>
      <c r="P18" s="96"/>
      <c r="Q18" s="411"/>
    </row>
    <row r="19" spans="2:19" ht="12" customHeight="1">
      <c r="B19" s="57" t="s">
        <v>86</v>
      </c>
      <c r="C19" s="27">
        <f>'P&amp;L'!$C$36</f>
        <v>2</v>
      </c>
      <c r="D19" s="50"/>
      <c r="E19" s="50"/>
      <c r="F19" s="50"/>
      <c r="G19" s="50"/>
      <c r="H19" s="50"/>
      <c r="I19" s="50"/>
      <c r="J19" s="96"/>
      <c r="K19" s="96"/>
      <c r="L19" s="96"/>
      <c r="M19" s="96"/>
      <c r="N19" s="96"/>
      <c r="O19" s="96"/>
      <c r="P19" s="96"/>
      <c r="Q19" s="411"/>
    </row>
    <row r="20" spans="2:19" ht="12" customHeight="1">
      <c r="B20" s="85"/>
      <c r="C20" s="50"/>
      <c r="D20" s="50"/>
      <c r="E20" s="50"/>
      <c r="F20" s="50"/>
      <c r="G20" s="50"/>
      <c r="H20" s="50"/>
      <c r="I20" s="50"/>
      <c r="J20" s="96"/>
      <c r="K20" s="96"/>
      <c r="L20" s="96"/>
      <c r="M20" s="96"/>
      <c r="N20" s="96"/>
      <c r="O20" s="96"/>
      <c r="P20" s="96"/>
      <c r="Q20" s="411"/>
    </row>
    <row r="21" spans="2:19" ht="12" thickBot="1">
      <c r="B21" s="69" t="s">
        <v>81</v>
      </c>
      <c r="C21" s="69"/>
      <c r="D21" s="69"/>
      <c r="E21" s="69"/>
      <c r="F21" s="69"/>
      <c r="G21" s="69"/>
      <c r="H21" s="69"/>
      <c r="I21" s="69"/>
      <c r="J21" s="69"/>
      <c r="K21" s="69"/>
      <c r="L21" s="69"/>
      <c r="M21" s="69"/>
      <c r="N21" s="69"/>
      <c r="O21" s="69"/>
      <c r="Q21" s="405" t="s">
        <v>21</v>
      </c>
      <c r="R21" s="16"/>
      <c r="S21" s="16"/>
    </row>
    <row r="22" spans="2:19">
      <c r="B22" s="57" t="s">
        <v>189</v>
      </c>
      <c r="C22" s="24">
        <f>C4</f>
        <v>251524</v>
      </c>
      <c r="D22" s="24">
        <f t="shared" ref="D22:F22" si="20">D4</f>
        <v>251526</v>
      </c>
      <c r="E22" s="24">
        <f t="shared" si="20"/>
        <v>251559</v>
      </c>
      <c r="F22" s="24">
        <f t="shared" si="20"/>
        <v>251529</v>
      </c>
      <c r="G22" s="24">
        <f t="shared" ref="G22:J22" si="21">G4</f>
        <v>251727</v>
      </c>
      <c r="H22" s="24">
        <f t="shared" si="21"/>
        <v>251771</v>
      </c>
      <c r="I22" s="24">
        <f t="shared" si="21"/>
        <v>252039</v>
      </c>
      <c r="J22" s="24">
        <f t="shared" si="21"/>
        <v>252015</v>
      </c>
      <c r="K22" s="71">
        <f>CHOOSE($C$19,K23,K24,K25)</f>
        <v>4.0000000000000002E-4</v>
      </c>
      <c r="L22" s="72">
        <f t="shared" ref="L22:O22" si="22">CHOOSE($C$19,L23,L24,L25)</f>
        <v>4.0000000000000002E-4</v>
      </c>
      <c r="M22" s="72">
        <f t="shared" si="22"/>
        <v>4.0000000000000002E-4</v>
      </c>
      <c r="N22" s="72">
        <f t="shared" si="22"/>
        <v>4.0000000000000002E-4</v>
      </c>
      <c r="O22" s="73">
        <f t="shared" si="22"/>
        <v>4.0000000000000002E-4</v>
      </c>
      <c r="Q22" s="411" t="s">
        <v>406</v>
      </c>
    </row>
    <row r="23" spans="2:19">
      <c r="B23" s="59" t="s">
        <v>48</v>
      </c>
      <c r="C23" s="271"/>
      <c r="D23" s="272">
        <f>D22/C22-1</f>
        <v>7.9515274884478515E-6</v>
      </c>
      <c r="E23" s="272">
        <f t="shared" ref="E23:F23" si="23">E22/D22-1</f>
        <v>1.3119916032544587E-4</v>
      </c>
      <c r="F23" s="272">
        <f t="shared" si="23"/>
        <v>-1.1925631760345556E-4</v>
      </c>
      <c r="G23" s="272">
        <f t="shared" ref="G23" si="24">G22/F22-1</f>
        <v>7.8718557303525394E-4</v>
      </c>
      <c r="H23" s="272">
        <f t="shared" ref="H23" si="25">H22/G22-1</f>
        <v>1.7479253318075649E-4</v>
      </c>
      <c r="I23" s="272">
        <f t="shared" ref="I23" si="26">I22/H22-1</f>
        <v>1.0644593698241334E-3</v>
      </c>
      <c r="J23" s="272">
        <f t="shared" ref="J23" si="27">J22/I22-1</f>
        <v>-9.522335828981987E-5</v>
      </c>
      <c r="K23" s="62">
        <v>4.0000000000000002E-4</v>
      </c>
      <c r="L23" s="62">
        <v>4.0000000000000002E-4</v>
      </c>
      <c r="M23" s="62">
        <v>4.0000000000000002E-4</v>
      </c>
      <c r="N23" s="62">
        <v>4.0000000000000002E-4</v>
      </c>
      <c r="O23" s="62">
        <v>4.0000000000000002E-4</v>
      </c>
      <c r="Q23" s="411"/>
    </row>
    <row r="24" spans="2:19">
      <c r="B24" s="59" t="s">
        <v>49</v>
      </c>
      <c r="C24" s="271"/>
      <c r="D24" s="271"/>
      <c r="E24" s="271"/>
      <c r="F24" s="271"/>
      <c r="G24" s="271"/>
      <c r="H24" s="271"/>
      <c r="I24" s="271"/>
      <c r="J24" s="14"/>
      <c r="K24" s="62">
        <v>4.0000000000000002E-4</v>
      </c>
      <c r="L24" s="62">
        <v>4.0000000000000002E-4</v>
      </c>
      <c r="M24" s="62">
        <v>4.0000000000000002E-4</v>
      </c>
      <c r="N24" s="62">
        <v>4.0000000000000002E-4</v>
      </c>
      <c r="O24" s="62">
        <v>4.0000000000000002E-4</v>
      </c>
      <c r="Q24" s="411"/>
    </row>
    <row r="25" spans="2:19">
      <c r="B25" s="59" t="s">
        <v>50</v>
      </c>
      <c r="C25" s="271"/>
      <c r="D25" s="271"/>
      <c r="E25" s="271"/>
      <c r="F25" s="271"/>
      <c r="G25" s="271"/>
      <c r="H25" s="271"/>
      <c r="I25" s="271"/>
      <c r="J25" s="14"/>
      <c r="K25" s="62">
        <v>4.0000000000000002E-4</v>
      </c>
      <c r="L25" s="62">
        <v>4.0000000000000002E-4</v>
      </c>
      <c r="M25" s="62">
        <v>4.0000000000000002E-4</v>
      </c>
      <c r="N25" s="62">
        <v>4.0000000000000002E-4</v>
      </c>
      <c r="O25" s="62">
        <v>4.0000000000000002E-4</v>
      </c>
      <c r="Q25" s="411"/>
    </row>
    <row r="26" spans="2:19">
      <c r="B26" s="4" t="s">
        <v>98</v>
      </c>
      <c r="C26" s="24">
        <f>C5</f>
        <v>1268986</v>
      </c>
      <c r="D26" s="24">
        <f t="shared" ref="D26:F26" si="28">D5</f>
        <v>1259026</v>
      </c>
      <c r="E26" s="24">
        <f t="shared" si="28"/>
        <v>1280758</v>
      </c>
      <c r="F26" s="24">
        <f t="shared" si="28"/>
        <v>1307345</v>
      </c>
      <c r="G26" s="24">
        <f t="shared" ref="G26:J26" si="29">G5</f>
        <v>1302150</v>
      </c>
      <c r="H26" s="24">
        <f t="shared" si="29"/>
        <v>1310319</v>
      </c>
      <c r="I26" s="24">
        <f t="shared" si="29"/>
        <v>1338155</v>
      </c>
      <c r="J26" s="24">
        <f t="shared" si="29"/>
        <v>1361826</v>
      </c>
      <c r="K26" s="71">
        <f>CHOOSE($C$19,K27,K28,K29)</f>
        <v>4.0000000000000001E-3</v>
      </c>
      <c r="L26" s="72">
        <f t="shared" ref="L26" si="30">CHOOSE($C$19,L27,L28,L29)</f>
        <v>4.0000000000000001E-3</v>
      </c>
      <c r="M26" s="72">
        <f t="shared" ref="M26" si="31">CHOOSE($C$19,M27,M28,M29)</f>
        <v>4.0000000000000001E-3</v>
      </c>
      <c r="N26" s="72">
        <f t="shared" ref="N26" si="32">CHOOSE($C$19,N27,N28,N29)</f>
        <v>4.0000000000000001E-3</v>
      </c>
      <c r="O26" s="73">
        <f t="shared" ref="O26" si="33">CHOOSE($C$19,O27,O28,O29)</f>
        <v>4.0000000000000001E-3</v>
      </c>
      <c r="Q26" s="411" t="s">
        <v>406</v>
      </c>
    </row>
    <row r="27" spans="2:19">
      <c r="B27" s="59" t="s">
        <v>48</v>
      </c>
      <c r="C27" s="271"/>
      <c r="D27" s="61">
        <f>D26/C26-1</f>
        <v>-7.8487863538290181E-3</v>
      </c>
      <c r="E27" s="61">
        <f t="shared" ref="E27" si="34">E26/D26-1</f>
        <v>1.7260962045263506E-2</v>
      </c>
      <c r="F27" s="61">
        <f t="shared" ref="F27" si="35">F26/E26-1</f>
        <v>2.0758800647741493E-2</v>
      </c>
      <c r="G27" s="61">
        <f t="shared" ref="G27" si="36">G26/F26-1</f>
        <v>-3.9737024274387744E-3</v>
      </c>
      <c r="H27" s="61">
        <f t="shared" ref="H27" si="37">H26/G26-1</f>
        <v>6.2734707982952109E-3</v>
      </c>
      <c r="I27" s="61">
        <f t="shared" ref="I27" si="38">I26/H26-1</f>
        <v>2.1243681882045617E-2</v>
      </c>
      <c r="J27" s="61">
        <f t="shared" ref="J27" si="39">J26/I26-1</f>
        <v>1.7689281137087898E-2</v>
      </c>
      <c r="K27" s="18">
        <v>4.0000000000000001E-3</v>
      </c>
      <c r="L27" s="18">
        <v>4.0000000000000001E-3</v>
      </c>
      <c r="M27" s="18">
        <v>4.0000000000000001E-3</v>
      </c>
      <c r="N27" s="18">
        <v>4.0000000000000001E-3</v>
      </c>
      <c r="O27" s="18">
        <v>4.0000000000000001E-3</v>
      </c>
      <c r="Q27" s="411"/>
    </row>
    <row r="28" spans="2:19">
      <c r="B28" s="59" t="s">
        <v>49</v>
      </c>
      <c r="C28" s="271"/>
      <c r="D28" s="271"/>
      <c r="E28" s="271"/>
      <c r="F28" s="271"/>
      <c r="G28" s="271"/>
      <c r="H28" s="271"/>
      <c r="I28" s="271"/>
      <c r="J28" s="14"/>
      <c r="K28" s="18">
        <v>4.0000000000000001E-3</v>
      </c>
      <c r="L28" s="18">
        <v>4.0000000000000001E-3</v>
      </c>
      <c r="M28" s="18">
        <v>4.0000000000000001E-3</v>
      </c>
      <c r="N28" s="18">
        <v>4.0000000000000001E-3</v>
      </c>
      <c r="O28" s="18">
        <v>4.0000000000000001E-3</v>
      </c>
      <c r="Q28" s="411"/>
    </row>
    <row r="29" spans="2:19">
      <c r="B29" s="59" t="s">
        <v>50</v>
      </c>
      <c r="C29" s="271"/>
      <c r="D29" s="271"/>
      <c r="E29" s="271"/>
      <c r="F29" s="271"/>
      <c r="G29" s="271"/>
      <c r="H29" s="271"/>
      <c r="I29" s="271"/>
      <c r="J29" s="14"/>
      <c r="K29" s="18">
        <v>4.0000000000000001E-3</v>
      </c>
      <c r="L29" s="18">
        <v>4.0000000000000001E-3</v>
      </c>
      <c r="M29" s="18">
        <v>4.0000000000000001E-3</v>
      </c>
      <c r="N29" s="18">
        <v>4.0000000000000001E-3</v>
      </c>
      <c r="O29" s="18">
        <v>4.0000000000000001E-3</v>
      </c>
      <c r="Q29" s="411"/>
    </row>
    <row r="30" spans="2:19" ht="14" customHeight="1">
      <c r="B30" s="57" t="s">
        <v>190</v>
      </c>
      <c r="C30" s="9">
        <f>C6</f>
        <v>162891</v>
      </c>
      <c r="D30" s="9">
        <f t="shared" ref="D30:F30" si="40">D6</f>
        <v>163405</v>
      </c>
      <c r="E30" s="9">
        <f t="shared" si="40"/>
        <v>167905</v>
      </c>
      <c r="F30" s="9">
        <f t="shared" si="40"/>
        <v>167971</v>
      </c>
      <c r="G30" s="9">
        <f t="shared" ref="G30:J30" si="41">G6</f>
        <v>194615</v>
      </c>
      <c r="H30" s="9">
        <f t="shared" si="41"/>
        <v>198168</v>
      </c>
      <c r="I30" s="9">
        <f t="shared" si="41"/>
        <v>201018</v>
      </c>
      <c r="J30" s="9">
        <f t="shared" si="41"/>
        <v>206016</v>
      </c>
      <c r="K30" s="71">
        <f>CHOOSE($C$19,K31,K32,K33)</f>
        <v>1.9E-2</v>
      </c>
      <c r="L30" s="72">
        <f t="shared" ref="L30" si="42">CHOOSE($C$19,L31,L32,L33)</f>
        <v>1.9E-2</v>
      </c>
      <c r="M30" s="72">
        <f t="shared" ref="M30" si="43">CHOOSE($C$19,M31,M32,M33)</f>
        <v>1.9E-2</v>
      </c>
      <c r="N30" s="72">
        <f t="shared" ref="N30" si="44">CHOOSE($C$19,N31,N32,N33)</f>
        <v>1.9E-2</v>
      </c>
      <c r="O30" s="73">
        <f t="shared" ref="O30" si="45">CHOOSE($C$19,O31,O32,O33)</f>
        <v>1.9E-2</v>
      </c>
      <c r="Q30" s="411" t="s">
        <v>405</v>
      </c>
    </row>
    <row r="31" spans="2:19" ht="14" customHeight="1">
      <c r="B31" s="59" t="s">
        <v>48</v>
      </c>
      <c r="C31" s="61"/>
      <c r="D31" s="61">
        <f>D30/C30-1</f>
        <v>3.1554843422902934E-3</v>
      </c>
      <c r="E31" s="61">
        <f t="shared" ref="E31" si="46">E30/D30-1</f>
        <v>2.7538936997031804E-2</v>
      </c>
      <c r="F31" s="61">
        <f t="shared" ref="F31" si="47">F30/E30-1</f>
        <v>3.9307941991006956E-4</v>
      </c>
      <c r="G31" s="61">
        <f t="shared" ref="G31" si="48">G30/F30-1</f>
        <v>0.15862261938072653</v>
      </c>
      <c r="H31" s="61">
        <f t="shared" ref="H31" si="49">H30/G30-1</f>
        <v>1.8256557819284147E-2</v>
      </c>
      <c r="I31" s="61">
        <f t="shared" ref="I31" si="50">I30/H30-1</f>
        <v>1.4381736708247495E-2</v>
      </c>
      <c r="J31" s="61">
        <f t="shared" ref="J31" si="51">J30/I30-1</f>
        <v>2.4863445064621015E-2</v>
      </c>
      <c r="K31" s="18">
        <v>1.9E-2</v>
      </c>
      <c r="L31" s="18">
        <v>1.9E-2</v>
      </c>
      <c r="M31" s="18">
        <v>1.9E-2</v>
      </c>
      <c r="N31" s="18">
        <v>1.9E-2</v>
      </c>
      <c r="O31" s="18">
        <v>1.9E-2</v>
      </c>
      <c r="Q31" s="411"/>
    </row>
    <row r="32" spans="2:19" ht="14" customHeight="1">
      <c r="B32" s="59" t="s">
        <v>49</v>
      </c>
      <c r="C32" s="61"/>
      <c r="D32" s="61"/>
      <c r="E32" s="61"/>
      <c r="F32" s="61"/>
      <c r="G32" s="61"/>
      <c r="H32" s="61"/>
      <c r="I32" s="61"/>
      <c r="J32" s="14"/>
      <c r="K32" s="18">
        <v>1.9E-2</v>
      </c>
      <c r="L32" s="18">
        <v>1.9E-2</v>
      </c>
      <c r="M32" s="18">
        <v>1.9E-2</v>
      </c>
      <c r="N32" s="18">
        <v>1.9E-2</v>
      </c>
      <c r="O32" s="18">
        <v>1.9E-2</v>
      </c>
      <c r="Q32" s="411"/>
    </row>
    <row r="33" spans="2:17">
      <c r="B33" s="59" t="s">
        <v>50</v>
      </c>
      <c r="C33" s="61"/>
      <c r="D33" s="61"/>
      <c r="E33" s="61"/>
      <c r="F33" s="61"/>
      <c r="G33" s="61"/>
      <c r="H33" s="61"/>
      <c r="I33" s="61"/>
      <c r="J33" s="61"/>
      <c r="K33" s="18">
        <v>1.9E-2</v>
      </c>
      <c r="L33" s="18">
        <v>1.9E-2</v>
      </c>
      <c r="M33" s="18">
        <v>1.9E-2</v>
      </c>
      <c r="N33" s="18">
        <v>1.9E-2</v>
      </c>
      <c r="O33" s="18">
        <v>1.9E-2</v>
      </c>
      <c r="P33" s="18"/>
      <c r="Q33" s="411"/>
    </row>
    <row r="34" spans="2:17">
      <c r="B34" s="57" t="s">
        <v>192</v>
      </c>
      <c r="C34" s="24">
        <f>C11</f>
        <v>1233497</v>
      </c>
      <c r="D34" s="24">
        <f t="shared" ref="D34:F34" si="52">D11</f>
        <v>1218024</v>
      </c>
      <c r="E34" s="24">
        <f t="shared" si="52"/>
        <v>1228664</v>
      </c>
      <c r="F34" s="24">
        <f t="shared" si="52"/>
        <v>1246819</v>
      </c>
      <c r="G34" s="24">
        <f t="shared" ref="G34:J34" si="53">G11</f>
        <v>1254955</v>
      </c>
      <c r="H34" s="24">
        <f t="shared" si="53"/>
        <v>1243276</v>
      </c>
      <c r="I34" s="24">
        <f t="shared" si="53"/>
        <v>1258933</v>
      </c>
      <c r="J34" s="24">
        <f t="shared" si="53"/>
        <v>1276951</v>
      </c>
      <c r="K34" s="71">
        <f>CHOOSE($C$19,K35,K36,K37)</f>
        <v>8.0000000000000002E-3</v>
      </c>
      <c r="L34" s="72">
        <f t="shared" ref="L34" si="54">CHOOSE($C$19,L35,L36,L37)</f>
        <v>8.0000000000000002E-3</v>
      </c>
      <c r="M34" s="72">
        <f t="shared" ref="M34" si="55">CHOOSE($C$19,M35,M36,M37)</f>
        <v>8.0000000000000002E-3</v>
      </c>
      <c r="N34" s="72">
        <f t="shared" ref="N34" si="56">CHOOSE($C$19,N35,N36,N37)</f>
        <v>8.0000000000000002E-3</v>
      </c>
      <c r="O34" s="73">
        <f t="shared" ref="O34" si="57">CHOOSE($C$19,O35,O36,O37)</f>
        <v>8.0000000000000002E-3</v>
      </c>
      <c r="Q34" s="411" t="s">
        <v>405</v>
      </c>
    </row>
    <row r="35" spans="2:17">
      <c r="B35" s="59" t="s">
        <v>48</v>
      </c>
      <c r="C35" s="273"/>
      <c r="D35" s="272">
        <f>D34/C34-1</f>
        <v>-1.2544011051506376E-2</v>
      </c>
      <c r="E35" s="272">
        <f t="shared" ref="E35" si="58">E34/D34-1</f>
        <v>8.7354600566162954E-3</v>
      </c>
      <c r="F35" s="272">
        <f t="shared" ref="F35" si="59">F34/E34-1</f>
        <v>1.4776212210986905E-2</v>
      </c>
      <c r="G35" s="272">
        <f t="shared" ref="G35" si="60">G34/F34-1</f>
        <v>6.5254058528141368E-3</v>
      </c>
      <c r="H35" s="272">
        <f t="shared" ref="H35" si="61">H34/G34-1</f>
        <v>-9.3063097880003998E-3</v>
      </c>
      <c r="I35" s="272">
        <f t="shared" ref="I35" si="62">I34/H34-1</f>
        <v>1.259334210585572E-2</v>
      </c>
      <c r="J35" s="272">
        <f t="shared" ref="J35" si="63">J34/I34-1</f>
        <v>1.4312119866585427E-2</v>
      </c>
      <c r="K35" s="18">
        <v>8.0000000000000002E-3</v>
      </c>
      <c r="L35" s="18">
        <v>8.0000000000000002E-3</v>
      </c>
      <c r="M35" s="18">
        <v>8.0000000000000002E-3</v>
      </c>
      <c r="N35" s="18">
        <v>8.0000000000000002E-3</v>
      </c>
      <c r="O35" s="18">
        <v>8.0000000000000002E-3</v>
      </c>
      <c r="Q35" s="411"/>
    </row>
    <row r="36" spans="2:17">
      <c r="B36" s="59" t="s">
        <v>49</v>
      </c>
      <c r="C36" s="273"/>
      <c r="D36" s="273"/>
      <c r="E36" s="273"/>
      <c r="F36" s="273"/>
      <c r="G36" s="273"/>
      <c r="H36" s="273"/>
      <c r="I36" s="273"/>
      <c r="J36" s="14"/>
      <c r="K36" s="18">
        <v>8.0000000000000002E-3</v>
      </c>
      <c r="L36" s="18">
        <v>8.0000000000000002E-3</v>
      </c>
      <c r="M36" s="18">
        <v>8.0000000000000002E-3</v>
      </c>
      <c r="N36" s="18">
        <v>8.0000000000000002E-3</v>
      </c>
      <c r="O36" s="18">
        <v>8.0000000000000002E-3</v>
      </c>
      <c r="Q36" s="411"/>
    </row>
    <row r="37" spans="2:17">
      <c r="B37" s="59" t="s">
        <v>50</v>
      </c>
      <c r="C37" s="273"/>
      <c r="D37" s="273"/>
      <c r="E37" s="273"/>
      <c r="F37" s="273"/>
      <c r="G37" s="273"/>
      <c r="H37" s="273"/>
      <c r="I37" s="273"/>
      <c r="J37" s="14"/>
      <c r="K37" s="18">
        <v>8.0000000000000002E-3</v>
      </c>
      <c r="L37" s="18">
        <v>8.0000000000000002E-3</v>
      </c>
      <c r="M37" s="18">
        <v>8.0000000000000002E-3</v>
      </c>
      <c r="N37" s="18">
        <v>8.0000000000000002E-3</v>
      </c>
      <c r="O37" s="18">
        <v>8.0000000000000002E-3</v>
      </c>
      <c r="Q37" s="411"/>
    </row>
    <row r="38" spans="2:17">
      <c r="B38" s="57" t="s">
        <v>191</v>
      </c>
      <c r="C38" s="24">
        <f>C12</f>
        <v>125010</v>
      </c>
      <c r="D38" s="24">
        <f t="shared" ref="D38:F38" si="64">D12</f>
        <v>129394</v>
      </c>
      <c r="E38" s="24">
        <f t="shared" si="64"/>
        <v>122649</v>
      </c>
      <c r="F38" s="24">
        <f t="shared" si="64"/>
        <v>120364</v>
      </c>
      <c r="G38" s="24">
        <f t="shared" ref="G38:J38" si="65">G12</f>
        <v>136648</v>
      </c>
      <c r="H38" s="24">
        <f t="shared" si="65"/>
        <v>136874</v>
      </c>
      <c r="I38" s="24">
        <f t="shared" si="65"/>
        <v>133017</v>
      </c>
      <c r="J38" s="24">
        <f t="shared" si="65"/>
        <v>139007</v>
      </c>
      <c r="K38" s="71">
        <f>CHOOSE($C$19,K39,K40,K41)</f>
        <v>1.7000000000000001E-2</v>
      </c>
      <c r="L38" s="72">
        <f t="shared" ref="L38" si="66">CHOOSE($C$19,L39,L40,L41)</f>
        <v>1.7000000000000001E-2</v>
      </c>
      <c r="M38" s="72">
        <f t="shared" ref="M38" si="67">CHOOSE($C$19,M39,M40,M41)</f>
        <v>1.7000000000000001E-2</v>
      </c>
      <c r="N38" s="72">
        <f t="shared" ref="N38" si="68">CHOOSE($C$19,N39,N40,N41)</f>
        <v>1.7000000000000001E-2</v>
      </c>
      <c r="O38" s="73">
        <f t="shared" ref="O38" si="69">CHOOSE($C$19,O39,O40,O41)</f>
        <v>1.7000000000000001E-2</v>
      </c>
      <c r="Q38" s="411" t="s">
        <v>405</v>
      </c>
    </row>
    <row r="39" spans="2:17" s="59" customFormat="1" ht="14" customHeight="1">
      <c r="B39" s="59" t="s">
        <v>48</v>
      </c>
      <c r="C39" s="61"/>
      <c r="D39" s="61">
        <f>D38/C38-1</f>
        <v>3.5069194464442788E-2</v>
      </c>
      <c r="E39" s="61">
        <f t="shared" ref="E39" si="70">E38/D38-1</f>
        <v>-5.2127610244679046E-2</v>
      </c>
      <c r="F39" s="61">
        <f t="shared" ref="F39" si="71">F38/E38-1</f>
        <v>-1.8630400573995676E-2</v>
      </c>
      <c r="G39" s="61">
        <f t="shared" ref="G39" si="72">G38/F38-1</f>
        <v>0.13528962148150603</v>
      </c>
      <c r="H39" s="61">
        <f t="shared" ref="H39" si="73">H38/G38-1</f>
        <v>1.6538844329956337E-3</v>
      </c>
      <c r="I39" s="61">
        <f t="shared" ref="I39" si="74">I38/H38-1</f>
        <v>-2.8179201309233348E-2</v>
      </c>
      <c r="J39" s="61">
        <f t="shared" ref="J39" si="75">J38/I38-1</f>
        <v>4.5031838035739735E-2</v>
      </c>
      <c r="K39" s="18">
        <v>1.7000000000000001E-2</v>
      </c>
      <c r="L39" s="18">
        <v>1.7000000000000001E-2</v>
      </c>
      <c r="M39" s="18">
        <v>1.7000000000000001E-2</v>
      </c>
      <c r="N39" s="18">
        <v>1.7000000000000001E-2</v>
      </c>
      <c r="O39" s="18">
        <v>1.7000000000000001E-2</v>
      </c>
      <c r="Q39" s="414"/>
    </row>
    <row r="40" spans="2:17">
      <c r="B40" s="59" t="s">
        <v>49</v>
      </c>
      <c r="C40" s="61"/>
      <c r="D40" s="61"/>
      <c r="E40" s="61"/>
      <c r="F40" s="61"/>
      <c r="G40" s="61"/>
      <c r="H40" s="61"/>
      <c r="I40" s="61"/>
      <c r="J40" s="61"/>
      <c r="K40" s="18">
        <v>1.7000000000000001E-2</v>
      </c>
      <c r="L40" s="18">
        <v>1.7000000000000001E-2</v>
      </c>
      <c r="M40" s="18">
        <v>1.7000000000000001E-2</v>
      </c>
      <c r="N40" s="18">
        <v>1.7000000000000001E-2</v>
      </c>
      <c r="O40" s="18">
        <v>1.7000000000000001E-2</v>
      </c>
    </row>
    <row r="41" spans="2:17">
      <c r="B41" s="59" t="s">
        <v>50</v>
      </c>
      <c r="C41" s="61"/>
      <c r="D41" s="61"/>
      <c r="E41" s="61"/>
      <c r="F41" s="61"/>
      <c r="G41" s="61"/>
      <c r="H41" s="61"/>
      <c r="I41" s="61"/>
      <c r="J41" s="14"/>
      <c r="K41" s="18">
        <v>1.7000000000000001E-2</v>
      </c>
      <c r="L41" s="18">
        <v>1.7000000000000001E-2</v>
      </c>
      <c r="M41" s="18">
        <v>1.7000000000000001E-2</v>
      </c>
      <c r="N41" s="18">
        <v>1.7000000000000001E-2</v>
      </c>
      <c r="O41" s="18">
        <v>1.7000000000000001E-2</v>
      </c>
    </row>
    <row r="42" spans="2:17">
      <c r="B42" s="59"/>
      <c r="C42" s="18"/>
      <c r="D42" s="18"/>
      <c r="E42" s="18"/>
      <c r="F42" s="18"/>
      <c r="G42" s="18"/>
      <c r="H42" s="18"/>
      <c r="I42" s="18"/>
      <c r="K42" s="18"/>
      <c r="L42" s="18"/>
      <c r="M42" s="18"/>
      <c r="N42" s="18"/>
      <c r="O42" s="18"/>
    </row>
    <row r="43" spans="2:17">
      <c r="K43" s="18"/>
      <c r="L43" s="18"/>
      <c r="M43" s="18"/>
      <c r="N43" s="18"/>
      <c r="O43" s="18"/>
    </row>
    <row r="46" spans="2:17">
      <c r="C46" s="62"/>
    </row>
    <row r="47" spans="2:17">
      <c r="C47" s="9"/>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5E371-81E1-401A-8B82-EF4756D6FBA2}">
  <sheetPr codeName="Sheet6">
    <tabColor theme="7" tint="-0.249977111117893"/>
  </sheetPr>
  <dimension ref="B1:X55"/>
  <sheetViews>
    <sheetView zoomScale="80" zoomScaleNormal="80" workbookViewId="0"/>
  </sheetViews>
  <sheetFormatPr defaultColWidth="9.08984375" defaultRowHeight="11.5"/>
  <cols>
    <col min="1" max="1" width="2" style="4" customWidth="1"/>
    <col min="2" max="2" width="40.08984375" style="4" customWidth="1"/>
    <col min="3" max="3" width="11.1796875" style="4" customWidth="1"/>
    <col min="4" max="4" width="11.453125" style="4" bestFit="1" customWidth="1"/>
    <col min="5" max="5" width="11" style="4" bestFit="1" customWidth="1"/>
    <col min="6" max="6" width="10.81640625" style="4" bestFit="1" customWidth="1"/>
    <col min="7" max="9" width="10.81640625" style="4" customWidth="1"/>
    <col min="10" max="10" width="10.54296875" style="4" customWidth="1"/>
    <col min="11" max="11" width="10.6328125" style="4" customWidth="1"/>
    <col min="12" max="15" width="11.26953125" style="4" bestFit="1" customWidth="1"/>
    <col min="16" max="16" width="2" style="4" customWidth="1"/>
    <col min="17" max="17" width="9.08984375" style="404"/>
    <col min="18" max="21" width="9.08984375" style="4"/>
    <col min="22" max="22" width="22.1796875" style="4" customWidth="1"/>
    <col min="23" max="23" width="10.54296875" style="4" bestFit="1" customWidth="1"/>
    <col min="24" max="24" width="11.453125" style="4" bestFit="1" customWidth="1"/>
    <col min="25" max="16384" width="9.08984375" style="4"/>
  </cols>
  <sheetData>
    <row r="1" spans="2:24" ht="15.5">
      <c r="B1" s="3" t="s">
        <v>195</v>
      </c>
    </row>
    <row r="3" spans="2:24" ht="23.5" thickBot="1">
      <c r="B3" s="11" t="s">
        <v>19</v>
      </c>
      <c r="C3" s="12" t="s">
        <v>430</v>
      </c>
      <c r="D3" s="12" t="s">
        <v>431</v>
      </c>
      <c r="E3" s="12" t="s">
        <v>432</v>
      </c>
      <c r="F3" s="12" t="s">
        <v>433</v>
      </c>
      <c r="G3" s="12" t="s">
        <v>434</v>
      </c>
      <c r="H3" s="12" t="s">
        <v>435</v>
      </c>
      <c r="I3" s="12" t="s">
        <v>436</v>
      </c>
      <c r="J3" s="12" t="s">
        <v>437</v>
      </c>
      <c r="K3" s="13" t="s">
        <v>440</v>
      </c>
      <c r="L3" s="13" t="s">
        <v>441</v>
      </c>
      <c r="M3" s="13" t="s">
        <v>442</v>
      </c>
      <c r="N3" s="13" t="s">
        <v>443</v>
      </c>
      <c r="O3" s="13" t="s">
        <v>444</v>
      </c>
      <c r="Q3" s="405" t="s">
        <v>21</v>
      </c>
    </row>
    <row r="4" spans="2:24" ht="14" customHeight="1">
      <c r="B4" s="17" t="s">
        <v>25</v>
      </c>
      <c r="C4" s="15"/>
      <c r="D4" s="335">
        <f>'P&amp;L'!D4</f>
        <v>866114</v>
      </c>
      <c r="E4" s="335">
        <f>'P&amp;L'!E4</f>
        <v>866170</v>
      </c>
      <c r="F4" s="335">
        <f>'P&amp;L'!F4</f>
        <v>830210</v>
      </c>
      <c r="G4" s="335">
        <f>'P&amp;L'!G4</f>
        <v>877009</v>
      </c>
      <c r="H4" s="335">
        <f>'P&amp;L'!H4</f>
        <v>891223</v>
      </c>
      <c r="I4" s="335">
        <f>'P&amp;L'!I4</f>
        <v>904042</v>
      </c>
      <c r="J4" s="335">
        <f>'P&amp;L'!J4</f>
        <v>865471</v>
      </c>
      <c r="K4" s="112">
        <f>'P&amp;L'!K4</f>
        <v>891435.13</v>
      </c>
      <c r="L4" s="112">
        <f>'P&amp;L'!L4</f>
        <v>918178.18390000006</v>
      </c>
      <c r="M4" s="112">
        <f>'P&amp;L'!M4</f>
        <v>945723.52941700013</v>
      </c>
      <c r="N4" s="112">
        <f>'P&amp;L'!N4</f>
        <v>974095.23529951018</v>
      </c>
      <c r="O4" s="112">
        <f>'P&amp;L'!O4</f>
        <v>1003318.0923584955</v>
      </c>
      <c r="Q4" s="408"/>
      <c r="W4" s="49"/>
      <c r="X4" s="49"/>
    </row>
    <row r="5" spans="2:24" ht="14" customHeight="1">
      <c r="B5" s="49" t="s">
        <v>196</v>
      </c>
      <c r="C5" s="9"/>
      <c r="D5" s="9">
        <f>BS!C27</f>
        <v>292003</v>
      </c>
      <c r="E5" s="9">
        <f>BS!D27</f>
        <v>299839</v>
      </c>
      <c r="F5" s="9">
        <f>BS!E27</f>
        <v>325903</v>
      </c>
      <c r="G5" s="9">
        <f>BS!F27</f>
        <v>321644</v>
      </c>
      <c r="H5" s="9">
        <f>BS!G27</f>
        <v>318062</v>
      </c>
      <c r="I5" s="9">
        <f>BS!H27</f>
        <v>332438</v>
      </c>
      <c r="J5" s="9">
        <f>BS!I27</f>
        <v>373980</v>
      </c>
      <c r="K5" s="19">
        <f>J12</f>
        <v>396379</v>
      </c>
      <c r="L5" s="19">
        <f>K12</f>
        <v>390707.4629491489</v>
      </c>
      <c r="M5" s="19">
        <f t="shared" ref="M5:O5" si="0">L12</f>
        <v>389743.36327136337</v>
      </c>
      <c r="N5" s="19">
        <f t="shared" si="0"/>
        <v>393552.88523194159</v>
      </c>
      <c r="O5" s="19">
        <f t="shared" si="0"/>
        <v>392687.89775799547</v>
      </c>
    </row>
    <row r="6" spans="2:24" ht="14" customHeight="1">
      <c r="B6" s="59" t="s">
        <v>60</v>
      </c>
      <c r="C6" s="9"/>
      <c r="D6" s="9">
        <f>'P&amp;L'!D29</f>
        <v>28050</v>
      </c>
      <c r="E6" s="9">
        <f>'P&amp;L'!E29</f>
        <v>42675</v>
      </c>
      <c r="F6" s="9">
        <f>'P&amp;L'!F29</f>
        <v>17945</v>
      </c>
      <c r="G6" s="9">
        <f>'P&amp;L'!G29</f>
        <v>12681</v>
      </c>
      <c r="H6" s="9">
        <f>'P&amp;L'!H29</f>
        <v>33191</v>
      </c>
      <c r="I6" s="9">
        <f>'P&amp;L'!I29</f>
        <v>52444</v>
      </c>
      <c r="J6" s="9">
        <f>'P&amp;L'!J29</f>
        <v>29994</v>
      </c>
      <c r="K6" s="19">
        <f>'P&amp;L'!K25</f>
        <v>33119.020988200042</v>
      </c>
      <c r="L6" s="19">
        <f>'P&amp;L'!L25</f>
        <v>33816.836407964016</v>
      </c>
      <c r="M6" s="19">
        <f>'P&amp;L'!M25</f>
        <v>34525.119059024481</v>
      </c>
      <c r="N6" s="19">
        <f>'P&amp;L'!N25</f>
        <v>35243.868941381392</v>
      </c>
      <c r="O6" s="19">
        <f>'P&amp;L'!O25</f>
        <v>35973.076634526609</v>
      </c>
    </row>
    <row r="7" spans="2:24" ht="14" customHeight="1">
      <c r="B7" s="59" t="s">
        <v>265</v>
      </c>
      <c r="C7" s="19"/>
      <c r="D7" s="9">
        <f>SE_Prelim!I13</f>
        <v>5944</v>
      </c>
      <c r="E7" s="9">
        <f>SE_Prelim!I31</f>
        <v>6370</v>
      </c>
      <c r="F7" s="9">
        <f>SE_Prelim!I40</f>
        <v>6667</v>
      </c>
      <c r="G7" s="9">
        <f>SE_Prelim!AD14-SUM(Equity!D7:F7)</f>
        <v>6985</v>
      </c>
      <c r="H7" s="9">
        <f>SE_Prelim!I51</f>
        <v>7698</v>
      </c>
      <c r="I7" s="9">
        <f>SE_Prelim!I70</f>
        <v>6882</v>
      </c>
      <c r="J7" s="9">
        <f>SE_Prelim!I79</f>
        <v>7079</v>
      </c>
      <c r="K7" s="19">
        <f>K4*K34</f>
        <v>6555.8051861643789</v>
      </c>
      <c r="L7" s="19">
        <f>L4*L49</f>
        <v>6886.3363792500004</v>
      </c>
      <c r="M7" s="19">
        <f>M4*M49</f>
        <v>7092.9264706275007</v>
      </c>
      <c r="N7" s="19">
        <f>N4*N49</f>
        <v>7305.7142647463261</v>
      </c>
      <c r="O7" s="19">
        <f>O4*O49</f>
        <v>7524.8856926887156</v>
      </c>
    </row>
    <row r="8" spans="2:24" ht="14" customHeight="1">
      <c r="B8" s="59" t="s">
        <v>236</v>
      </c>
      <c r="C8" s="9"/>
      <c r="D8" s="9">
        <f>SE_Prelim!I11</f>
        <v>147</v>
      </c>
      <c r="E8" s="9">
        <f>SE_Prelim!I29</f>
        <v>180</v>
      </c>
      <c r="F8" s="9">
        <f>SE_Prelim!I38</f>
        <v>-411</v>
      </c>
      <c r="G8" s="9">
        <f>SE_Prelim!AD10-SUM(D8:F8)</f>
        <v>372</v>
      </c>
      <c r="H8" s="9">
        <f>SE_Prelim!I49</f>
        <v>-253</v>
      </c>
      <c r="I8" s="9">
        <f>SE_Prelim!I68</f>
        <v>-124</v>
      </c>
      <c r="J8" s="9">
        <f>SE_Prelim!I77</f>
        <v>177</v>
      </c>
      <c r="K8" s="19">
        <v>-261</v>
      </c>
      <c r="L8" s="19">
        <v>-261</v>
      </c>
      <c r="M8" s="19">
        <v>-261</v>
      </c>
      <c r="N8" s="19">
        <v>-261</v>
      </c>
      <c r="O8" s="19">
        <v>-261</v>
      </c>
      <c r="Q8" s="404" t="s">
        <v>177</v>
      </c>
    </row>
    <row r="9" spans="2:24" ht="14" customHeight="1">
      <c r="B9" s="98" t="s">
        <v>199</v>
      </c>
      <c r="C9" s="9"/>
      <c r="D9" s="9">
        <f>SE_Prelim!I12</f>
        <v>-13929</v>
      </c>
      <c r="E9" s="9">
        <f>SE_Prelim!I30</f>
        <v>-13759</v>
      </c>
      <c r="F9" s="9">
        <f>SE_Prelim!I39</f>
        <v>-13789</v>
      </c>
      <c r="G9" s="9">
        <f>SE_Prelim!AD12-SUM(D9:F9)</f>
        <v>-13713</v>
      </c>
      <c r="H9" s="9">
        <f>SE_Prelim!I50</f>
        <v>-13764</v>
      </c>
      <c r="I9" s="9">
        <f>SE_Prelim!I69</f>
        <v>-13771</v>
      </c>
      <c r="J9" s="9">
        <f>SE_Prelim!I78</f>
        <v>-13771</v>
      </c>
      <c r="K9" s="19">
        <f>K27</f>
        <v>-17884.271333628025</v>
      </c>
      <c r="L9" s="19">
        <f t="shared" ref="L9:O9" si="1">L27</f>
        <v>-18261.091660300568</v>
      </c>
      <c r="M9" s="19">
        <f t="shared" si="1"/>
        <v>-18643.564291873219</v>
      </c>
      <c r="N9" s="19">
        <f t="shared" si="1"/>
        <v>-19031.689228345953</v>
      </c>
      <c r="O9" s="19">
        <f t="shared" si="1"/>
        <v>-19425.461382644371</v>
      </c>
    </row>
    <row r="10" spans="2:24" ht="14" customHeight="1">
      <c r="B10" s="59" t="s">
        <v>237</v>
      </c>
      <c r="C10" s="9"/>
      <c r="D10" s="9">
        <v>0</v>
      </c>
      <c r="E10" s="9">
        <v>0</v>
      </c>
      <c r="F10" s="9">
        <v>0</v>
      </c>
      <c r="G10" s="9">
        <v>0</v>
      </c>
      <c r="H10" s="9">
        <v>0</v>
      </c>
      <c r="I10" s="9">
        <v>0</v>
      </c>
      <c r="J10" s="9">
        <v>0</v>
      </c>
      <c r="K10" s="19"/>
      <c r="L10" s="19"/>
      <c r="M10" s="19"/>
      <c r="N10" s="19"/>
      <c r="O10" s="19"/>
    </row>
    <row r="11" spans="2:24" s="145" customFormat="1" ht="18" customHeight="1">
      <c r="B11" s="34" t="s">
        <v>198</v>
      </c>
      <c r="C11" s="142"/>
      <c r="D11" s="142">
        <f>SE_Prelim!I15</f>
        <v>-12376</v>
      </c>
      <c r="E11" s="142">
        <f>SE_Prelim!I33</f>
        <v>-9402</v>
      </c>
      <c r="F11" s="142">
        <f>SE_Prelim!I42</f>
        <v>-14671</v>
      </c>
      <c r="G11" s="142">
        <f>SE_Prelim!AD16-SUM(Equity!D11:F11)</f>
        <v>-9907</v>
      </c>
      <c r="H11" s="142">
        <f>SE_Prelim!I53</f>
        <v>-12496</v>
      </c>
      <c r="I11" s="142">
        <f>SE_Prelim!I72</f>
        <v>-3889</v>
      </c>
      <c r="J11" s="142">
        <f>SE_Prelim!I81</f>
        <v>-1080</v>
      </c>
      <c r="K11" s="270">
        <f>-K24</f>
        <v>-27201.091891587497</v>
      </c>
      <c r="L11" s="270">
        <f>-L24</f>
        <v>-23145.180804698946</v>
      </c>
      <c r="M11" s="270">
        <f>-M24</f>
        <v>-18903.959277200509</v>
      </c>
      <c r="N11" s="270">
        <f>-N24</f>
        <v>-24121.881451727957</v>
      </c>
      <c r="O11" s="270">
        <f>-O24</f>
        <v>-14772.582853634309</v>
      </c>
      <c r="Q11" s="415"/>
    </row>
    <row r="12" spans="2:24" s="145" customFormat="1" ht="15" customHeight="1">
      <c r="B12" s="268" t="s">
        <v>197</v>
      </c>
      <c r="C12" s="269"/>
      <c r="D12" s="269">
        <f>D5+SUM(D6:D11)</f>
        <v>299839</v>
      </c>
      <c r="E12" s="269">
        <f t="shared" ref="E12:J12" si="2">E5+SUM(E6:E11)</f>
        <v>325903</v>
      </c>
      <c r="F12" s="269">
        <f t="shared" si="2"/>
        <v>321644</v>
      </c>
      <c r="G12" s="269">
        <f t="shared" si="2"/>
        <v>318062</v>
      </c>
      <c r="H12" s="269">
        <f t="shared" si="2"/>
        <v>332438</v>
      </c>
      <c r="I12" s="269">
        <f t="shared" si="2"/>
        <v>373980</v>
      </c>
      <c r="J12" s="269">
        <f t="shared" si="2"/>
        <v>396379</v>
      </c>
      <c r="K12" s="269">
        <f>SUM(K5:K11)</f>
        <v>390707.4629491489</v>
      </c>
      <c r="L12" s="269">
        <f t="shared" ref="L12:O12" si="3">SUM(L5:L11)</f>
        <v>389743.36327136337</v>
      </c>
      <c r="M12" s="269">
        <f t="shared" si="3"/>
        <v>393552.88523194159</v>
      </c>
      <c r="N12" s="269">
        <f t="shared" si="3"/>
        <v>392687.89775799547</v>
      </c>
      <c r="O12" s="269">
        <f t="shared" si="3"/>
        <v>401726.81584893208</v>
      </c>
      <c r="Q12" s="415"/>
    </row>
    <row r="13" spans="2:24" ht="14" customHeight="1">
      <c r="B13" s="49"/>
      <c r="C13" s="50"/>
      <c r="D13" s="339">
        <f>BS!D27</f>
        <v>299839</v>
      </c>
      <c r="E13" s="339">
        <f>BS!E27</f>
        <v>325903</v>
      </c>
      <c r="F13" s="339">
        <f>BS!F27</f>
        <v>321644</v>
      </c>
      <c r="G13" s="339">
        <f>BS!G27</f>
        <v>318062</v>
      </c>
      <c r="H13" s="339">
        <f>BS!H27</f>
        <v>332438</v>
      </c>
      <c r="I13" s="339">
        <f>BS!I27</f>
        <v>373980</v>
      </c>
      <c r="J13" s="339">
        <f>BS!J27</f>
        <v>396379</v>
      </c>
      <c r="K13" s="9"/>
      <c r="L13" s="9"/>
      <c r="M13" s="9"/>
      <c r="N13" s="9"/>
      <c r="O13" s="9"/>
    </row>
    <row r="14" spans="2:24" ht="14" customHeight="1">
      <c r="B14" s="338" t="s">
        <v>120</v>
      </c>
      <c r="C14" s="336"/>
      <c r="D14" s="337">
        <f>D12-D13</f>
        <v>0</v>
      </c>
      <c r="E14" s="337">
        <f t="shared" ref="E14:J14" si="4">E12-E13</f>
        <v>0</v>
      </c>
      <c r="F14" s="337">
        <f t="shared" si="4"/>
        <v>0</v>
      </c>
      <c r="G14" s="337">
        <f t="shared" si="4"/>
        <v>0</v>
      </c>
      <c r="H14" s="337">
        <f t="shared" si="4"/>
        <v>0</v>
      </c>
      <c r="I14" s="337">
        <f t="shared" si="4"/>
        <v>0</v>
      </c>
      <c r="J14" s="337">
        <f t="shared" si="4"/>
        <v>0</v>
      </c>
      <c r="K14" s="9"/>
      <c r="L14" s="9"/>
      <c r="M14" s="9"/>
      <c r="N14" s="9"/>
      <c r="O14" s="9"/>
    </row>
    <row r="15" spans="2:24" ht="14" customHeight="1">
      <c r="H15" s="334"/>
    </row>
    <row r="16" spans="2:24" ht="14" customHeight="1"/>
    <row r="17" spans="2:17" ht="14" customHeight="1"/>
    <row r="18" spans="2:17" ht="14" customHeight="1"/>
    <row r="19" spans="2:17" ht="14" customHeight="1">
      <c r="B19" s="49" t="s">
        <v>200</v>
      </c>
      <c r="C19" s="50"/>
      <c r="D19" s="50"/>
      <c r="E19" s="50"/>
      <c r="F19" s="50">
        <f>F13-F12</f>
        <v>0</v>
      </c>
      <c r="G19" s="50"/>
      <c r="H19" s="50"/>
      <c r="I19" s="50"/>
      <c r="J19" s="49"/>
      <c r="K19" s="50"/>
      <c r="L19" s="50"/>
      <c r="M19" s="50"/>
      <c r="N19" s="50"/>
      <c r="O19" s="50"/>
    </row>
    <row r="20" spans="2:17" ht="14" customHeight="1">
      <c r="B20" s="59" t="s">
        <v>201</v>
      </c>
      <c r="C20" s="50"/>
      <c r="D20" s="25">
        <f>'P&amp;L'!D32</f>
        <v>0.56350194865201497</v>
      </c>
      <c r="E20" s="25">
        <f>'P&amp;L'!E32</f>
        <v>0.86941020678414993</v>
      </c>
      <c r="F20" s="25">
        <f>'P&amp;L'!F32</f>
        <v>0.36633663366336633</v>
      </c>
      <c r="G20" s="25">
        <f>'P&amp;L'!G32</f>
        <v>0.25853211009174309</v>
      </c>
      <c r="H20" s="25">
        <f>'P&amp;L'!H32</f>
        <v>0.68207225350376066</v>
      </c>
      <c r="I20" s="25">
        <f>'P&amp;L'!I32</f>
        <v>1.0752229625832905</v>
      </c>
      <c r="J20" s="25">
        <f>'P&amp;L'!J32</f>
        <v>0.61279777714215666</v>
      </c>
      <c r="K20" s="253">
        <f>'P&amp;L'!K32</f>
        <v>0.6766440769051616</v>
      </c>
      <c r="L20" s="253">
        <f>'P&amp;L'!L32</f>
        <v>0.69090091954325206</v>
      </c>
      <c r="M20" s="253">
        <f>'P&amp;L'!M32</f>
        <v>0.70537161482091448</v>
      </c>
      <c r="N20" s="253">
        <f>'P&amp;L'!N32</f>
        <v>0.72005616273814799</v>
      </c>
      <c r="O20" s="253">
        <f>'P&amp;L'!O32</f>
        <v>0.73495437082757753</v>
      </c>
    </row>
    <row r="21" spans="2:17" ht="14" customHeight="1">
      <c r="B21" s="59" t="s">
        <v>202</v>
      </c>
      <c r="C21" s="9"/>
      <c r="D21" s="25">
        <f t="shared" ref="D21:E21" si="5">D22/D20</f>
        <v>61.508216755793221</v>
      </c>
      <c r="E21" s="25">
        <f t="shared" si="5"/>
        <v>40.659748096074985</v>
      </c>
      <c r="F21" s="25">
        <f>F22/F20</f>
        <v>80.800000000000011</v>
      </c>
      <c r="G21" s="25">
        <f t="shared" ref="G21:J21" si="6">G22/G20</f>
        <v>135.4183818310859</v>
      </c>
      <c r="H21" s="25">
        <f t="shared" si="6"/>
        <v>53.660004218010904</v>
      </c>
      <c r="I21" s="25">
        <f t="shared" si="6"/>
        <v>35.806526962092903</v>
      </c>
      <c r="J21" s="25">
        <f t="shared" si="6"/>
        <v>66.849132826565324</v>
      </c>
      <c r="K21" s="259">
        <v>67</v>
      </c>
      <c r="L21" s="260">
        <v>67</v>
      </c>
      <c r="M21" s="260">
        <v>67</v>
      </c>
      <c r="N21" s="260">
        <v>67</v>
      </c>
      <c r="O21" s="261">
        <v>67</v>
      </c>
      <c r="Q21" s="404" t="s">
        <v>397</v>
      </c>
    </row>
    <row r="22" spans="2:17" ht="14" customHeight="1">
      <c r="B22" s="59" t="s">
        <v>203</v>
      </c>
      <c r="C22" s="9"/>
      <c r="D22" s="25">
        <v>34.659999999999997</v>
      </c>
      <c r="E22" s="25">
        <v>35.35</v>
      </c>
      <c r="F22" s="25">
        <v>29.6</v>
      </c>
      <c r="G22" s="25">
        <v>35.01</v>
      </c>
      <c r="H22" s="25">
        <v>36.6</v>
      </c>
      <c r="I22" s="25">
        <v>38.5</v>
      </c>
      <c r="J22" s="25">
        <v>40.965000000000003</v>
      </c>
      <c r="K22" s="254">
        <f>K20*K21</f>
        <v>45.33515315264583</v>
      </c>
      <c r="L22" s="254">
        <f t="shared" ref="L22:O22" si="7">L20*L21</f>
        <v>46.290361609397891</v>
      </c>
      <c r="M22" s="254">
        <f t="shared" si="7"/>
        <v>47.25989819300127</v>
      </c>
      <c r="N22" s="254">
        <f t="shared" si="7"/>
        <v>48.243762903455917</v>
      </c>
      <c r="O22" s="254">
        <f t="shared" si="7"/>
        <v>49.241942845447696</v>
      </c>
    </row>
    <row r="23" spans="2:17" ht="14" customHeight="1">
      <c r="B23" s="59" t="s">
        <v>204</v>
      </c>
      <c r="C23" s="9"/>
      <c r="D23" s="9"/>
      <c r="E23" s="9"/>
      <c r="F23" s="9"/>
      <c r="G23" s="9"/>
      <c r="H23" s="9"/>
      <c r="I23" s="9">
        <v>500</v>
      </c>
      <c r="J23" s="9">
        <f>SE_Prelim!I82</f>
        <v>29450</v>
      </c>
      <c r="K23" s="256">
        <v>600</v>
      </c>
      <c r="L23" s="257">
        <v>500</v>
      </c>
      <c r="M23" s="257">
        <v>400</v>
      </c>
      <c r="N23" s="257">
        <v>500</v>
      </c>
      <c r="O23" s="258">
        <v>300</v>
      </c>
      <c r="Q23" s="404" t="s">
        <v>396</v>
      </c>
    </row>
    <row r="24" spans="2:17" ht="14" customHeight="1">
      <c r="B24" s="4" t="s">
        <v>205</v>
      </c>
      <c r="C24" s="9">
        <f>SUM(C21:C23)</f>
        <v>0</v>
      </c>
      <c r="D24" s="9">
        <f t="shared" ref="D24:I24" si="8">-D11</f>
        <v>12376</v>
      </c>
      <c r="E24" s="9">
        <f t="shared" si="8"/>
        <v>9402</v>
      </c>
      <c r="F24" s="9">
        <f t="shared" si="8"/>
        <v>14671</v>
      </c>
      <c r="G24" s="9">
        <f t="shared" si="8"/>
        <v>9907</v>
      </c>
      <c r="H24" s="9">
        <f t="shared" si="8"/>
        <v>12496</v>
      </c>
      <c r="I24" s="9">
        <f t="shared" si="8"/>
        <v>3889</v>
      </c>
      <c r="J24" s="9">
        <f>-J11</f>
        <v>1080</v>
      </c>
      <c r="K24" s="255">
        <f>K22*K23</f>
        <v>27201.091891587497</v>
      </c>
      <c r="L24" s="255">
        <f t="shared" ref="L24:O24" si="9">L22*L23</f>
        <v>23145.180804698946</v>
      </c>
      <c r="M24" s="255">
        <f t="shared" si="9"/>
        <v>18903.959277200509</v>
      </c>
      <c r="N24" s="255">
        <f t="shared" si="9"/>
        <v>24121.881451727957</v>
      </c>
      <c r="O24" s="255">
        <f t="shared" si="9"/>
        <v>14772.582853634309</v>
      </c>
    </row>
    <row r="25" spans="2:17" ht="14" customHeight="1">
      <c r="C25" s="9"/>
      <c r="D25" s="9"/>
      <c r="E25" s="9"/>
      <c r="F25" s="9"/>
      <c r="G25" s="9"/>
      <c r="H25" s="9"/>
      <c r="I25" s="9"/>
      <c r="K25" s="9"/>
      <c r="L25" s="9"/>
      <c r="M25" s="9"/>
      <c r="N25" s="9"/>
      <c r="O25" s="9"/>
    </row>
    <row r="26" spans="2:17" ht="14" customHeight="1">
      <c r="B26" s="49" t="s">
        <v>207</v>
      </c>
      <c r="C26" s="9"/>
      <c r="D26" s="9"/>
      <c r="E26" s="9"/>
      <c r="F26" s="9"/>
      <c r="G26" s="9"/>
      <c r="H26" s="9"/>
      <c r="I26" s="9"/>
      <c r="J26" s="9"/>
      <c r="K26" s="9"/>
      <c r="L26" s="9"/>
      <c r="M26" s="9"/>
      <c r="N26" s="9"/>
      <c r="O26" s="9"/>
    </row>
    <row r="27" spans="2:17" ht="14" customHeight="1">
      <c r="B27" s="59" t="s">
        <v>403</v>
      </c>
      <c r="C27" s="9">
        <f>C19-C24</f>
        <v>0</v>
      </c>
      <c r="D27" s="255">
        <f>D9</f>
        <v>-13929</v>
      </c>
      <c r="E27" s="255">
        <f t="shared" ref="E27:J27" si="10">E9</f>
        <v>-13759</v>
      </c>
      <c r="F27" s="255">
        <f t="shared" si="10"/>
        <v>-13789</v>
      </c>
      <c r="G27" s="255">
        <f t="shared" si="10"/>
        <v>-13713</v>
      </c>
      <c r="H27" s="255">
        <f t="shared" si="10"/>
        <v>-13764</v>
      </c>
      <c r="I27" s="255">
        <f t="shared" si="10"/>
        <v>-13771</v>
      </c>
      <c r="J27" s="255">
        <f t="shared" si="10"/>
        <v>-13771</v>
      </c>
      <c r="K27" s="266">
        <f>K28*K29</f>
        <v>-17884.271333628025</v>
      </c>
      <c r="L27" s="266">
        <f t="shared" ref="L27:O27" si="11">L28*L29</f>
        <v>-18261.091660300568</v>
      </c>
      <c r="M27" s="266">
        <f t="shared" si="11"/>
        <v>-18643.564291873219</v>
      </c>
      <c r="N27" s="266">
        <f t="shared" si="11"/>
        <v>-19031.689228345953</v>
      </c>
      <c r="O27" s="266">
        <f t="shared" si="11"/>
        <v>-19425.461382644371</v>
      </c>
    </row>
    <row r="28" spans="2:17" ht="14" customHeight="1">
      <c r="B28" s="59" t="s">
        <v>60</v>
      </c>
      <c r="C28" s="9"/>
      <c r="D28" s="265">
        <f>'P&amp;L'!D25</f>
        <v>28050</v>
      </c>
      <c r="E28" s="265">
        <f>'P&amp;L'!E25</f>
        <v>42675</v>
      </c>
      <c r="F28" s="265">
        <f>'P&amp;L'!F25</f>
        <v>17945</v>
      </c>
      <c r="G28" s="265">
        <f>'P&amp;L'!G25</f>
        <v>12681</v>
      </c>
      <c r="H28" s="265">
        <f>'P&amp;L'!H25</f>
        <v>33191</v>
      </c>
      <c r="I28" s="265">
        <f>'P&amp;L'!I25</f>
        <v>52444</v>
      </c>
      <c r="J28" s="265">
        <f>'P&amp;L'!J25</f>
        <v>29994</v>
      </c>
      <c r="K28" s="9">
        <f>'P&amp;L'!K25</f>
        <v>33119.020988200042</v>
      </c>
      <c r="L28" s="9">
        <f>'P&amp;L'!L25</f>
        <v>33816.836407964016</v>
      </c>
      <c r="M28" s="9">
        <f>'P&amp;L'!M25</f>
        <v>34525.119059024481</v>
      </c>
      <c r="N28" s="9">
        <f>'P&amp;L'!N25</f>
        <v>35243.868941381392</v>
      </c>
      <c r="O28" s="9">
        <f>'P&amp;L'!O25</f>
        <v>35973.076634526609</v>
      </c>
    </row>
    <row r="29" spans="2:17" ht="14" customHeight="1">
      <c r="B29" s="59" t="s">
        <v>206</v>
      </c>
      <c r="C29" s="9"/>
      <c r="D29" s="62">
        <f>D27/D28</f>
        <v>-0.49657754010695188</v>
      </c>
      <c r="E29" s="62">
        <f t="shared" ref="E29:J29" si="12">E27/E28</f>
        <v>-0.32241359109548917</v>
      </c>
      <c r="F29" s="62">
        <f t="shared" si="12"/>
        <v>-0.76840345500139318</v>
      </c>
      <c r="G29" s="62">
        <f t="shared" si="12"/>
        <v>-1.0813815945114738</v>
      </c>
      <c r="H29" s="62">
        <f t="shared" si="12"/>
        <v>-0.41469072941460033</v>
      </c>
      <c r="I29" s="62">
        <f t="shared" si="12"/>
        <v>-0.26258485241400353</v>
      </c>
      <c r="J29" s="62">
        <f t="shared" si="12"/>
        <v>-0.45912515836500634</v>
      </c>
      <c r="K29" s="262">
        <v>-0.54</v>
      </c>
      <c r="L29" s="263">
        <v>-0.54</v>
      </c>
      <c r="M29" s="263">
        <v>-0.54</v>
      </c>
      <c r="N29" s="263">
        <v>-0.54</v>
      </c>
      <c r="O29" s="264">
        <v>-0.54</v>
      </c>
      <c r="Q29" s="404" t="s">
        <v>398</v>
      </c>
    </row>
    <row r="30" spans="2:17" ht="14" customHeight="1">
      <c r="B30" s="59"/>
      <c r="C30" s="9"/>
      <c r="D30" s="9"/>
      <c r="E30" s="9"/>
      <c r="F30" s="9"/>
      <c r="G30" s="9"/>
      <c r="H30" s="9"/>
      <c r="I30" s="9"/>
      <c r="J30" s="9"/>
      <c r="K30" s="9"/>
      <c r="L30" s="9"/>
      <c r="M30" s="9"/>
      <c r="N30" s="9"/>
      <c r="O30" s="9"/>
    </row>
    <row r="31" spans="2:17" ht="14" customHeight="1">
      <c r="B31" s="78" t="s">
        <v>399</v>
      </c>
      <c r="C31" s="9"/>
      <c r="D31" s="9"/>
      <c r="E31" s="9"/>
      <c r="F31" s="9"/>
      <c r="G31" s="9"/>
      <c r="H31" s="9"/>
      <c r="I31" s="9"/>
      <c r="J31" s="9"/>
      <c r="K31" s="9"/>
      <c r="L31" s="9"/>
      <c r="M31" s="9"/>
      <c r="N31" s="9"/>
      <c r="O31" s="9"/>
    </row>
    <row r="32" spans="2:17" ht="14" customHeight="1">
      <c r="B32" s="59" t="s">
        <v>400</v>
      </c>
      <c r="C32" s="9"/>
      <c r="D32" s="9"/>
      <c r="E32" s="9"/>
      <c r="F32" s="9"/>
      <c r="G32" s="9"/>
      <c r="H32" s="9"/>
      <c r="I32" s="9"/>
      <c r="J32" s="9"/>
      <c r="K32" s="9"/>
      <c r="L32" s="9"/>
      <c r="M32" s="9"/>
      <c r="N32" s="9"/>
      <c r="O32" s="9"/>
    </row>
    <row r="33" spans="2:17" ht="14" customHeight="1">
      <c r="B33" s="59" t="s">
        <v>401</v>
      </c>
      <c r="C33" s="9"/>
      <c r="D33" s="9"/>
      <c r="E33" s="9"/>
      <c r="F33" s="9"/>
      <c r="G33" s="9"/>
      <c r="H33" s="9"/>
      <c r="I33" s="9"/>
      <c r="J33" s="9"/>
      <c r="K33" s="9"/>
      <c r="L33" s="9"/>
      <c r="M33" s="9"/>
      <c r="N33" s="9"/>
      <c r="O33" s="9"/>
    </row>
    <row r="34" spans="2:17" ht="14" customHeight="1">
      <c r="B34" s="59" t="s">
        <v>402</v>
      </c>
      <c r="C34" s="50"/>
      <c r="D34" s="62">
        <f>D7/D4</f>
        <v>6.8628379174104099E-3</v>
      </c>
      <c r="E34" s="62">
        <f t="shared" ref="E34:F34" si="13">E7/E4</f>
        <v>7.3542145306348637E-3</v>
      </c>
      <c r="F34" s="62">
        <f t="shared" si="13"/>
        <v>8.0304983076570982E-3</v>
      </c>
      <c r="G34" s="62"/>
      <c r="H34" s="62"/>
      <c r="I34" s="62"/>
      <c r="J34" s="9"/>
      <c r="K34" s="262">
        <v>7.3542145306348637E-3</v>
      </c>
      <c r="L34" s="262">
        <v>7.3542145306348637E-3</v>
      </c>
      <c r="M34" s="262">
        <v>7.3542145306348637E-3</v>
      </c>
      <c r="N34" s="262">
        <v>7.3542145306348637E-3</v>
      </c>
      <c r="O34" s="262">
        <v>7.3542145306348637E-3</v>
      </c>
      <c r="Q34" s="404" t="s">
        <v>404</v>
      </c>
    </row>
    <row r="35" spans="2:17" ht="14" customHeight="1">
      <c r="B35" s="59"/>
      <c r="C35" s="50"/>
      <c r="D35" s="62"/>
      <c r="E35" s="62"/>
      <c r="F35" s="62"/>
      <c r="G35" s="62"/>
      <c r="H35" s="62"/>
      <c r="I35" s="62"/>
      <c r="J35" s="9"/>
      <c r="K35" s="267"/>
      <c r="L35" s="267"/>
      <c r="M35" s="267"/>
      <c r="N35" s="267"/>
      <c r="O35" s="267"/>
    </row>
    <row r="36" spans="2:17" ht="14" customHeight="1">
      <c r="B36" s="59"/>
      <c r="C36" s="50"/>
      <c r="D36" s="62"/>
      <c r="E36" s="62"/>
      <c r="F36" s="62"/>
      <c r="G36" s="62"/>
      <c r="H36" s="62"/>
      <c r="I36" s="62"/>
      <c r="J36" s="9"/>
      <c r="K36" s="96"/>
      <c r="L36" s="96"/>
      <c r="M36" s="96"/>
      <c r="N36" s="96"/>
      <c r="O36" s="96"/>
    </row>
    <row r="37" spans="2:17" ht="14" customHeight="1">
      <c r="B37" s="59"/>
      <c r="C37" s="50"/>
      <c r="D37" s="62"/>
      <c r="E37" s="62"/>
      <c r="F37" s="62"/>
      <c r="G37" s="62"/>
      <c r="H37" s="62"/>
      <c r="I37" s="62"/>
      <c r="J37" s="9"/>
      <c r="K37" s="96"/>
      <c r="L37" s="96"/>
      <c r="M37" s="96"/>
      <c r="N37" s="96"/>
      <c r="O37" s="96"/>
    </row>
    <row r="38" spans="2:17" ht="14" customHeight="1">
      <c r="B38" s="59"/>
      <c r="C38" s="50"/>
      <c r="D38" s="62"/>
      <c r="E38" s="62"/>
      <c r="F38" s="62"/>
      <c r="G38" s="62"/>
      <c r="H38" s="62"/>
      <c r="I38" s="62"/>
      <c r="J38" s="9"/>
      <c r="K38" s="96"/>
      <c r="L38" s="96"/>
      <c r="M38" s="96"/>
      <c r="N38" s="96"/>
      <c r="O38" s="96"/>
    </row>
    <row r="39" spans="2:17" ht="14" customHeight="1">
      <c r="B39" s="59"/>
      <c r="C39" s="50"/>
      <c r="D39" s="62"/>
      <c r="E39" s="62"/>
      <c r="F39" s="62"/>
      <c r="G39" s="62"/>
      <c r="H39" s="62"/>
      <c r="I39" s="62"/>
      <c r="J39" s="9"/>
      <c r="K39" s="96"/>
      <c r="L39" s="96"/>
      <c r="M39" s="96"/>
      <c r="N39" s="96"/>
      <c r="O39" s="96"/>
    </row>
    <row r="40" spans="2:17" ht="14" customHeight="1">
      <c r="B40" s="59"/>
      <c r="C40" s="50"/>
      <c r="D40" s="62"/>
      <c r="E40" s="62"/>
      <c r="F40" s="62"/>
      <c r="G40" s="62"/>
      <c r="H40" s="62"/>
      <c r="I40" s="62"/>
      <c r="J40" s="9"/>
      <c r="K40" s="96"/>
      <c r="L40" s="96"/>
      <c r="M40" s="96"/>
      <c r="N40" s="96"/>
      <c r="O40" s="96"/>
    </row>
    <row r="41" spans="2:17" ht="14" customHeight="1">
      <c r="B41" s="59"/>
      <c r="C41" s="50"/>
      <c r="D41" s="62"/>
      <c r="E41" s="62"/>
      <c r="F41" s="62"/>
      <c r="G41" s="62"/>
      <c r="H41" s="62"/>
      <c r="I41" s="62"/>
      <c r="J41" s="9"/>
      <c r="K41" s="96"/>
      <c r="L41" s="96"/>
      <c r="M41" s="96"/>
      <c r="N41" s="96"/>
      <c r="O41" s="96"/>
    </row>
    <row r="42" spans="2:17" ht="14" customHeight="1">
      <c r="B42" s="70"/>
      <c r="C42" s="86"/>
      <c r="D42" s="86"/>
      <c r="E42" s="86"/>
      <c r="F42" s="86"/>
      <c r="G42" s="86"/>
      <c r="H42" s="86"/>
      <c r="I42" s="86"/>
      <c r="J42" s="86"/>
      <c r="K42" s="96"/>
      <c r="L42" s="96"/>
      <c r="M42" s="96"/>
      <c r="N42" s="96"/>
      <c r="O42" s="96"/>
    </row>
    <row r="43" spans="2:17" ht="14" customHeight="1">
      <c r="C43" s="9"/>
      <c r="D43" s="9"/>
      <c r="E43" s="9"/>
      <c r="F43" s="9"/>
      <c r="G43" s="9"/>
      <c r="H43" s="9"/>
      <c r="I43" s="9"/>
      <c r="J43" s="9"/>
      <c r="K43" s="96"/>
      <c r="L43" s="96"/>
      <c r="M43" s="96"/>
      <c r="N43" s="96"/>
      <c r="O43" s="96"/>
    </row>
    <row r="44" spans="2:17" ht="14" customHeight="1">
      <c r="C44" s="9"/>
      <c r="D44" s="9"/>
      <c r="E44" s="9"/>
      <c r="F44" s="9"/>
      <c r="G44" s="9"/>
      <c r="H44" s="9"/>
      <c r="I44" s="9"/>
      <c r="J44" s="9"/>
      <c r="K44" s="9"/>
      <c r="L44" s="9"/>
      <c r="M44" s="9"/>
      <c r="N44" s="9"/>
      <c r="O44" s="9"/>
    </row>
    <row r="45" spans="2:17" ht="14" customHeight="1" thickBot="1">
      <c r="B45" s="69" t="s">
        <v>81</v>
      </c>
      <c r="C45" s="69"/>
      <c r="D45" s="69"/>
      <c r="E45" s="69"/>
      <c r="F45" s="69"/>
      <c r="G45" s="69"/>
      <c r="H45" s="69"/>
      <c r="I45" s="69"/>
      <c r="J45" s="69"/>
      <c r="K45" s="69"/>
      <c r="L45" s="69"/>
      <c r="M45" s="69"/>
      <c r="N45" s="69"/>
      <c r="O45" s="69"/>
      <c r="Q45" s="404" t="s">
        <v>267</v>
      </c>
    </row>
    <row r="46" spans="2:17" ht="14" customHeight="1">
      <c r="C46" s="9">
        <v>360</v>
      </c>
      <c r="K46" s="9"/>
      <c r="L46" s="9"/>
      <c r="M46" s="9"/>
      <c r="N46" s="9"/>
      <c r="O46" s="9"/>
      <c r="Q46" s="404" t="s">
        <v>177</v>
      </c>
    </row>
    <row r="47" spans="2:17" ht="14" customHeight="1">
      <c r="K47" s="9"/>
      <c r="L47" s="9"/>
      <c r="M47" s="9"/>
      <c r="N47" s="9"/>
      <c r="O47" s="9"/>
    </row>
    <row r="48" spans="2:17" ht="14" customHeight="1">
      <c r="C48" s="4" t="e">
        <f>(C$11/C$5)*360</f>
        <v>#DIV/0!</v>
      </c>
    </row>
    <row r="49" spans="2:15">
      <c r="B49" s="59" t="s">
        <v>266</v>
      </c>
      <c r="C49" s="4" t="e">
        <f>(C$12/C$6)*360</f>
        <v>#DIV/0!</v>
      </c>
      <c r="D49" s="62"/>
      <c r="E49" s="62"/>
      <c r="F49" s="62"/>
      <c r="G49" s="62"/>
      <c r="H49" s="62"/>
      <c r="I49" s="62"/>
      <c r="K49" s="62">
        <v>7.4999999999999997E-3</v>
      </c>
      <c r="L49" s="62">
        <v>7.4999999999999997E-3</v>
      </c>
      <c r="M49" s="62">
        <v>7.4999999999999997E-3</v>
      </c>
      <c r="N49" s="62">
        <v>7.4999999999999997E-3</v>
      </c>
      <c r="O49" s="62">
        <v>7.4999999999999997E-3</v>
      </c>
    </row>
    <row r="50" spans="2:15">
      <c r="B50" s="59" t="s">
        <v>236</v>
      </c>
      <c r="C50" s="18" t="e">
        <f>(C$14/C$5)</f>
        <v>#DIV/0!</v>
      </c>
      <c r="D50" s="9">
        <v>-695</v>
      </c>
      <c r="E50" s="9">
        <v>288</v>
      </c>
      <c r="F50" s="9">
        <v>-377</v>
      </c>
      <c r="G50" s="9"/>
      <c r="H50" s="9"/>
      <c r="I50" s="9"/>
      <c r="K50" s="24">
        <f>AVERAGE(D50:F50)</f>
        <v>-261.33333333333331</v>
      </c>
      <c r="L50" s="24">
        <v>-261.33333333333331</v>
      </c>
      <c r="M50" s="24">
        <v>-261.33333333333331</v>
      </c>
      <c r="N50" s="24">
        <v>-261.33333333333331</v>
      </c>
      <c r="O50" s="24">
        <v>-261.33333333333331</v>
      </c>
    </row>
    <row r="54" spans="2:15">
      <c r="C54" s="62"/>
    </row>
    <row r="55" spans="2:15">
      <c r="C55" s="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3" t="s">
        <v>282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7">
    <tabColor theme="7" tint="-0.249977111117893"/>
  </sheetPr>
  <dimension ref="B1:S37"/>
  <sheetViews>
    <sheetView zoomScale="80" zoomScaleNormal="80" workbookViewId="0">
      <selection activeCell="B1" sqref="B1"/>
    </sheetView>
  </sheetViews>
  <sheetFormatPr defaultColWidth="9.08984375" defaultRowHeight="11.5"/>
  <cols>
    <col min="1" max="1" width="2" style="7" customWidth="1"/>
    <col min="2" max="2" width="31.54296875" style="7" bestFit="1" customWidth="1"/>
    <col min="3" max="3" width="9.7265625" style="7" bestFit="1" customWidth="1"/>
    <col min="4" max="5" width="10.6328125" style="7" bestFit="1" customWidth="1"/>
    <col min="6" max="10" width="10.6328125" style="7" customWidth="1"/>
    <col min="11" max="15" width="9.7265625" style="7" bestFit="1" customWidth="1"/>
    <col min="16" max="16" width="4.1796875" style="416" customWidth="1"/>
    <col min="17" max="17" width="9.08984375" style="419"/>
    <col min="18" max="18" width="9.08984375" style="7" customWidth="1"/>
    <col min="19" max="19" width="7.81640625" style="7" customWidth="1"/>
    <col min="20" max="16384" width="9.08984375" style="7"/>
  </cols>
  <sheetData>
    <row r="1" spans="2:19" ht="15.5">
      <c r="B1" s="8" t="s">
        <v>376</v>
      </c>
      <c r="C1" s="8"/>
    </row>
    <row r="2" spans="2:19">
      <c r="B2" s="7" t="s">
        <v>24</v>
      </c>
    </row>
    <row r="3" spans="2:19" ht="23.5" thickBot="1">
      <c r="B3" s="11" t="s">
        <v>19</v>
      </c>
      <c r="C3" s="12" t="s">
        <v>430</v>
      </c>
      <c r="D3" s="12" t="s">
        <v>431</v>
      </c>
      <c r="E3" s="12" t="s">
        <v>432</v>
      </c>
      <c r="F3" s="12" t="s">
        <v>433</v>
      </c>
      <c r="G3" s="12" t="s">
        <v>434</v>
      </c>
      <c r="H3" s="12" t="s">
        <v>435</v>
      </c>
      <c r="I3" s="12" t="s">
        <v>436</v>
      </c>
      <c r="J3" s="12" t="s">
        <v>437</v>
      </c>
      <c r="K3" s="13" t="s">
        <v>440</v>
      </c>
      <c r="L3" s="13" t="s">
        <v>441</v>
      </c>
      <c r="M3" s="13" t="s">
        <v>442</v>
      </c>
      <c r="N3" s="13" t="s">
        <v>443</v>
      </c>
      <c r="O3" s="13" t="s">
        <v>444</v>
      </c>
      <c r="P3" s="417"/>
      <c r="Q3" s="405" t="s">
        <v>21</v>
      </c>
    </row>
    <row r="4" spans="2:19">
      <c r="B4" s="7" t="s">
        <v>7</v>
      </c>
      <c r="C4" s="7">
        <f>'P&amp;L'!C16</f>
        <v>-15123</v>
      </c>
      <c r="D4" s="7">
        <f>'P&amp;L'!D16</f>
        <v>33926</v>
      </c>
      <c r="E4" s="7">
        <f>'P&amp;L'!E16</f>
        <v>47471</v>
      </c>
      <c r="F4" s="7">
        <f>'P&amp;L'!F16</f>
        <v>19030</v>
      </c>
      <c r="G4" s="7">
        <f>'P&amp;L'!G16</f>
        <v>8139</v>
      </c>
      <c r="H4" s="7">
        <f>'P&amp;L'!H16</f>
        <v>39293</v>
      </c>
      <c r="I4" s="7">
        <f>'P&amp;L'!I16</f>
        <v>58692</v>
      </c>
      <c r="J4" s="7">
        <f>'P&amp;L'!J16</f>
        <v>33700</v>
      </c>
      <c r="K4" s="397">
        <f>'P&amp;L'!K16</f>
        <v>36727.127356000041</v>
      </c>
      <c r="L4" s="397">
        <f>'P&amp;L'!L16</f>
        <v>37461.669903120019</v>
      </c>
      <c r="M4" s="397">
        <f>'P&amp;L'!M16</f>
        <v>38207.230588446822</v>
      </c>
      <c r="N4" s="397">
        <f>'P&amp;L'!N16</f>
        <v>38963.809411980415</v>
      </c>
      <c r="O4" s="397">
        <f>'P&amp;L'!O16</f>
        <v>39731.396457396433</v>
      </c>
    </row>
    <row r="5" spans="2:19">
      <c r="B5" s="35" t="s">
        <v>36</v>
      </c>
      <c r="C5" s="7">
        <f t="shared" ref="C5:D5" si="0">C4*C6</f>
        <v>-12233.332908458864</v>
      </c>
      <c r="D5" s="7">
        <f t="shared" si="0"/>
        <v>-4230.4280097360042</v>
      </c>
      <c r="E5" s="7">
        <f>E4*E6</f>
        <v>-2759.6860226445078</v>
      </c>
      <c r="F5" s="7">
        <f t="shared" ref="F5:J5" si="1">F4*F6</f>
        <v>1054.2998294418633</v>
      </c>
      <c r="G5" s="7">
        <f t="shared" si="1"/>
        <v>10108.994872701556</v>
      </c>
      <c r="H5" s="7">
        <f t="shared" si="1"/>
        <v>-4544.6795534477251</v>
      </c>
      <c r="I5" s="7">
        <f t="shared" si="1"/>
        <v>-4062.5230725543088</v>
      </c>
      <c r="J5" s="7">
        <f t="shared" si="1"/>
        <v>-1948.8518925710696</v>
      </c>
      <c r="K5" s="397">
        <f>K4*K6</f>
        <v>-1836.3563678000021</v>
      </c>
      <c r="L5" s="397">
        <f>L4*L6</f>
        <v>-1873.0834951560009</v>
      </c>
      <c r="M5" s="397">
        <f>M4*M6</f>
        <v>-1910.3615294223412</v>
      </c>
      <c r="N5" s="397">
        <f t="shared" ref="N5:O5" si="2">N4*N6</f>
        <v>-1948.190470599021</v>
      </c>
      <c r="O5" s="397">
        <f t="shared" si="2"/>
        <v>-1986.5698228698218</v>
      </c>
    </row>
    <row r="6" spans="2:19">
      <c r="B6" s="35" t="s">
        <v>37</v>
      </c>
      <c r="C6" s="18">
        <f>'P&amp;L'!C23</f>
        <v>0.80892236384704519</v>
      </c>
      <c r="D6" s="18">
        <f>'P&amp;L'!D23</f>
        <v>-0.12469574985957686</v>
      </c>
      <c r="E6" s="18">
        <f>'P&amp;L'!E23</f>
        <v>-5.813414553399987E-2</v>
      </c>
      <c r="F6" s="18">
        <f>'P&amp;L'!F23</f>
        <v>5.5401987884490973E-2</v>
      </c>
      <c r="G6" s="18">
        <f>'P&amp;L'!G23</f>
        <v>1.2420438472418671</v>
      </c>
      <c r="H6" s="18">
        <f>'P&amp;L'!H23</f>
        <v>-0.11566130235532346</v>
      </c>
      <c r="I6" s="18">
        <f>'P&amp;L'!I23</f>
        <v>-6.9217662927729656E-2</v>
      </c>
      <c r="J6" s="18">
        <f>'P&amp;L'!J23</f>
        <v>-5.7829433013978325E-2</v>
      </c>
      <c r="K6" s="61">
        <f>'P&amp;L'!K23</f>
        <v>-0.05</v>
      </c>
      <c r="L6" s="61">
        <f>'P&amp;L'!L23</f>
        <v>-0.05</v>
      </c>
      <c r="M6" s="61">
        <f>'P&amp;L'!M23</f>
        <v>-0.05</v>
      </c>
      <c r="N6" s="61">
        <f>'P&amp;L'!N23</f>
        <v>-0.05</v>
      </c>
      <c r="O6" s="61">
        <f>'P&amp;L'!O23</f>
        <v>-0.05</v>
      </c>
      <c r="Q6" s="339"/>
      <c r="R6" s="9"/>
      <c r="S6" s="9"/>
    </row>
    <row r="7" spans="2:19">
      <c r="B7" s="36" t="s">
        <v>38</v>
      </c>
      <c r="C7" s="400">
        <f t="shared" ref="C7:D7" si="3">C4+C5</f>
        <v>-27356.332908458862</v>
      </c>
      <c r="D7" s="400">
        <f t="shared" si="3"/>
        <v>29695.571990263998</v>
      </c>
      <c r="E7" s="400">
        <f>E4+E5</f>
        <v>44711.313977355494</v>
      </c>
      <c r="F7" s="400">
        <f t="shared" ref="F7:J7" si="4">F4+F5</f>
        <v>20084.299829441865</v>
      </c>
      <c r="G7" s="400">
        <f t="shared" si="4"/>
        <v>18247.994872701558</v>
      </c>
      <c r="H7" s="400">
        <f t="shared" si="4"/>
        <v>34748.320446552272</v>
      </c>
      <c r="I7" s="400">
        <f t="shared" si="4"/>
        <v>54629.476927445692</v>
      </c>
      <c r="J7" s="400">
        <f t="shared" si="4"/>
        <v>31751.14810742893</v>
      </c>
      <c r="K7" s="401">
        <f>K4+K5</f>
        <v>34890.770988200042</v>
      </c>
      <c r="L7" s="401">
        <f>L4+L5</f>
        <v>35588.586407964016</v>
      </c>
      <c r="M7" s="401">
        <f>M4+M5</f>
        <v>36296.869059024481</v>
      </c>
      <c r="N7" s="401">
        <f t="shared" ref="N7:O7" si="5">N4+N5</f>
        <v>37015.618941381392</v>
      </c>
      <c r="O7" s="401">
        <f t="shared" si="5"/>
        <v>37744.826634526609</v>
      </c>
    </row>
    <row r="8" spans="2:19">
      <c r="B8" s="35"/>
      <c r="K8" s="397"/>
      <c r="L8" s="397"/>
      <c r="M8" s="397"/>
      <c r="N8" s="397"/>
      <c r="O8" s="397"/>
    </row>
    <row r="9" spans="2:19">
      <c r="B9" s="35" t="s">
        <v>39</v>
      </c>
      <c r="C9" s="7">
        <f>-'P&amp;L'!C14</f>
        <v>25616</v>
      </c>
      <c r="D9" s="7">
        <f>-'P&amp;L'!D14</f>
        <v>22955</v>
      </c>
      <c r="E9" s="7">
        <f>-'P&amp;L'!E14</f>
        <v>23332</v>
      </c>
      <c r="F9" s="7">
        <f>-'P&amp;L'!F14</f>
        <v>22837</v>
      </c>
      <c r="G9" s="7">
        <f>-'P&amp;L'!G14</f>
        <v>24012</v>
      </c>
      <c r="H9" s="7">
        <f>-'P&amp;L'!H14</f>
        <v>24756</v>
      </c>
      <c r="I9" s="7">
        <f>-'P&amp;L'!I14</f>
        <v>24960</v>
      </c>
      <c r="J9" s="7">
        <f>-'P&amp;L'!J14</f>
        <v>25299</v>
      </c>
      <c r="K9" s="397">
        <f>-'P&amp;L'!K14</f>
        <v>25673.331743999999</v>
      </c>
      <c r="L9" s="397">
        <f>-'P&amp;L'!L14</f>
        <v>26810.802969880002</v>
      </c>
      <c r="M9" s="397">
        <f>-'P&amp;L'!M14</f>
        <v>27993.416470743203</v>
      </c>
      <c r="N9" s="397">
        <f>-'P&amp;L'!N14</f>
        <v>29222.857058985304</v>
      </c>
      <c r="O9" s="397">
        <f>-'P&amp;L'!O14</f>
        <v>30500.87000769826</v>
      </c>
      <c r="Q9" s="419" t="s">
        <v>344</v>
      </c>
    </row>
    <row r="10" spans="2:19">
      <c r="B10" s="36" t="s">
        <v>40</v>
      </c>
      <c r="C10" s="148">
        <f t="shared" ref="C10:D10" si="6">C7+C9</f>
        <v>-1740.3329084588622</v>
      </c>
      <c r="D10" s="148">
        <f t="shared" si="6"/>
        <v>52650.571990263998</v>
      </c>
      <c r="E10" s="148">
        <f>E7+E9</f>
        <v>68043.313977355487</v>
      </c>
      <c r="F10" s="148">
        <f t="shared" ref="F10:J10" si="7">F7+F9</f>
        <v>42921.299829441865</v>
      </c>
      <c r="G10" s="148">
        <f t="shared" si="7"/>
        <v>42259.994872701558</v>
      </c>
      <c r="H10" s="148">
        <f t="shared" si="7"/>
        <v>59504.320446552272</v>
      </c>
      <c r="I10" s="148">
        <f t="shared" si="7"/>
        <v>79589.476927445692</v>
      </c>
      <c r="J10" s="148">
        <f t="shared" si="7"/>
        <v>57050.148107428933</v>
      </c>
      <c r="K10" s="398">
        <f>K7+K9</f>
        <v>60564.102732200045</v>
      </c>
      <c r="L10" s="398">
        <f>L7+L9</f>
        <v>62399.389377844018</v>
      </c>
      <c r="M10" s="398">
        <f>M7+M9</f>
        <v>64290.285529767687</v>
      </c>
      <c r="N10" s="398">
        <f t="shared" ref="N10:O10" si="8">N7+N9</f>
        <v>66238.476000366703</v>
      </c>
      <c r="O10" s="398">
        <f t="shared" si="8"/>
        <v>68245.696642224866</v>
      </c>
      <c r="P10" s="147" t="s">
        <v>348</v>
      </c>
    </row>
    <row r="11" spans="2:19">
      <c r="B11" s="35"/>
      <c r="K11" s="397"/>
      <c r="L11" s="397"/>
      <c r="M11" s="397"/>
      <c r="N11" s="397"/>
      <c r="O11" s="397"/>
    </row>
    <row r="12" spans="2:19">
      <c r="B12" s="35" t="s">
        <v>12</v>
      </c>
      <c r="D12" s="7">
        <f>-(BS!D6-BS!C6)</f>
        <v>-3430</v>
      </c>
      <c r="E12" s="7">
        <f>-(BS!E6-BS!D6)</f>
        <v>-1879</v>
      </c>
      <c r="F12" s="7">
        <f>-(BS!F6-BS!E6)</f>
        <v>2196</v>
      </c>
      <c r="G12" s="7">
        <f>-(BS!G6-BS!F6)</f>
        <v>1018</v>
      </c>
      <c r="H12" s="7">
        <f>-(BS!H6-BS!G6)</f>
        <v>-7815</v>
      </c>
      <c r="I12" s="7">
        <f>-(BS!I6-BS!H6)</f>
        <v>-5518</v>
      </c>
      <c r="J12" s="7">
        <f>-(BS!J6-BS!I6)</f>
        <v>1182</v>
      </c>
      <c r="K12" s="397">
        <f>-(BS!K6-BS!J6)</f>
        <v>5918.8156833333342</v>
      </c>
      <c r="L12" s="397">
        <f>-(BS!L6-BS!K6)</f>
        <v>-1916.5855294999928</v>
      </c>
      <c r="M12" s="397">
        <f>-(BS!M6-BS!L6)</f>
        <v>-1974.0830953850091</v>
      </c>
      <c r="N12" s="397">
        <f>-(BS!N6-BS!M6)</f>
        <v>-2033.3055882465706</v>
      </c>
      <c r="O12" s="397">
        <f>-(BS!O6-BS!N6)</f>
        <v>-2094.3047558939288</v>
      </c>
      <c r="Q12" s="419" t="s">
        <v>343</v>
      </c>
    </row>
    <row r="13" spans="2:19">
      <c r="B13" s="35" t="s">
        <v>336</v>
      </c>
      <c r="D13" s="7">
        <f>-(BS!D5-BS!C5)</f>
        <v>37055</v>
      </c>
      <c r="E13" s="7">
        <f>-(BS!E5-BS!D5)</f>
        <v>-2910</v>
      </c>
      <c r="F13" s="7">
        <f>-(BS!F5-BS!E5)</f>
        <v>1130</v>
      </c>
      <c r="G13" s="7">
        <f>-(BS!G5-BS!F5)</f>
        <v>-32858</v>
      </c>
      <c r="H13" s="7">
        <f>-(BS!H5-BS!G5)</f>
        <v>27535</v>
      </c>
      <c r="I13" s="7">
        <f>-(BS!I5-BS!H5)</f>
        <v>3139</v>
      </c>
      <c r="J13" s="7">
        <f>-(BS!J5-BS!I5)</f>
        <v>-1924</v>
      </c>
      <c r="K13" s="397">
        <f>-(BS!K5-BS!J5)</f>
        <v>57.739166666666279</v>
      </c>
      <c r="L13" s="397">
        <f>-(BS!L5-BS!K5)</f>
        <v>-2228.5878249999951</v>
      </c>
      <c r="M13" s="397">
        <f>-(BS!M5-BS!L5)</f>
        <v>-2295.4454597500153</v>
      </c>
      <c r="N13" s="397">
        <f>-(BS!N5-BS!M5)</f>
        <v>-2364.3088235424948</v>
      </c>
      <c r="O13" s="397">
        <f>-(BS!O5-BS!N5)</f>
        <v>-2435.2380882487778</v>
      </c>
      <c r="Q13" s="419" t="s">
        <v>342</v>
      </c>
    </row>
    <row r="14" spans="2:19">
      <c r="B14" s="35" t="s">
        <v>116</v>
      </c>
      <c r="D14" s="7">
        <f>-(BS!D8-BS!C8)</f>
        <v>-106</v>
      </c>
      <c r="E14" s="7">
        <f>-(BS!E8-BS!D8)</f>
        <v>-5353</v>
      </c>
      <c r="F14" s="7">
        <f>-(BS!F8-BS!E8)</f>
        <v>-4101</v>
      </c>
      <c r="G14" s="7">
        <f>-(BS!G8-BS!F8)</f>
        <v>-4279</v>
      </c>
      <c r="H14" s="7">
        <f>-(BS!H8-BS!G8)</f>
        <v>1436</v>
      </c>
      <c r="I14" s="7">
        <f>-(BS!I8-BS!H8)</f>
        <v>-11550</v>
      </c>
      <c r="J14" s="7">
        <f>-(BS!J8-BS!I8)</f>
        <v>3700</v>
      </c>
      <c r="K14" s="397">
        <f>-(BS!K8-BS!J8)</f>
        <v>-3426.6886499999964</v>
      </c>
      <c r="L14" s="397">
        <f>-(BS!L8-BS!K8)</f>
        <v>-2808.0206595000054</v>
      </c>
      <c r="M14" s="397">
        <f>-(BS!M8-BS!L8)</f>
        <v>-2892.2612792850123</v>
      </c>
      <c r="N14" s="397">
        <f>-(BS!N8-BS!M8)</f>
        <v>-2979.029117663551</v>
      </c>
      <c r="O14" s="397">
        <f>-(BS!O8-BS!N8)</f>
        <v>-3068.3999911934516</v>
      </c>
      <c r="Q14" s="419" t="s">
        <v>341</v>
      </c>
    </row>
    <row r="15" spans="2:19">
      <c r="B15" s="35" t="s">
        <v>324</v>
      </c>
      <c r="D15" s="7">
        <f>BS!D18-BS!C18</f>
        <v>-27900</v>
      </c>
      <c r="E15" s="7">
        <f>BS!E18-BS!D18</f>
        <v>-4425</v>
      </c>
      <c r="F15" s="7">
        <f>BS!F18-BS!E18</f>
        <v>-7283</v>
      </c>
      <c r="G15" s="7">
        <f>BS!G18-BS!F18</f>
        <v>42715</v>
      </c>
      <c r="H15" s="7">
        <f>BS!H18-BS!G18</f>
        <v>-26679</v>
      </c>
      <c r="I15" s="7">
        <f>BS!I18-BS!H18</f>
        <v>-3892</v>
      </c>
      <c r="J15" s="7">
        <f>BS!J18-BS!I18</f>
        <v>-8086</v>
      </c>
      <c r="K15" s="397">
        <f>BS!K18-BS!J18</f>
        <v>2943.3772999999928</v>
      </c>
      <c r="L15" s="397">
        <f>BS!L18-BS!K18</f>
        <v>5616.0413189999817</v>
      </c>
      <c r="M15" s="397">
        <f>BS!M18-BS!L18</f>
        <v>5784.5225585700246</v>
      </c>
      <c r="N15" s="397">
        <f>BS!N18-BS!M18</f>
        <v>5958.0582353271311</v>
      </c>
      <c r="O15" s="397">
        <f>BS!O18-BS!N18</f>
        <v>6136.799982386874</v>
      </c>
      <c r="Q15" s="419" t="s">
        <v>340</v>
      </c>
    </row>
    <row r="16" spans="2:19">
      <c r="B16" s="35" t="s">
        <v>126</v>
      </c>
      <c r="D16" s="7">
        <f>BS!D20-BS!C20</f>
        <v>6160</v>
      </c>
      <c r="E16" s="7">
        <f>BS!E20-BS!D20</f>
        <v>-16376</v>
      </c>
      <c r="F16" s="7">
        <f>BS!F20-BS!E20</f>
        <v>19523</v>
      </c>
      <c r="G16" s="7">
        <f>BS!G20-BS!F20</f>
        <v>-741</v>
      </c>
      <c r="H16" s="7">
        <f>BS!H20-BS!G20</f>
        <v>9803</v>
      </c>
      <c r="I16" s="7">
        <f>BS!I20-BS!H20</f>
        <v>-17782</v>
      </c>
      <c r="J16" s="7">
        <f>BS!J20-BS!I20</f>
        <v>33278</v>
      </c>
      <c r="K16" s="397">
        <f>BS!K20-BS!J20</f>
        <v>-8264.6825600000157</v>
      </c>
      <c r="L16" s="397">
        <f>BS!L20-BS!K20</f>
        <v>7701.9995232000074</v>
      </c>
      <c r="M16" s="397">
        <f>BS!M20-BS!L20</f>
        <v>7933.0595088960254</v>
      </c>
      <c r="N16" s="397">
        <f>BS!N20-BS!M20</f>
        <v>8171.0512941628695</v>
      </c>
      <c r="O16" s="397">
        <f>BS!O20-BS!N20</f>
        <v>8416.1828329877462</v>
      </c>
      <c r="Q16" s="419" t="s">
        <v>339</v>
      </c>
    </row>
    <row r="17" spans="2:17">
      <c r="B17" s="35" t="s">
        <v>105</v>
      </c>
      <c r="D17" s="7">
        <f>BS!D19-BS!C19</f>
        <v>1394</v>
      </c>
      <c r="E17" s="7">
        <f>BS!E19-BS!D19</f>
        <v>1877</v>
      </c>
      <c r="F17" s="7">
        <f>BS!F19-BS!E19</f>
        <v>2118</v>
      </c>
      <c r="G17" s="7">
        <f>BS!G19-BS!F19</f>
        <v>-9583</v>
      </c>
      <c r="H17" s="7">
        <f>BS!H19-BS!G19</f>
        <v>12475</v>
      </c>
      <c r="I17" s="7">
        <f>BS!I19-BS!H19</f>
        <v>2519</v>
      </c>
      <c r="J17" s="7">
        <f>BS!J19-BS!I19</f>
        <v>-9925</v>
      </c>
      <c r="K17" s="397">
        <f>BS!K19-BS!J19</f>
        <v>4438.4910600000003</v>
      </c>
      <c r="L17" s="397">
        <f>BS!L19-BS!K19</f>
        <v>4332.3747317999951</v>
      </c>
      <c r="M17" s="397">
        <f>BS!M19-BS!L19</f>
        <v>4462.3459737540106</v>
      </c>
      <c r="N17" s="397">
        <f>BS!N19-BS!M19</f>
        <v>4596.2163529666432</v>
      </c>
      <c r="O17" s="397">
        <f>BS!O19-BS!N19</f>
        <v>4734.1028435555927</v>
      </c>
      <c r="Q17" s="419" t="s">
        <v>338</v>
      </c>
    </row>
    <row r="18" spans="2:17">
      <c r="B18" s="35" t="s">
        <v>33</v>
      </c>
      <c r="D18" s="7">
        <f>BS!D17-BS!C17</f>
        <v>-9637</v>
      </c>
      <c r="E18" s="7">
        <f>BS!E17-BS!D17</f>
        <v>15681</v>
      </c>
      <c r="F18" s="7">
        <f>BS!F17-BS!E17</f>
        <v>-19290</v>
      </c>
      <c r="G18" s="7">
        <f>BS!G17-BS!F17</f>
        <v>9760</v>
      </c>
      <c r="H18" s="7">
        <f>BS!H17-BS!G17</f>
        <v>-1769</v>
      </c>
      <c r="I18" s="7">
        <f>BS!I17-BS!H17</f>
        <v>7261</v>
      </c>
      <c r="J18" s="7">
        <f>BS!J17-BS!I17</f>
        <v>-5981</v>
      </c>
      <c r="K18" s="397">
        <f>BS!K17-BS!J17</f>
        <v>4194.6347499999974</v>
      </c>
      <c r="L18" s="397">
        <f>BS!L17-BS!K17</f>
        <v>2005.7290424999956</v>
      </c>
      <c r="M18" s="397">
        <f>BS!M17-BS!L17</f>
        <v>2065.9009137750108</v>
      </c>
      <c r="N18" s="397">
        <f>BS!N17-BS!M17</f>
        <v>2127.877941188257</v>
      </c>
      <c r="O18" s="397">
        <f>BS!O17-BS!N17</f>
        <v>2191.7142794238898</v>
      </c>
      <c r="Q18" s="419" t="s">
        <v>337</v>
      </c>
    </row>
    <row r="19" spans="2:17">
      <c r="B19" s="36" t="s">
        <v>41</v>
      </c>
      <c r="C19" s="148"/>
      <c r="D19" s="148">
        <f t="shared" ref="D19" si="9">SUM(D12:D18)</f>
        <v>3536</v>
      </c>
      <c r="E19" s="148">
        <f>SUM(E12:E18)</f>
        <v>-13385</v>
      </c>
      <c r="F19" s="148">
        <f t="shared" ref="F19:J19" si="10">SUM(F12:F18)</f>
        <v>-5707</v>
      </c>
      <c r="G19" s="148">
        <f t="shared" si="10"/>
        <v>6032</v>
      </c>
      <c r="H19" s="148">
        <f t="shared" si="10"/>
        <v>14986</v>
      </c>
      <c r="I19" s="148">
        <f t="shared" si="10"/>
        <v>-25823</v>
      </c>
      <c r="J19" s="148">
        <f t="shared" si="10"/>
        <v>12244</v>
      </c>
      <c r="K19" s="398">
        <f>SUM(K12:K18)</f>
        <v>5861.6867499999789</v>
      </c>
      <c r="L19" s="398">
        <f>SUM(L12:L18)</f>
        <v>12702.950602499986</v>
      </c>
      <c r="M19" s="398">
        <f>SUM(M12:M18)</f>
        <v>13084.039120575035</v>
      </c>
      <c r="N19" s="398">
        <f t="shared" ref="N19:O19" si="11">SUM(N12:N18)</f>
        <v>13476.560294192284</v>
      </c>
      <c r="O19" s="398">
        <f t="shared" si="11"/>
        <v>13880.857103017945</v>
      </c>
      <c r="P19" s="147" t="s">
        <v>351</v>
      </c>
    </row>
    <row r="20" spans="2:17">
      <c r="B20" s="37" t="s">
        <v>42</v>
      </c>
      <c r="C20" s="147"/>
      <c r="D20" s="147">
        <f>-(BS!D13-BS!C13)+BS!D24-BS!C24</f>
        <v>3870</v>
      </c>
      <c r="E20" s="147">
        <f>-(BS!E13-BS!D13)+BS!E24-BS!D24</f>
        <v>-11245</v>
      </c>
      <c r="F20" s="147">
        <f>-(BS!F13-BS!E13)+BS!F24-BS!E24</f>
        <v>-2351</v>
      </c>
      <c r="G20" s="147">
        <f>-(BS!G13-BS!F13)+BS!G24-BS!F24</f>
        <v>-10360</v>
      </c>
      <c r="H20" s="147">
        <f>-(BS!H13-BS!G13)+BS!H24-BS!G24</f>
        <v>-3327</v>
      </c>
      <c r="I20" s="147">
        <f>-(BS!I13-BS!H13)+BS!I24-BS!H24</f>
        <v>-6707</v>
      </c>
      <c r="J20" s="147">
        <f>-(BS!J13-BS!I13)+BS!J24-BS!I24</f>
        <v>992</v>
      </c>
      <c r="K20" s="399">
        <f>-(BS!K13-BS!J13)+BS!K24-BS!J24</f>
        <v>-1551.1849999999977</v>
      </c>
      <c r="L20" s="399">
        <f>-(BS!L13-BS!K13)+BS!L24-BS!K24</f>
        <v>-1585.3837530000019</v>
      </c>
      <c r="M20" s="399">
        <f>-(BS!M13-BS!L13)+BS!M24-BS!L24</f>
        <v>-1620.3126283529855</v>
      </c>
      <c r="N20" s="399">
        <f>-(BS!N13-BS!M13)+BS!N24-BS!M24</f>
        <v>-1655.9868642664806</v>
      </c>
      <c r="O20" s="399">
        <f>-(BS!O13-BS!N13)+BS!O24-BS!N24</f>
        <v>-1692.4220116939105</v>
      </c>
      <c r="P20" s="147" t="s">
        <v>352</v>
      </c>
      <c r="Q20" s="419" t="s">
        <v>346</v>
      </c>
    </row>
    <row r="21" spans="2:17">
      <c r="B21" s="35"/>
      <c r="K21" s="397"/>
      <c r="L21" s="397"/>
      <c r="M21" s="397"/>
      <c r="N21" s="397"/>
      <c r="O21" s="397"/>
    </row>
    <row r="22" spans="2:17">
      <c r="B22" s="38" t="s">
        <v>43</v>
      </c>
      <c r="D22" s="7">
        <f>-(BS!D10-BS!C10)+'P&amp;L'!D14</f>
        <v>-31799</v>
      </c>
      <c r="E22" s="7">
        <f>-(BS!E10-BS!D10)+'P&amp;L'!E14</f>
        <v>-38752</v>
      </c>
      <c r="F22" s="7">
        <f>-(BS!F10-BS!E10)+'P&amp;L'!F14</f>
        <v>-30191</v>
      </c>
      <c r="G22" s="7">
        <f>-(BS!G10-BS!F10)+'P&amp;L'!G14</f>
        <v>-37436</v>
      </c>
      <c r="H22" s="7">
        <f>-(BS!H10-BS!G10)+'P&amp;L'!H14</f>
        <v>-27473</v>
      </c>
      <c r="I22" s="7">
        <f>-(BS!I10-BS!H10)+'P&amp;L'!I14</f>
        <v>-41594</v>
      </c>
      <c r="J22" s="7">
        <f>-(BS!J10-BS!I10)+'P&amp;L'!J14</f>
        <v>-44248</v>
      </c>
      <c r="K22" s="397">
        <f>-(BS!K10-BS!J10)+'P&amp;L'!K14</f>
        <v>-35657.405200000067</v>
      </c>
      <c r="L22" s="397">
        <f>-(BS!L10-BS!K10)+'P&amp;L'!L14</f>
        <v>-36727.127355999961</v>
      </c>
      <c r="M22" s="397">
        <f>-(BS!M10-BS!L10)+'P&amp;L'!M14</f>
        <v>-37828.941176679989</v>
      </c>
      <c r="N22" s="397">
        <f>-(BS!N10-BS!M10)+'P&amp;L'!N14</f>
        <v>-38963.809411980474</v>
      </c>
      <c r="O22" s="397">
        <f>-(BS!O10-BS!N10)+'P&amp;L'!O14</f>
        <v>-40132.723694339817</v>
      </c>
      <c r="Q22" s="419" t="s">
        <v>345</v>
      </c>
    </row>
    <row r="23" spans="2:17">
      <c r="B23" s="38" t="s">
        <v>325</v>
      </c>
      <c r="D23" s="7">
        <f>-(BS!D11-BS!C11)-(BS!D12-BS!C12)+BS!D23-BS!C23</f>
        <v>-5515</v>
      </c>
      <c r="E23" s="7">
        <f>-(BS!E11-BS!D11)-(BS!E12-BS!D12)+BS!E23-BS!D23</f>
        <v>-11125</v>
      </c>
      <c r="F23" s="7">
        <f>-(BS!F11-BS!E11)-(BS!F12-BS!E12)+BS!F23-BS!E23</f>
        <v>-8402</v>
      </c>
      <c r="G23" s="7">
        <f>-(BS!G11-BS!F11)-(BS!G12-BS!F12)+BS!G23-BS!F23</f>
        <v>13133</v>
      </c>
      <c r="H23" s="7">
        <f>-(BS!H11-BS!G11)-(BS!H12-BS!G12)+BS!H23-BS!G23</f>
        <v>-19892</v>
      </c>
      <c r="I23" s="7">
        <f>-(BS!I11-BS!H11)-(BS!I12-BS!H12)+BS!I23-BS!H23</f>
        <v>-12447</v>
      </c>
      <c r="J23" s="7">
        <f>-(BS!J11-BS!I11)-(BS!J12-BS!I12)+BS!J23-BS!I23</f>
        <v>-5629</v>
      </c>
      <c r="K23" s="397">
        <f>-(BS!K11-BS!J11)-(BS!K12-BS!J12)+BS!K23-BS!J23</f>
        <v>4667.4980000001378</v>
      </c>
      <c r="L23" s="397">
        <f>-(BS!L11-BS!K11)-(BS!L12-BS!K12)+BS!L23-BS!K23</f>
        <v>4727.3933256000746</v>
      </c>
      <c r="M23" s="397">
        <f>-(BS!M11-BS!L11)-(BS!M12-BS!L12)+BS!M23-BS!L23</f>
        <v>4787.8552771192044</v>
      </c>
      <c r="N23" s="397">
        <f>-(BS!N11-BS!M11)-(BS!N12-BS!M12)+BS!N23-BS!M23</f>
        <v>4848.8887363146059</v>
      </c>
      <c r="O23" s="397">
        <f>-(BS!O11-BS!N11)-(BS!O12-BS!N12)+BS!O23-BS!N23</f>
        <v>4910.4986253925599</v>
      </c>
      <c r="P23" s="147" t="s">
        <v>350</v>
      </c>
      <c r="Q23" s="419" t="s">
        <v>347</v>
      </c>
    </row>
    <row r="24" spans="2:17">
      <c r="B24" s="38" t="s">
        <v>326</v>
      </c>
      <c r="C24" s="7">
        <v>0</v>
      </c>
      <c r="D24" s="9">
        <v>0</v>
      </c>
      <c r="E24" s="9">
        <v>0</v>
      </c>
      <c r="F24" s="9">
        <v>0</v>
      </c>
      <c r="G24" s="9">
        <v>0</v>
      </c>
      <c r="H24" s="9">
        <v>0</v>
      </c>
      <c r="I24" s="9">
        <v>0</v>
      </c>
      <c r="J24" s="9">
        <v>0</v>
      </c>
      <c r="K24" s="397">
        <v>0</v>
      </c>
      <c r="L24" s="397">
        <v>0</v>
      </c>
      <c r="M24" s="397">
        <v>0</v>
      </c>
      <c r="N24" s="397">
        <v>0</v>
      </c>
      <c r="O24" s="397">
        <v>0</v>
      </c>
      <c r="P24" s="147" t="s">
        <v>349</v>
      </c>
    </row>
    <row r="25" spans="2:17">
      <c r="B25" s="35"/>
    </row>
    <row r="26" spans="2:17">
      <c r="B26" s="39" t="s">
        <v>44</v>
      </c>
      <c r="C26" s="149"/>
      <c r="D26" s="149">
        <f>SUM(D10+D19+D20+D22+D23)</f>
        <v>22742.571990263998</v>
      </c>
      <c r="E26" s="149">
        <f t="shared" ref="E26:N26" si="12">SUM(E10+E19+E20+E22+E23)</f>
        <v>-6463.6860226445133</v>
      </c>
      <c r="F26" s="149">
        <f t="shared" si="12"/>
        <v>-3729.7001705581351</v>
      </c>
      <c r="G26" s="149">
        <f t="shared" si="12"/>
        <v>13628.994872701558</v>
      </c>
      <c r="H26" s="149">
        <f t="shared" si="12"/>
        <v>23798.320446552272</v>
      </c>
      <c r="I26" s="149">
        <f t="shared" si="12"/>
        <v>-6981.5230725543079</v>
      </c>
      <c r="J26" s="149">
        <f t="shared" si="12"/>
        <v>20409.148107428933</v>
      </c>
      <c r="K26" s="149">
        <f t="shared" si="12"/>
        <v>33884.697282200097</v>
      </c>
      <c r="L26" s="149">
        <f t="shared" si="12"/>
        <v>41517.222196944109</v>
      </c>
      <c r="M26" s="149">
        <f t="shared" si="12"/>
        <v>42712.926122428951</v>
      </c>
      <c r="N26" s="149">
        <f t="shared" si="12"/>
        <v>43944.128754626639</v>
      </c>
      <c r="O26" s="149">
        <f>SUM(O10+O19+O20+O22+O23)</f>
        <v>45211.906664601644</v>
      </c>
      <c r="Q26" s="419" t="s">
        <v>353</v>
      </c>
    </row>
    <row r="27" spans="2:17" ht="14" customHeight="1">
      <c r="B27" s="151" t="s">
        <v>327</v>
      </c>
      <c r="D27" s="7">
        <f>'P&amp;L'!D18</f>
        <v>-1880</v>
      </c>
      <c r="E27" s="7">
        <f>'P&amp;L'!E18</f>
        <v>-2162</v>
      </c>
      <c r="F27" s="7">
        <f>'P&amp;L'!F18</f>
        <v>-2027</v>
      </c>
      <c r="G27" s="7">
        <f>'P&amp;L'!G18</f>
        <v>-2483</v>
      </c>
      <c r="H27" s="7">
        <f>'P&amp;L'!H18</f>
        <v>-1761</v>
      </c>
      <c r="I27" s="7">
        <f>'P&amp;L'!I18</f>
        <v>-2348</v>
      </c>
      <c r="J27" s="7">
        <f>'P&amp;L'!J18</f>
        <v>-1865</v>
      </c>
      <c r="K27" s="397">
        <f>'P&amp;L'!K18</f>
        <v>-1865</v>
      </c>
      <c r="L27" s="397">
        <f>'P&amp;L'!L18</f>
        <v>-1865</v>
      </c>
      <c r="M27" s="397">
        <f>'P&amp;L'!M18</f>
        <v>-1865</v>
      </c>
      <c r="N27" s="397">
        <f>'P&amp;L'!N18</f>
        <v>-1865</v>
      </c>
      <c r="O27" s="397">
        <f>'P&amp;L'!O18</f>
        <v>-1865</v>
      </c>
    </row>
    <row r="28" spans="2:17" ht="14" customHeight="1">
      <c r="B28" s="151" t="s">
        <v>328</v>
      </c>
      <c r="D28" s="7">
        <f>'P&amp;L'!D22-UnleveredCF!D5</f>
        <v>234.42800973600424</v>
      </c>
      <c r="E28" s="7">
        <f>'P&amp;L'!E22-UnleveredCF!E5</f>
        <v>125.68602264450783</v>
      </c>
      <c r="F28" s="7">
        <f>'P&amp;L'!F22-UnleveredCF!F5</f>
        <v>-112.29982944186327</v>
      </c>
      <c r="G28" s="7">
        <f>'P&amp;L'!G22-UnleveredCF!G5</f>
        <v>-3083.9948727015562</v>
      </c>
      <c r="H28" s="7">
        <f>'P&amp;L'!H22-UnleveredCF!H5</f>
        <v>203.67955344772508</v>
      </c>
      <c r="I28" s="7">
        <f>'P&amp;L'!I22-UnleveredCF!I5</f>
        <v>162.52307255430878</v>
      </c>
      <c r="J28" s="7">
        <f>'P&amp;L'!J22-UnleveredCF!J5</f>
        <v>107.85189257106958</v>
      </c>
      <c r="K28" s="397">
        <f>'P&amp;L'!K22-UnleveredCF!J5</f>
        <v>205.74552477106749</v>
      </c>
      <c r="L28" s="397">
        <f>'P&amp;L'!L22-UnleveredCF!L5</f>
        <v>93.25</v>
      </c>
      <c r="M28" s="397">
        <f>'P&amp;L'!M22-UnleveredCF!M5</f>
        <v>93.25</v>
      </c>
      <c r="N28" s="397">
        <f>'P&amp;L'!N22-UnleveredCF!N5</f>
        <v>93.25</v>
      </c>
      <c r="O28" s="397">
        <f>'P&amp;L'!O22-UnleveredCF!O5</f>
        <v>93.25</v>
      </c>
    </row>
    <row r="29" spans="2:17" ht="14" customHeight="1">
      <c r="B29" s="151" t="s">
        <v>335</v>
      </c>
      <c r="D29" s="7">
        <f>BS!D22-BS!C22</f>
        <v>504</v>
      </c>
      <c r="E29" s="7">
        <f>BS!E22-BS!D22</f>
        <v>504</v>
      </c>
      <c r="F29" s="7">
        <f>BS!F22-BS!E22</f>
        <v>503</v>
      </c>
      <c r="G29" s="7">
        <f>BS!G22-BS!F22</f>
        <v>504</v>
      </c>
      <c r="H29" s="7">
        <f>BS!H22-BS!G22</f>
        <v>504</v>
      </c>
      <c r="I29" s="7">
        <f>BS!I22-BS!H22</f>
        <v>503</v>
      </c>
      <c r="J29" s="7">
        <f>BS!J22-BS!I22</f>
        <v>504</v>
      </c>
      <c r="K29" s="397">
        <f>BS!K22-BS!J22</f>
        <v>0</v>
      </c>
      <c r="L29" s="397">
        <f>BS!L22-BS!K22</f>
        <v>0</v>
      </c>
      <c r="M29" s="397">
        <f>BS!M22-BS!L22</f>
        <v>0</v>
      </c>
      <c r="N29" s="397">
        <f>BS!N22-BS!M22</f>
        <v>0</v>
      </c>
      <c r="O29" s="397">
        <f>BS!O22-BS!N22</f>
        <v>0</v>
      </c>
    </row>
    <row r="30" spans="2:17" ht="14" customHeight="1">
      <c r="B30" s="151" t="s">
        <v>329</v>
      </c>
      <c r="D30" s="7">
        <f>(BS!D27-BS!C27)-'P&amp;L'!D25</f>
        <v>-20214</v>
      </c>
      <c r="E30" s="7">
        <f>(BS!E27-BS!D27)-'P&amp;L'!E25</f>
        <v>-16611</v>
      </c>
      <c r="F30" s="7">
        <f>(BS!F27-BS!E27)-'P&amp;L'!F25</f>
        <v>-22204</v>
      </c>
      <c r="G30" s="7">
        <f>(BS!G27-BS!F27)-'P&amp;L'!G25</f>
        <v>-16263</v>
      </c>
      <c r="H30" s="7">
        <f>(BS!H27-BS!G27)-'P&amp;L'!H25</f>
        <v>-18815</v>
      </c>
      <c r="I30" s="7">
        <f>(BS!I27-BS!H27)-'P&amp;L'!I25</f>
        <v>-10902</v>
      </c>
      <c r="J30" s="7">
        <f>(BS!J27-BS!I27)-'P&amp;L'!J25</f>
        <v>-7595</v>
      </c>
      <c r="K30" s="397">
        <f>BS!K27-BS!J27-'P&amp;L'!K25</f>
        <v>-38790.558039051139</v>
      </c>
      <c r="L30" s="397">
        <f>BS!L27-BS!K27-'P&amp;L'!L25</f>
        <v>-34780.936085749549</v>
      </c>
      <c r="M30" s="397">
        <f>BS!M27-BS!L27-'P&amp;L'!M25</f>
        <v>-30715.597098446262</v>
      </c>
      <c r="N30" s="397">
        <f>BS!N27-BS!M27-'P&amp;L'!N25</f>
        <v>-36108.856415327515</v>
      </c>
      <c r="O30" s="397">
        <f>BS!O27-BS!N27-'P&amp;L'!O25</f>
        <v>-26934.158543589998</v>
      </c>
      <c r="Q30" s="419" t="s">
        <v>332</v>
      </c>
    </row>
    <row r="31" spans="2:17" ht="14" customHeight="1">
      <c r="B31" s="150" t="s">
        <v>330</v>
      </c>
      <c r="C31" s="149"/>
      <c r="D31" s="149">
        <f t="shared" ref="D31" si="13">SUM(D26:D30)</f>
        <v>1387</v>
      </c>
      <c r="E31" s="149">
        <f>SUM(E26:E30)</f>
        <v>-24607.000000000007</v>
      </c>
      <c r="F31" s="149">
        <f t="shared" ref="F31:J31" si="14">SUM(F26:F30)</f>
        <v>-27570</v>
      </c>
      <c r="G31" s="149">
        <f t="shared" si="14"/>
        <v>-7696.9999999999982</v>
      </c>
      <c r="H31" s="149">
        <f t="shared" si="14"/>
        <v>3929.9999999999964</v>
      </c>
      <c r="I31" s="149">
        <f t="shared" si="14"/>
        <v>-19566</v>
      </c>
      <c r="J31" s="149">
        <f t="shared" si="14"/>
        <v>11561.000000000004</v>
      </c>
      <c r="K31" s="40">
        <f>SUM(K26:K30)</f>
        <v>-6565.1152320799738</v>
      </c>
      <c r="L31" s="40">
        <f>SUM(L26:L30)</f>
        <v>4964.5361111945604</v>
      </c>
      <c r="M31" s="40">
        <f>SUM(M26:M30)</f>
        <v>10225.579023982689</v>
      </c>
      <c r="N31" s="40">
        <f t="shared" ref="N31:O31" si="15">SUM(N26:N30)</f>
        <v>6063.5223392991247</v>
      </c>
      <c r="O31" s="40">
        <f t="shared" si="15"/>
        <v>16505.998121011646</v>
      </c>
    </row>
    <row r="33" spans="2:17">
      <c r="B33" s="7" t="s">
        <v>333</v>
      </c>
      <c r="D33" s="7">
        <f>BS!C4</f>
        <v>114777</v>
      </c>
      <c r="E33" s="7">
        <f>BS!D4</f>
        <v>116164</v>
      </c>
      <c r="F33" s="7">
        <f>BS!E4</f>
        <v>91557</v>
      </c>
      <c r="G33" s="7">
        <f>BS!F4</f>
        <v>63987</v>
      </c>
      <c r="H33" s="7">
        <f>BS!G4</f>
        <v>56290</v>
      </c>
      <c r="I33" s="7">
        <f>BS!H4</f>
        <v>60220</v>
      </c>
      <c r="J33" s="7">
        <f>BS!I4</f>
        <v>40654</v>
      </c>
      <c r="K33" s="7">
        <f>BS!J4</f>
        <v>52215</v>
      </c>
      <c r="L33" s="7">
        <f>K34</f>
        <v>45649.884767920026</v>
      </c>
      <c r="M33" s="7">
        <f t="shared" ref="M33:O33" si="16">L34</f>
        <v>50614.420879114587</v>
      </c>
      <c r="N33" s="7">
        <f t="shared" si="16"/>
        <v>60839.999903097276</v>
      </c>
      <c r="O33" s="7">
        <f t="shared" si="16"/>
        <v>66903.522242396401</v>
      </c>
      <c r="Q33" s="419" t="s">
        <v>355</v>
      </c>
    </row>
    <row r="34" spans="2:17">
      <c r="B34" s="7" t="s">
        <v>354</v>
      </c>
      <c r="D34" s="7">
        <f>D31+D33</f>
        <v>116164</v>
      </c>
      <c r="E34" s="7">
        <f>E31+E33</f>
        <v>91557</v>
      </c>
      <c r="F34" s="7">
        <f t="shared" ref="F34:J34" si="17">F31+F33</f>
        <v>63987</v>
      </c>
      <c r="G34" s="7">
        <f t="shared" si="17"/>
        <v>56290</v>
      </c>
      <c r="H34" s="7">
        <f t="shared" si="17"/>
        <v>60220</v>
      </c>
      <c r="I34" s="7">
        <f t="shared" si="17"/>
        <v>40654</v>
      </c>
      <c r="J34" s="7">
        <f t="shared" si="17"/>
        <v>52215</v>
      </c>
      <c r="K34" s="7">
        <f t="shared" ref="K34" si="18">K31+K33</f>
        <v>45649.884767920026</v>
      </c>
      <c r="L34" s="7">
        <f t="shared" ref="L34" si="19">L31+L33</f>
        <v>50614.420879114587</v>
      </c>
      <c r="M34" s="7">
        <f t="shared" ref="M34" si="20">M31+M33</f>
        <v>60839.999903097276</v>
      </c>
      <c r="N34" s="7">
        <f t="shared" ref="N34:O34" si="21">N31+N33</f>
        <v>66903.522242396401</v>
      </c>
      <c r="O34" s="7">
        <f t="shared" si="21"/>
        <v>83409.520363408054</v>
      </c>
    </row>
    <row r="36" spans="2:17">
      <c r="B36" s="7" t="s">
        <v>334</v>
      </c>
      <c r="C36" s="4"/>
      <c r="D36" s="4">
        <f>BS!D4</f>
        <v>116164</v>
      </c>
      <c r="E36" s="4">
        <f>BS!E4</f>
        <v>91557</v>
      </c>
      <c r="F36" s="4">
        <f>BS!F4</f>
        <v>63987</v>
      </c>
      <c r="G36" s="4">
        <f>BS!G4</f>
        <v>56290</v>
      </c>
      <c r="H36" s="4">
        <f>BS!H4</f>
        <v>60220</v>
      </c>
      <c r="I36" s="4">
        <f>BS!I4</f>
        <v>40654</v>
      </c>
      <c r="J36" s="4">
        <f>BS!J4</f>
        <v>52215</v>
      </c>
      <c r="Q36" s="419" t="s">
        <v>355</v>
      </c>
    </row>
    <row r="37" spans="2:17">
      <c r="B37" s="154" t="s">
        <v>120</v>
      </c>
      <c r="C37" s="153"/>
      <c r="D37" s="153">
        <f t="shared" ref="D37:J37" si="22">D34-D36</f>
        <v>0</v>
      </c>
      <c r="E37" s="153">
        <f t="shared" si="22"/>
        <v>0</v>
      </c>
      <c r="F37" s="153">
        <f t="shared" si="22"/>
        <v>0</v>
      </c>
      <c r="G37" s="153">
        <f t="shared" si="22"/>
        <v>0</v>
      </c>
      <c r="H37" s="153">
        <f t="shared" si="22"/>
        <v>0</v>
      </c>
      <c r="I37" s="153">
        <f t="shared" si="22"/>
        <v>0</v>
      </c>
      <c r="J37" s="153">
        <f t="shared" si="22"/>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8">
    <tabColor theme="7" tint="-0.249977111117893"/>
  </sheetPr>
  <dimension ref="B1:Q33"/>
  <sheetViews>
    <sheetView zoomScale="60" zoomScaleNormal="60" workbookViewId="0"/>
  </sheetViews>
  <sheetFormatPr defaultColWidth="9.08984375" defaultRowHeight="11.5"/>
  <cols>
    <col min="1" max="1" width="2" style="4" customWidth="1"/>
    <col min="2" max="2" width="27.6328125" style="4" customWidth="1"/>
    <col min="3" max="3" width="14" style="4" bestFit="1" customWidth="1"/>
    <col min="4" max="4" width="9.08984375" style="4"/>
    <col min="5" max="10" width="9.90625" style="4" customWidth="1"/>
    <col min="11" max="11" width="12.1796875" style="4" bestFit="1" customWidth="1"/>
    <col min="12" max="12" width="11.6328125" style="4" bestFit="1" customWidth="1"/>
    <col min="13" max="13" width="12.81640625" style="4" bestFit="1" customWidth="1"/>
    <col min="14" max="14" width="11.6328125" style="4" bestFit="1" customWidth="1"/>
    <col min="15" max="15" width="11.26953125" style="4" customWidth="1"/>
    <col min="16" max="16" width="2" style="4" customWidth="1"/>
    <col min="17" max="16384" width="9.08984375" style="4"/>
  </cols>
  <sheetData>
    <row r="1" spans="2:17" ht="15.5">
      <c r="B1" s="3" t="s">
        <v>2</v>
      </c>
    </row>
    <row r="2" spans="2:17">
      <c r="E2" s="4" t="s">
        <v>394</v>
      </c>
    </row>
    <row r="3" spans="2:17" ht="14.5">
      <c r="B3" s="4" t="s">
        <v>274</v>
      </c>
      <c r="C3" s="58">
        <f>COVER!B9</f>
        <v>1.48</v>
      </c>
      <c r="E3" s="4" t="s">
        <v>365</v>
      </c>
      <c r="G3" s="156">
        <f>C4+(C3*C5)</f>
        <v>9.9631999999999998E-2</v>
      </c>
      <c r="M3" s="96"/>
      <c r="N3" s="18"/>
    </row>
    <row r="4" spans="2:17" ht="14.5">
      <c r="B4" s="4" t="s">
        <v>364</v>
      </c>
      <c r="C4" s="156">
        <f>COVER!B7</f>
        <v>4.5759999999999995E-2</v>
      </c>
      <c r="D4" s="62"/>
      <c r="E4" s="4" t="s">
        <v>366</v>
      </c>
      <c r="G4" s="156">
        <v>1.5699999999999999E-2</v>
      </c>
      <c r="M4" s="96"/>
      <c r="N4" s="18"/>
      <c r="Q4" s="276"/>
    </row>
    <row r="5" spans="2:17" ht="14.5">
      <c r="B5" s="4" t="s">
        <v>273</v>
      </c>
      <c r="C5" s="156">
        <f>3.64%</f>
        <v>3.6400000000000002E-2</v>
      </c>
      <c r="E5" s="4" t="s">
        <v>356</v>
      </c>
      <c r="G5" s="156">
        <f>6%</f>
        <v>0.06</v>
      </c>
      <c r="M5" s="96"/>
    </row>
    <row r="6" spans="2:17" ht="14.5">
      <c r="C6" s="157"/>
      <c r="G6" s="157"/>
      <c r="M6" s="96"/>
      <c r="N6" s="121"/>
    </row>
    <row r="7" spans="2:17" ht="14.5">
      <c r="B7" s="4" t="s">
        <v>357</v>
      </c>
      <c r="C7" s="26">
        <f>C25</f>
        <v>1552275.4621513232</v>
      </c>
      <c r="E7" s="4" t="s">
        <v>363</v>
      </c>
      <c r="G7" s="156">
        <v>0.03</v>
      </c>
      <c r="M7" s="96"/>
    </row>
    <row r="8" spans="2:17" ht="14" customHeight="1">
      <c r="B8" s="4" t="s">
        <v>358</v>
      </c>
      <c r="C8" s="157">
        <f>C26</f>
        <v>1159950.5256320119</v>
      </c>
      <c r="M8" s="96"/>
    </row>
    <row r="9" spans="2:17" ht="14" customHeight="1">
      <c r="C9" s="157"/>
      <c r="K9" s="62"/>
    </row>
    <row r="10" spans="2:17" ht="14" customHeight="1">
      <c r="B10" s="4" t="s">
        <v>359</v>
      </c>
      <c r="C10" s="26">
        <f>C27</f>
        <v>1333322.8302319795</v>
      </c>
    </row>
    <row r="11" spans="2:17" ht="14" customHeight="1">
      <c r="B11" s="163" t="s">
        <v>360</v>
      </c>
      <c r="C11" s="157"/>
    </row>
    <row r="12" spans="2:17" ht="14" customHeight="1">
      <c r="B12" s="163" t="s">
        <v>361</v>
      </c>
      <c r="C12" s="157"/>
    </row>
    <row r="13" spans="2:17" ht="14" customHeight="1">
      <c r="B13" s="57" t="s">
        <v>362</v>
      </c>
      <c r="C13" s="26">
        <f>C31</f>
        <v>1868867.8302319795</v>
      </c>
    </row>
    <row r="15" spans="2:17">
      <c r="B15" s="4" t="s">
        <v>86</v>
      </c>
      <c r="C15" s="418">
        <f>'P&amp;L'!C36</f>
        <v>2</v>
      </c>
    </row>
    <row r="16" spans="2:17" ht="12">
      <c r="E16" s="152"/>
      <c r="F16" s="152"/>
      <c r="G16" s="152"/>
      <c r="H16" s="152"/>
      <c r="I16" s="152"/>
      <c r="J16" s="152"/>
      <c r="K16" s="4">
        <v>1</v>
      </c>
      <c r="L16" s="4">
        <v>2</v>
      </c>
      <c r="M16" s="4">
        <v>3</v>
      </c>
      <c r="N16" s="4">
        <v>4</v>
      </c>
      <c r="O16" s="4">
        <v>5</v>
      </c>
    </row>
    <row r="17" spans="2:17" ht="23.5" thickBot="1">
      <c r="B17" s="11" t="s">
        <v>19</v>
      </c>
      <c r="C17" s="12" t="s">
        <v>430</v>
      </c>
      <c r="D17" s="12" t="s">
        <v>431</v>
      </c>
      <c r="E17" s="12" t="s">
        <v>432</v>
      </c>
      <c r="F17" s="12" t="s">
        <v>433</v>
      </c>
      <c r="G17" s="12" t="s">
        <v>434</v>
      </c>
      <c r="H17" s="12" t="s">
        <v>435</v>
      </c>
      <c r="I17" s="12" t="s">
        <v>436</v>
      </c>
      <c r="J17" s="12" t="s">
        <v>437</v>
      </c>
      <c r="K17" s="13" t="s">
        <v>75</v>
      </c>
      <c r="L17" s="13" t="s">
        <v>76</v>
      </c>
      <c r="M17" s="13" t="s">
        <v>77</v>
      </c>
      <c r="N17" s="13" t="s">
        <v>78</v>
      </c>
      <c r="O17" s="13" t="s">
        <v>79</v>
      </c>
      <c r="Q17" s="16" t="s">
        <v>21</v>
      </c>
    </row>
    <row r="18" spans="2:17">
      <c r="B18" s="4" t="s">
        <v>44</v>
      </c>
      <c r="C18" s="158">
        <f>UnleveredCF!C26</f>
        <v>0</v>
      </c>
      <c r="D18" s="158">
        <f>UnleveredCF!D26</f>
        <v>22742.571990263998</v>
      </c>
      <c r="E18" s="158">
        <f>UnleveredCF!E26</f>
        <v>-6463.6860226445133</v>
      </c>
      <c r="F18" s="158">
        <f>UnleveredCF!F26</f>
        <v>-3729.7001705581351</v>
      </c>
      <c r="G18" s="158">
        <f>UnleveredCF!G26</f>
        <v>13628.994872701558</v>
      </c>
      <c r="H18" s="158">
        <f>UnleveredCF!H26</f>
        <v>23798.320446552272</v>
      </c>
      <c r="I18" s="158">
        <f>UnleveredCF!I26</f>
        <v>-6981.5230725543079</v>
      </c>
      <c r="J18" s="158">
        <f>UnleveredCF!J26</f>
        <v>20409.148107428933</v>
      </c>
      <c r="K18" s="158">
        <f>UnleveredCF!K26</f>
        <v>33884.697282200097</v>
      </c>
      <c r="L18" s="158">
        <f>UnleveredCF!L26</f>
        <v>41517.222196944109</v>
      </c>
      <c r="M18" s="158">
        <f>UnleveredCF!M26</f>
        <v>42712.926122428951</v>
      </c>
      <c r="N18" s="158">
        <f>UnleveredCF!N26</f>
        <v>43944.128754626639</v>
      </c>
      <c r="O18" s="158">
        <f>UnleveredCF!O26</f>
        <v>45211.906664601644</v>
      </c>
    </row>
    <row r="19" spans="2:17" ht="12" thickBot="1">
      <c r="B19" s="4" t="s">
        <v>367</v>
      </c>
      <c r="K19" s="159">
        <f>1/(1+$G$5)^K$16</f>
        <v>0.94339622641509424</v>
      </c>
      <c r="L19" s="159">
        <f>1/(1+$G$5)^L$16</f>
        <v>0.88999644001423983</v>
      </c>
      <c r="M19" s="159">
        <f>1/(1+$G$5)^M$16</f>
        <v>0.8396192830323016</v>
      </c>
      <c r="N19" s="159">
        <f>1/(1+$G$5)^N$16</f>
        <v>0.79209366323802044</v>
      </c>
      <c r="O19" s="159">
        <f>1/(1+$G$5)^O$16</f>
        <v>0.74725817286605689</v>
      </c>
    </row>
    <row r="20" spans="2:17">
      <c r="B20" s="162" t="s">
        <v>368</v>
      </c>
      <c r="C20" s="162"/>
      <c r="D20" s="162"/>
      <c r="E20" s="162"/>
      <c r="F20" s="162"/>
      <c r="G20" s="162"/>
      <c r="H20" s="162"/>
      <c r="I20" s="162"/>
      <c r="J20" s="162"/>
      <c r="K20" s="162">
        <f>K18*K19</f>
        <v>31966.695549245371</v>
      </c>
      <c r="L20" s="162">
        <f>L18*L19</f>
        <v>36950.179954560437</v>
      </c>
      <c r="M20" s="162">
        <f>M18*M19</f>
        <v>35862.596407125464</v>
      </c>
      <c r="N20" s="162">
        <f>N18*N19</f>
        <v>34807.86592305544</v>
      </c>
      <c r="O20" s="162">
        <f>O18*O19</f>
        <v>33784.966765980927</v>
      </c>
    </row>
    <row r="22" spans="2:17" ht="12" thickBot="1"/>
    <row r="23" spans="2:17">
      <c r="B23" s="162" t="s">
        <v>370</v>
      </c>
      <c r="C23" s="162"/>
      <c r="D23" s="162"/>
      <c r="E23" s="162"/>
      <c r="F23" s="162"/>
      <c r="G23" s="162"/>
      <c r="H23" s="162"/>
      <c r="I23" s="162"/>
      <c r="J23" s="162"/>
      <c r="K23" s="162"/>
      <c r="L23" s="162"/>
      <c r="M23" s="162"/>
      <c r="N23" s="162"/>
      <c r="O23" s="162"/>
    </row>
    <row r="24" spans="2:17">
      <c r="B24" s="4" t="s">
        <v>369</v>
      </c>
      <c r="C24" s="4">
        <f>SUM(K20:O20)</f>
        <v>173372.30459996767</v>
      </c>
    </row>
    <row r="25" spans="2:17">
      <c r="B25" s="4" t="s">
        <v>357</v>
      </c>
      <c r="C25" s="4">
        <f>($O$18*(1+$G$7))/($G$5-$G$7)</f>
        <v>1552275.4621513232</v>
      </c>
    </row>
    <row r="26" spans="2:17" ht="12" thickBot="1">
      <c r="B26" s="59" t="s">
        <v>358</v>
      </c>
      <c r="C26" s="4">
        <f>C25/(1+G5)^O16</f>
        <v>1159950.5256320119</v>
      </c>
    </row>
    <row r="27" spans="2:17">
      <c r="B27" s="162" t="s">
        <v>359</v>
      </c>
      <c r="C27" s="162">
        <f>C24+C26</f>
        <v>1333322.8302319795</v>
      </c>
      <c r="D27" s="162"/>
      <c r="E27" s="162"/>
      <c r="F27" s="162"/>
      <c r="G27" s="162"/>
      <c r="H27" s="162"/>
      <c r="I27" s="162"/>
      <c r="J27" s="162"/>
      <c r="K27" s="162"/>
      <c r="L27" s="162"/>
      <c r="M27" s="162"/>
      <c r="N27" s="162"/>
      <c r="O27" s="162"/>
    </row>
    <row r="28" spans="2:17">
      <c r="B28" s="160" t="s">
        <v>371</v>
      </c>
      <c r="C28" s="4">
        <f>BS!J22</f>
        <v>471558</v>
      </c>
    </row>
    <row r="29" spans="2:17">
      <c r="B29" s="160" t="s">
        <v>372</v>
      </c>
      <c r="C29" s="4">
        <f>BS!F4</f>
        <v>63987</v>
      </c>
    </row>
    <row r="30" spans="2:17" ht="12" thickBot="1">
      <c r="B30" s="160" t="s">
        <v>373</v>
      </c>
      <c r="C30" s="4">
        <f>0</f>
        <v>0</v>
      </c>
    </row>
    <row r="31" spans="2:17">
      <c r="B31" s="162" t="s">
        <v>362</v>
      </c>
      <c r="C31" s="162">
        <f>SUM(C27:C30)</f>
        <v>1868867.8302319795</v>
      </c>
      <c r="D31" s="162"/>
      <c r="E31" s="162"/>
      <c r="F31" s="162"/>
      <c r="G31" s="162"/>
      <c r="H31" s="162"/>
      <c r="I31" s="162"/>
      <c r="J31" s="162"/>
      <c r="K31" s="162"/>
      <c r="L31" s="162"/>
      <c r="M31" s="162"/>
      <c r="N31" s="162"/>
      <c r="O31" s="162"/>
    </row>
    <row r="32" spans="2:17">
      <c r="B32" s="4" t="s">
        <v>375</v>
      </c>
      <c r="C32" s="4">
        <f>'P&amp;L'!J31</f>
        <v>48946</v>
      </c>
    </row>
    <row r="33" spans="2:3">
      <c r="B33" s="17" t="s">
        <v>374</v>
      </c>
      <c r="C33" s="161">
        <f>C31/C32</f>
        <v>38.182238185591864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07F1D-53DA-45D2-95F6-D17F145B93C8}">
  <sheetPr>
    <tabColor rgb="FF00B0F0"/>
  </sheetPr>
  <dimension ref="A1:AD98"/>
  <sheetViews>
    <sheetView zoomScale="70" zoomScaleNormal="70" workbookViewId="0"/>
  </sheetViews>
  <sheetFormatPr defaultRowHeight="14.5"/>
  <cols>
    <col min="1" max="1" width="13.453125" customWidth="1"/>
    <col min="2" max="2" width="23.26953125" customWidth="1"/>
    <col min="3" max="3" width="63.54296875" bestFit="1" customWidth="1"/>
    <col min="4" max="4" width="8.7265625" style="170"/>
    <col min="5" max="5" width="10.6328125" style="294" customWidth="1"/>
    <col min="6" max="6" width="11.26953125" style="294" customWidth="1"/>
    <col min="7" max="7" width="8.7265625" style="294"/>
    <col min="8" max="8" width="10" style="294" customWidth="1"/>
    <col min="9" max="9" width="11.1796875" style="294" customWidth="1"/>
  </cols>
  <sheetData>
    <row r="1" spans="1:30">
      <c r="A1" s="426" t="s">
        <v>447</v>
      </c>
      <c r="B1" s="42" t="s">
        <v>439</v>
      </c>
    </row>
    <row r="2" spans="1:30">
      <c r="A2" s="427"/>
      <c r="B2" s="42" t="s">
        <v>391</v>
      </c>
    </row>
    <row r="3" spans="1:30" ht="29">
      <c r="A3" s="43" t="s">
        <v>447</v>
      </c>
      <c r="B3" s="44" t="s">
        <v>51</v>
      </c>
    </row>
    <row r="4" spans="1:30" ht="200" customHeight="1" thickBot="1">
      <c r="A4" s="44" t="s">
        <v>447</v>
      </c>
      <c r="B4" s="44" t="s">
        <v>448</v>
      </c>
    </row>
    <row r="5" spans="1:30">
      <c r="B5" s="295"/>
      <c r="C5" s="251" t="s">
        <v>449</v>
      </c>
      <c r="D5" s="430" t="s">
        <v>208</v>
      </c>
      <c r="E5" s="428" t="s">
        <v>209</v>
      </c>
      <c r="F5" s="428" t="s">
        <v>210</v>
      </c>
      <c r="G5" s="428" t="s">
        <v>211</v>
      </c>
      <c r="H5" s="428" t="s">
        <v>378</v>
      </c>
      <c r="I5" s="428" t="s">
        <v>215</v>
      </c>
    </row>
    <row r="6" spans="1:30">
      <c r="B6" s="295"/>
      <c r="C6" s="252" t="s">
        <v>377</v>
      </c>
      <c r="D6" s="431"/>
      <c r="E6" s="429"/>
      <c r="F6" s="429"/>
      <c r="G6" s="429"/>
      <c r="H6" s="429"/>
      <c r="I6" s="429"/>
    </row>
    <row r="7" spans="1:30">
      <c r="B7" s="295"/>
      <c r="C7" s="296" t="s">
        <v>379</v>
      </c>
      <c r="D7" s="297">
        <v>1063</v>
      </c>
      <c r="E7" s="298">
        <v>887485</v>
      </c>
      <c r="F7" s="298">
        <v>1170078</v>
      </c>
      <c r="G7" s="299">
        <v>-1765641</v>
      </c>
      <c r="H7" s="299">
        <v>-982</v>
      </c>
      <c r="I7" s="298">
        <v>292003</v>
      </c>
    </row>
    <row r="8" spans="1:30">
      <c r="B8" s="295" t="s">
        <v>450</v>
      </c>
      <c r="C8" s="91" t="s">
        <v>380</v>
      </c>
      <c r="D8" s="300">
        <v>106323</v>
      </c>
      <c r="E8" s="301"/>
      <c r="F8" s="301"/>
      <c r="G8" s="301"/>
      <c r="H8" s="301"/>
      <c r="I8" s="301"/>
    </row>
    <row r="9" spans="1:30">
      <c r="B9" s="295"/>
      <c r="C9" t="s">
        <v>218</v>
      </c>
      <c r="D9" s="169"/>
      <c r="E9" s="302"/>
      <c r="F9" s="302"/>
      <c r="G9" s="302"/>
      <c r="H9" s="302"/>
      <c r="I9" s="302"/>
    </row>
    <row r="10" spans="1:30">
      <c r="B10" s="295"/>
      <c r="C10" t="s">
        <v>60</v>
      </c>
      <c r="D10" s="182"/>
      <c r="E10" s="303"/>
      <c r="F10" s="304">
        <v>28050</v>
      </c>
      <c r="G10" s="303"/>
      <c r="H10" s="303"/>
      <c r="I10" s="304">
        <v>28050</v>
      </c>
      <c r="AD10">
        <v>288</v>
      </c>
    </row>
    <row r="11" spans="1:30">
      <c r="B11" s="295"/>
      <c r="C11" t="s">
        <v>167</v>
      </c>
      <c r="D11" s="169"/>
      <c r="E11" s="302"/>
      <c r="F11" s="302"/>
      <c r="G11" s="302"/>
      <c r="H11" s="305">
        <v>147</v>
      </c>
      <c r="I11" s="305">
        <v>147</v>
      </c>
    </row>
    <row r="12" spans="1:30">
      <c r="B12" s="295"/>
      <c r="C12" t="s">
        <v>240</v>
      </c>
      <c r="D12" s="182"/>
      <c r="E12" s="303"/>
      <c r="F12" s="306">
        <v>-13929</v>
      </c>
      <c r="G12" s="303"/>
      <c r="H12" s="303"/>
      <c r="I12" s="306">
        <v>-13929</v>
      </c>
      <c r="AD12">
        <v>-55190</v>
      </c>
    </row>
    <row r="13" spans="1:30">
      <c r="B13" s="295"/>
      <c r="C13" t="s">
        <v>151</v>
      </c>
      <c r="D13" s="307">
        <v>6</v>
      </c>
      <c r="E13" s="308">
        <v>5938</v>
      </c>
      <c r="F13" s="302"/>
      <c r="G13" s="302"/>
      <c r="H13" s="302"/>
      <c r="I13" s="308">
        <v>5944</v>
      </c>
    </row>
    <row r="14" spans="1:30">
      <c r="B14" s="295"/>
      <c r="C14" t="s">
        <v>221</v>
      </c>
      <c r="D14" s="309">
        <v>628</v>
      </c>
      <c r="E14" s="303"/>
      <c r="F14" s="303"/>
      <c r="G14" s="303"/>
      <c r="H14" s="303"/>
      <c r="I14" s="303"/>
      <c r="AD14">
        <v>25966</v>
      </c>
    </row>
    <row r="15" spans="1:30">
      <c r="B15" s="295"/>
      <c r="C15" t="s">
        <v>241</v>
      </c>
      <c r="D15" s="169"/>
      <c r="E15" s="302"/>
      <c r="F15" s="302"/>
      <c r="G15" s="310">
        <v>-12376</v>
      </c>
      <c r="H15" s="302"/>
      <c r="I15" s="310">
        <v>-12376</v>
      </c>
    </row>
    <row r="16" spans="1:30">
      <c r="B16" s="295"/>
      <c r="C16" t="s">
        <v>381</v>
      </c>
      <c r="D16" s="311">
        <v>1069</v>
      </c>
      <c r="E16" s="312">
        <v>893423</v>
      </c>
      <c r="F16" s="312">
        <v>1184199</v>
      </c>
      <c r="G16" s="313">
        <v>-1778017</v>
      </c>
      <c r="H16" s="314">
        <v>-835</v>
      </c>
      <c r="I16" s="312">
        <v>299839</v>
      </c>
      <c r="AD16">
        <v>-46356</v>
      </c>
    </row>
    <row r="17" spans="2:11">
      <c r="B17" s="295"/>
      <c r="C17" t="s">
        <v>382</v>
      </c>
      <c r="D17" s="315">
        <v>106951</v>
      </c>
      <c r="E17" s="316"/>
      <c r="F17" s="316"/>
      <c r="G17" s="316"/>
      <c r="H17" s="316"/>
      <c r="I17" s="316"/>
    </row>
    <row r="18" spans="2:11">
      <c r="B18" s="295" t="s">
        <v>450</v>
      </c>
      <c r="C18" s="296" t="s">
        <v>379</v>
      </c>
      <c r="D18" s="297">
        <v>1063</v>
      </c>
      <c r="E18" s="317">
        <v>887485</v>
      </c>
      <c r="F18" s="317">
        <v>1170078</v>
      </c>
      <c r="G18" s="318">
        <v>-1765641</v>
      </c>
      <c r="H18" s="319">
        <v>-982</v>
      </c>
      <c r="I18" s="317">
        <v>292003</v>
      </c>
    </row>
    <row r="19" spans="2:11">
      <c r="B19" s="320" t="s">
        <v>450</v>
      </c>
      <c r="C19" s="91" t="s">
        <v>380</v>
      </c>
      <c r="D19" s="300">
        <v>106323</v>
      </c>
      <c r="E19" s="301"/>
      <c r="F19" s="301"/>
      <c r="G19" s="301"/>
      <c r="H19" s="301"/>
      <c r="I19" s="301"/>
    </row>
    <row r="20" spans="2:11">
      <c r="B20" s="320"/>
      <c r="C20" t="s">
        <v>218</v>
      </c>
      <c r="D20" s="182"/>
      <c r="E20" s="303"/>
      <c r="F20" s="303"/>
      <c r="G20" s="303"/>
      <c r="H20" s="303"/>
      <c r="I20" s="303"/>
      <c r="K20" t="s">
        <v>456</v>
      </c>
    </row>
    <row r="21" spans="2:11">
      <c r="B21" s="320"/>
      <c r="C21" t="s">
        <v>60</v>
      </c>
      <c r="D21" s="169"/>
      <c r="E21" s="302"/>
      <c r="F21" s="302"/>
      <c r="G21" s="302"/>
      <c r="H21" s="302"/>
      <c r="I21" s="308">
        <v>88670</v>
      </c>
      <c r="K21" t="s">
        <v>457</v>
      </c>
    </row>
    <row r="22" spans="2:11">
      <c r="B22" s="320"/>
      <c r="C22" t="s">
        <v>167</v>
      </c>
      <c r="D22" s="182"/>
      <c r="E22" s="303"/>
      <c r="F22" s="303"/>
      <c r="G22" s="303"/>
      <c r="H22" s="303"/>
      <c r="I22" s="321">
        <v>-84</v>
      </c>
    </row>
    <row r="23" spans="2:11">
      <c r="B23" s="320"/>
      <c r="C23" s="96" t="s">
        <v>383</v>
      </c>
      <c r="D23" s="322">
        <v>1071</v>
      </c>
      <c r="E23" s="323">
        <v>906458</v>
      </c>
      <c r="F23" s="323">
        <v>1217271</v>
      </c>
      <c r="G23" s="324">
        <v>-1802090</v>
      </c>
      <c r="H23" s="324">
        <v>-1066</v>
      </c>
      <c r="I23" s="323">
        <v>321644</v>
      </c>
    </row>
    <row r="24" spans="2:11">
      <c r="B24" s="320" t="s">
        <v>451</v>
      </c>
      <c r="C24" s="96" t="s">
        <v>384</v>
      </c>
      <c r="D24" s="325">
        <v>107098</v>
      </c>
      <c r="E24" s="326"/>
      <c r="F24" s="326"/>
      <c r="G24" s="326"/>
      <c r="H24" s="326"/>
      <c r="I24" s="326"/>
    </row>
    <row r="25" spans="2:11">
      <c r="B25" s="295"/>
      <c r="C25" s="296" t="s">
        <v>385</v>
      </c>
      <c r="D25" s="297">
        <v>1069</v>
      </c>
      <c r="E25" s="317">
        <v>893423</v>
      </c>
      <c r="F25" s="317">
        <v>1184199</v>
      </c>
      <c r="G25" s="318">
        <v>-1778017</v>
      </c>
      <c r="H25" s="319">
        <v>-835</v>
      </c>
      <c r="I25" s="317">
        <v>299839</v>
      </c>
    </row>
    <row r="26" spans="2:11">
      <c r="B26" s="295" t="s">
        <v>452</v>
      </c>
      <c r="C26" s="91" t="s">
        <v>386</v>
      </c>
      <c r="D26" s="300">
        <v>106951</v>
      </c>
      <c r="E26" s="301"/>
      <c r="F26" s="301"/>
      <c r="G26" s="301"/>
      <c r="H26" s="301"/>
      <c r="I26" s="301"/>
    </row>
    <row r="27" spans="2:11">
      <c r="B27" s="295"/>
      <c r="C27" t="s">
        <v>218</v>
      </c>
      <c r="D27" s="169"/>
      <c r="E27" s="302"/>
      <c r="F27" s="302"/>
      <c r="G27" s="302"/>
      <c r="H27" s="302"/>
      <c r="I27" s="302"/>
    </row>
    <row r="28" spans="2:11">
      <c r="B28" s="295"/>
      <c r="C28" t="s">
        <v>60</v>
      </c>
      <c r="D28" s="182"/>
      <c r="E28" s="303"/>
      <c r="F28" s="304">
        <v>42675</v>
      </c>
      <c r="G28" s="303"/>
      <c r="H28" s="303"/>
      <c r="I28" s="304">
        <v>42675</v>
      </c>
    </row>
    <row r="29" spans="2:11">
      <c r="B29" s="295"/>
      <c r="C29" t="s">
        <v>167</v>
      </c>
      <c r="D29" s="169"/>
      <c r="E29" s="302"/>
      <c r="F29" s="302"/>
      <c r="G29" s="302"/>
      <c r="H29" s="305">
        <v>180</v>
      </c>
      <c r="I29" s="305">
        <v>180</v>
      </c>
    </row>
    <row r="30" spans="2:11">
      <c r="B30" s="295"/>
      <c r="C30" t="s">
        <v>240</v>
      </c>
      <c r="D30" s="182"/>
      <c r="E30" s="303"/>
      <c r="F30" s="306">
        <v>-13759</v>
      </c>
      <c r="G30" s="303"/>
      <c r="H30" s="303"/>
      <c r="I30" s="306">
        <v>-13759</v>
      </c>
    </row>
    <row r="31" spans="2:11">
      <c r="B31" s="295"/>
      <c r="C31" t="s">
        <v>151</v>
      </c>
      <c r="D31" s="307">
        <v>1</v>
      </c>
      <c r="E31" s="308">
        <v>6369</v>
      </c>
      <c r="F31" s="302"/>
      <c r="G31" s="302"/>
      <c r="H31" s="302"/>
      <c r="I31" s="308">
        <v>6370</v>
      </c>
    </row>
    <row r="32" spans="2:11">
      <c r="B32" s="295"/>
      <c r="C32" t="s">
        <v>221</v>
      </c>
      <c r="D32" s="309">
        <v>92</v>
      </c>
      <c r="E32" s="303"/>
      <c r="F32" s="303"/>
      <c r="G32" s="303"/>
      <c r="H32" s="303"/>
      <c r="I32" s="303"/>
    </row>
    <row r="33" spans="2:9">
      <c r="B33" s="295"/>
      <c r="C33" t="s">
        <v>241</v>
      </c>
      <c r="D33" s="169"/>
      <c r="E33" s="302"/>
      <c r="F33" s="302"/>
      <c r="G33" s="310">
        <v>-9402</v>
      </c>
      <c r="H33" s="302"/>
      <c r="I33" s="310">
        <v>-9402</v>
      </c>
    </row>
    <row r="34" spans="2:9">
      <c r="B34" s="295" t="s">
        <v>452</v>
      </c>
      <c r="C34" s="296" t="s">
        <v>387</v>
      </c>
      <c r="D34" s="297">
        <v>1070</v>
      </c>
      <c r="E34" s="317">
        <v>899792</v>
      </c>
      <c r="F34" s="317">
        <v>1213115</v>
      </c>
      <c r="G34" s="318">
        <v>-1787419</v>
      </c>
      <c r="H34" s="319">
        <v>-655</v>
      </c>
      <c r="I34" s="317">
        <v>325903</v>
      </c>
    </row>
    <row r="35" spans="2:9">
      <c r="B35" s="295" t="s">
        <v>451</v>
      </c>
      <c r="C35" s="91" t="s">
        <v>388</v>
      </c>
      <c r="D35" s="300">
        <v>107043</v>
      </c>
      <c r="E35" s="301"/>
      <c r="F35" s="301"/>
      <c r="G35" s="301"/>
      <c r="H35" s="301"/>
      <c r="I35" s="301"/>
    </row>
    <row r="36" spans="2:9">
      <c r="B36" s="295"/>
      <c r="C36" t="s">
        <v>218</v>
      </c>
      <c r="D36" s="182"/>
      <c r="E36" s="303"/>
      <c r="F36" s="303"/>
      <c r="G36" s="303"/>
      <c r="H36" s="303"/>
      <c r="I36" s="303"/>
    </row>
    <row r="37" spans="2:9">
      <c r="B37" s="295"/>
      <c r="C37" t="s">
        <v>60</v>
      </c>
      <c r="D37" s="169"/>
      <c r="E37" s="302"/>
      <c r="F37" s="308">
        <v>17945</v>
      </c>
      <c r="G37" s="302"/>
      <c r="H37" s="302"/>
      <c r="I37" s="308">
        <v>17945</v>
      </c>
    </row>
    <row r="38" spans="2:9">
      <c r="B38" s="295"/>
      <c r="C38" t="s">
        <v>167</v>
      </c>
      <c r="D38" s="182"/>
      <c r="E38" s="303"/>
      <c r="F38" s="303"/>
      <c r="G38" s="303"/>
      <c r="H38" s="321">
        <v>-411</v>
      </c>
      <c r="I38" s="321">
        <v>-411</v>
      </c>
    </row>
    <row r="39" spans="2:9">
      <c r="B39" s="295"/>
      <c r="C39" t="s">
        <v>240</v>
      </c>
      <c r="D39" s="169"/>
      <c r="E39" s="302"/>
      <c r="F39" s="310">
        <v>-13789</v>
      </c>
      <c r="G39" s="302"/>
      <c r="H39" s="302"/>
      <c r="I39" s="310">
        <v>-13789</v>
      </c>
    </row>
    <row r="40" spans="2:9">
      <c r="B40" s="295"/>
      <c r="C40" t="s">
        <v>151</v>
      </c>
      <c r="D40" s="327">
        <v>1</v>
      </c>
      <c r="E40" s="304">
        <v>6666</v>
      </c>
      <c r="F40" s="303"/>
      <c r="G40" s="303"/>
      <c r="H40" s="303"/>
      <c r="I40" s="304">
        <v>6667</v>
      </c>
    </row>
    <row r="41" spans="2:9">
      <c r="B41" s="295"/>
      <c r="C41" t="s">
        <v>221</v>
      </c>
      <c r="D41" s="328">
        <v>55</v>
      </c>
      <c r="E41" s="302"/>
      <c r="F41" s="302"/>
      <c r="G41" s="302"/>
      <c r="H41" s="302"/>
      <c r="I41" s="302"/>
    </row>
    <row r="42" spans="2:9">
      <c r="B42" s="295"/>
      <c r="C42" t="s">
        <v>241</v>
      </c>
      <c r="D42" s="182"/>
      <c r="E42" s="303"/>
      <c r="F42" s="303"/>
      <c r="G42" s="306">
        <v>-14671</v>
      </c>
      <c r="H42" s="303"/>
      <c r="I42" s="306">
        <v>-14671</v>
      </c>
    </row>
    <row r="43" spans="2:9">
      <c r="B43" s="295" t="s">
        <v>451</v>
      </c>
      <c r="C43" s="296" t="s">
        <v>383</v>
      </c>
      <c r="D43" s="297">
        <v>1071</v>
      </c>
      <c r="E43" s="317">
        <v>906458</v>
      </c>
      <c r="F43" s="317">
        <v>1217271</v>
      </c>
      <c r="G43" s="318">
        <v>-1802090</v>
      </c>
      <c r="H43" s="318">
        <v>-1066</v>
      </c>
      <c r="I43" s="317">
        <v>321644</v>
      </c>
    </row>
    <row r="44" spans="2:9">
      <c r="B44" s="295"/>
      <c r="C44" s="91" t="s">
        <v>384</v>
      </c>
      <c r="D44" s="300">
        <v>107098</v>
      </c>
      <c r="E44" s="301"/>
      <c r="F44" s="301"/>
      <c r="G44" s="301"/>
      <c r="H44" s="301"/>
      <c r="I44" s="301"/>
    </row>
    <row r="45" spans="2:9">
      <c r="B45" s="295" t="s">
        <v>453</v>
      </c>
      <c r="C45" t="s">
        <v>238</v>
      </c>
      <c r="D45" s="311">
        <v>1072</v>
      </c>
      <c r="E45" s="312">
        <v>913442</v>
      </c>
      <c r="F45" s="312">
        <v>1216239</v>
      </c>
      <c r="G45" s="313">
        <v>-1811997</v>
      </c>
      <c r="H45" s="314">
        <v>-694</v>
      </c>
      <c r="I45" s="312">
        <v>318062</v>
      </c>
    </row>
    <row r="46" spans="2:9">
      <c r="B46" s="295"/>
      <c r="C46" t="s">
        <v>239</v>
      </c>
      <c r="D46" s="315">
        <v>107195</v>
      </c>
      <c r="E46" s="316"/>
      <c r="F46" s="316"/>
      <c r="G46" s="316"/>
      <c r="H46" s="316"/>
      <c r="I46" s="316"/>
    </row>
    <row r="47" spans="2:9">
      <c r="B47" s="295"/>
      <c r="C47" t="s">
        <v>218</v>
      </c>
      <c r="D47" s="169"/>
      <c r="E47" s="302"/>
      <c r="F47" s="302"/>
      <c r="G47" s="302"/>
      <c r="H47" s="302"/>
      <c r="I47" s="302"/>
    </row>
    <row r="48" spans="2:9">
      <c r="B48" s="295"/>
      <c r="C48" t="s">
        <v>60</v>
      </c>
      <c r="D48" s="182"/>
      <c r="E48" s="303"/>
      <c r="F48" s="304">
        <v>33191</v>
      </c>
      <c r="G48" s="303"/>
      <c r="H48" s="303"/>
      <c r="I48" s="304">
        <v>33191</v>
      </c>
    </row>
    <row r="49" spans="2:9">
      <c r="B49" s="295"/>
      <c r="C49" t="s">
        <v>167</v>
      </c>
      <c r="D49" s="169"/>
      <c r="E49" s="302"/>
      <c r="F49" s="302"/>
      <c r="G49" s="302"/>
      <c r="H49" s="329">
        <v>-253</v>
      </c>
      <c r="I49" s="329">
        <v>-253</v>
      </c>
    </row>
    <row r="50" spans="2:9">
      <c r="B50" s="295"/>
      <c r="C50" t="s">
        <v>240</v>
      </c>
      <c r="D50" s="182"/>
      <c r="E50" s="303"/>
      <c r="F50" s="306">
        <v>-13764</v>
      </c>
      <c r="G50" s="303"/>
      <c r="H50" s="303"/>
      <c r="I50" s="306">
        <v>-13764</v>
      </c>
    </row>
    <row r="51" spans="2:9">
      <c r="B51" s="295"/>
      <c r="C51" t="s">
        <v>151</v>
      </c>
      <c r="D51" s="307">
        <v>7</v>
      </c>
      <c r="E51" s="308">
        <v>7691</v>
      </c>
      <c r="F51" s="302"/>
      <c r="G51" s="302"/>
      <c r="H51" s="302"/>
      <c r="I51" s="308">
        <v>7698</v>
      </c>
    </row>
    <row r="52" spans="2:9">
      <c r="B52" s="295"/>
      <c r="C52" t="s">
        <v>221</v>
      </c>
      <c r="D52" s="309">
        <v>680</v>
      </c>
      <c r="E52" s="303"/>
      <c r="F52" s="303"/>
      <c r="G52" s="303"/>
      <c r="H52" s="303"/>
      <c r="I52" s="303"/>
    </row>
    <row r="53" spans="2:9">
      <c r="B53" s="295"/>
      <c r="C53" t="s">
        <v>241</v>
      </c>
      <c r="D53" s="169"/>
      <c r="E53" s="302"/>
      <c r="F53" s="302"/>
      <c r="G53" s="310">
        <v>-12496</v>
      </c>
      <c r="H53" s="302"/>
      <c r="I53" s="310">
        <v>-12496</v>
      </c>
    </row>
    <row r="54" spans="2:9">
      <c r="B54" s="295" t="s">
        <v>453</v>
      </c>
      <c r="C54" s="296" t="s">
        <v>242</v>
      </c>
      <c r="D54" s="297">
        <v>1079</v>
      </c>
      <c r="E54" s="317">
        <v>921133</v>
      </c>
      <c r="F54" s="317">
        <v>1235666</v>
      </c>
      <c r="G54" s="318">
        <v>-1824493</v>
      </c>
      <c r="H54" s="319">
        <v>-947</v>
      </c>
      <c r="I54" s="317">
        <v>332438</v>
      </c>
    </row>
    <row r="55" spans="2:9">
      <c r="B55" s="295"/>
      <c r="C55" s="91" t="s">
        <v>243</v>
      </c>
      <c r="D55" s="300">
        <v>107875</v>
      </c>
      <c r="E55" s="301"/>
      <c r="F55" s="301"/>
      <c r="G55" s="301"/>
      <c r="H55" s="301"/>
      <c r="I55" s="301"/>
    </row>
    <row r="56" spans="2:9">
      <c r="B56" s="320" t="s">
        <v>453</v>
      </c>
      <c r="C56" t="s">
        <v>238</v>
      </c>
      <c r="D56" s="311">
        <v>1072</v>
      </c>
      <c r="E56" s="312">
        <v>913442</v>
      </c>
      <c r="F56" s="312">
        <v>1216239</v>
      </c>
      <c r="G56" s="313">
        <v>-1811997</v>
      </c>
      <c r="H56" s="314">
        <v>-694</v>
      </c>
      <c r="I56" s="312">
        <v>318062</v>
      </c>
    </row>
    <row r="57" spans="2:9">
      <c r="B57" s="320"/>
      <c r="C57" t="s">
        <v>239</v>
      </c>
      <c r="D57" s="315">
        <v>107195</v>
      </c>
      <c r="E57" s="316"/>
      <c r="F57" s="316"/>
      <c r="G57" s="316"/>
      <c r="H57" s="316"/>
      <c r="I57" s="316"/>
    </row>
    <row r="58" spans="2:9">
      <c r="B58" s="320"/>
      <c r="C58" t="s">
        <v>218</v>
      </c>
      <c r="D58" s="182"/>
      <c r="E58" s="303"/>
      <c r="F58" s="303"/>
      <c r="G58" s="303"/>
      <c r="H58" s="303"/>
      <c r="I58" s="303"/>
    </row>
    <row r="59" spans="2:9">
      <c r="B59" s="320"/>
      <c r="C59" t="s">
        <v>60</v>
      </c>
      <c r="D59" s="169"/>
      <c r="E59" s="302"/>
      <c r="F59" s="302"/>
      <c r="G59" s="302"/>
      <c r="H59" s="302"/>
      <c r="I59" s="308">
        <v>115629</v>
      </c>
    </row>
    <row r="60" spans="2:9">
      <c r="B60" s="320"/>
      <c r="C60" t="s">
        <v>167</v>
      </c>
      <c r="D60" s="182"/>
      <c r="E60" s="303"/>
      <c r="F60" s="303"/>
      <c r="G60" s="303"/>
      <c r="H60" s="303"/>
      <c r="I60" s="330">
        <v>-200</v>
      </c>
    </row>
    <row r="61" spans="2:9">
      <c r="B61" s="320"/>
      <c r="C61" t="s">
        <v>244</v>
      </c>
      <c r="D61" s="169"/>
      <c r="E61" s="302"/>
      <c r="F61" s="302"/>
      <c r="G61" s="302"/>
      <c r="H61" s="302"/>
      <c r="I61" s="305">
        <v>500</v>
      </c>
    </row>
    <row r="62" spans="2:9">
      <c r="B62" s="320" t="s">
        <v>454</v>
      </c>
      <c r="C62" s="296" t="s">
        <v>389</v>
      </c>
      <c r="D62" s="297">
        <v>1080</v>
      </c>
      <c r="E62" s="317">
        <v>935093</v>
      </c>
      <c r="F62" s="317">
        <v>1290562</v>
      </c>
      <c r="G62" s="318">
        <v>-1829462</v>
      </c>
      <c r="H62" s="319">
        <v>-894</v>
      </c>
      <c r="I62" s="298">
        <v>396379</v>
      </c>
    </row>
    <row r="63" spans="2:9">
      <c r="B63" s="295"/>
      <c r="C63" s="91" t="s">
        <v>390</v>
      </c>
      <c r="D63" s="300">
        <v>107983</v>
      </c>
      <c r="E63" s="301"/>
      <c r="F63" s="301"/>
      <c r="G63" s="301"/>
      <c r="H63" s="301"/>
      <c r="I63" s="301"/>
    </row>
    <row r="64" spans="2:9">
      <c r="B64" s="295" t="s">
        <v>455</v>
      </c>
      <c r="C64" t="s">
        <v>247</v>
      </c>
      <c r="D64" s="311">
        <v>1079</v>
      </c>
      <c r="E64" s="312">
        <v>921133</v>
      </c>
      <c r="F64" s="312">
        <v>1235666</v>
      </c>
      <c r="G64" s="313">
        <v>-1824493</v>
      </c>
      <c r="H64" s="314">
        <v>-947</v>
      </c>
      <c r="I64" s="312">
        <v>332438</v>
      </c>
    </row>
    <row r="65" spans="2:9">
      <c r="B65" s="295"/>
      <c r="C65" t="s">
        <v>248</v>
      </c>
      <c r="D65" s="315">
        <v>107875</v>
      </c>
      <c r="E65" s="316"/>
      <c r="F65" s="316"/>
      <c r="G65" s="316"/>
      <c r="H65" s="316"/>
      <c r="I65" s="316"/>
    </row>
    <row r="66" spans="2:9">
      <c r="B66" s="295"/>
      <c r="C66" t="s">
        <v>218</v>
      </c>
      <c r="D66" s="182"/>
      <c r="E66" s="303"/>
      <c r="F66" s="303"/>
      <c r="G66" s="303"/>
      <c r="H66" s="303"/>
      <c r="I66" s="303"/>
    </row>
    <row r="67" spans="2:9">
      <c r="B67" s="295"/>
      <c r="C67" t="s">
        <v>60</v>
      </c>
      <c r="D67" s="169"/>
      <c r="E67" s="302"/>
      <c r="F67" s="308">
        <v>52444</v>
      </c>
      <c r="G67" s="302"/>
      <c r="H67" s="302"/>
      <c r="I67" s="308">
        <v>52444</v>
      </c>
    </row>
    <row r="68" spans="2:9">
      <c r="B68" s="295"/>
      <c r="C68" t="s">
        <v>167</v>
      </c>
      <c r="D68" s="182"/>
      <c r="E68" s="303"/>
      <c r="F68" s="303"/>
      <c r="G68" s="303"/>
      <c r="H68" s="321">
        <v>-124</v>
      </c>
      <c r="I68" s="321">
        <v>-124</v>
      </c>
    </row>
    <row r="69" spans="2:9">
      <c r="B69" s="295"/>
      <c r="C69" t="s">
        <v>240</v>
      </c>
      <c r="D69" s="169"/>
      <c r="E69" s="302"/>
      <c r="F69" s="310">
        <v>-13771</v>
      </c>
      <c r="G69" s="302"/>
      <c r="H69" s="302"/>
      <c r="I69" s="310">
        <v>-13771</v>
      </c>
    </row>
    <row r="70" spans="2:9">
      <c r="B70" s="295"/>
      <c r="C70" t="s">
        <v>151</v>
      </c>
      <c r="D70" s="327">
        <v>0</v>
      </c>
      <c r="E70" s="304">
        <v>6882</v>
      </c>
      <c r="F70" s="303"/>
      <c r="G70" s="303"/>
      <c r="H70" s="303"/>
      <c r="I70" s="304">
        <v>6882</v>
      </c>
    </row>
    <row r="71" spans="2:9">
      <c r="B71" s="295"/>
      <c r="C71" t="s">
        <v>221</v>
      </c>
      <c r="D71" s="328">
        <v>42</v>
      </c>
      <c r="E71" s="302"/>
      <c r="F71" s="302"/>
      <c r="G71" s="302"/>
      <c r="H71" s="302"/>
      <c r="I71" s="302"/>
    </row>
    <row r="72" spans="2:9">
      <c r="B72" s="295"/>
      <c r="C72" t="s">
        <v>241</v>
      </c>
      <c r="D72" s="182"/>
      <c r="E72" s="303"/>
      <c r="F72" s="303"/>
      <c r="G72" s="306">
        <v>-3889</v>
      </c>
      <c r="H72" s="303"/>
      <c r="I72" s="306">
        <v>-3889</v>
      </c>
    </row>
    <row r="73" spans="2:9">
      <c r="B73" s="295" t="s">
        <v>455</v>
      </c>
      <c r="C73" s="296" t="s">
        <v>245</v>
      </c>
      <c r="D73" s="297">
        <v>1079</v>
      </c>
      <c r="E73" s="317">
        <v>928015</v>
      </c>
      <c r="F73" s="317">
        <v>1274339</v>
      </c>
      <c r="G73" s="318">
        <v>-1828382</v>
      </c>
      <c r="H73" s="318">
        <v>-1071</v>
      </c>
      <c r="I73" s="317">
        <v>373980</v>
      </c>
    </row>
    <row r="74" spans="2:9">
      <c r="B74" s="295" t="s">
        <v>454</v>
      </c>
      <c r="C74" s="91" t="s">
        <v>246</v>
      </c>
      <c r="D74" s="300">
        <v>107917</v>
      </c>
      <c r="E74" s="301"/>
      <c r="F74" s="301"/>
      <c r="G74" s="301"/>
      <c r="H74" s="301"/>
      <c r="I74" s="301"/>
    </row>
    <row r="75" spans="2:9">
      <c r="B75" s="295"/>
      <c r="C75" t="s">
        <v>218</v>
      </c>
      <c r="D75" s="169"/>
      <c r="E75" s="302"/>
      <c r="F75" s="302"/>
      <c r="G75" s="302"/>
      <c r="H75" s="302"/>
      <c r="I75" s="302"/>
    </row>
    <row r="76" spans="2:9">
      <c r="B76" s="295"/>
      <c r="C76" t="s">
        <v>60</v>
      </c>
      <c r="D76" s="182"/>
      <c r="E76" s="303"/>
      <c r="F76" s="304">
        <v>29994</v>
      </c>
      <c r="G76" s="303"/>
      <c r="H76" s="303"/>
      <c r="I76" s="304">
        <v>29994</v>
      </c>
    </row>
    <row r="77" spans="2:9">
      <c r="B77" s="295"/>
      <c r="C77" t="s">
        <v>167</v>
      </c>
      <c r="D77" s="169"/>
      <c r="E77" s="302"/>
      <c r="F77" s="302"/>
      <c r="G77" s="302"/>
      <c r="H77" s="305">
        <v>177</v>
      </c>
      <c r="I77" s="305">
        <v>177</v>
      </c>
    </row>
    <row r="78" spans="2:9">
      <c r="B78" s="295"/>
      <c r="C78" t="s">
        <v>240</v>
      </c>
      <c r="D78" s="182"/>
      <c r="E78" s="303"/>
      <c r="F78" s="306">
        <v>-13771</v>
      </c>
      <c r="G78" s="303"/>
      <c r="H78" s="303"/>
      <c r="I78" s="306">
        <v>-13771</v>
      </c>
    </row>
    <row r="79" spans="2:9">
      <c r="B79" s="295"/>
      <c r="C79" t="s">
        <v>151</v>
      </c>
      <c r="D79" s="307">
        <v>1</v>
      </c>
      <c r="E79" s="308">
        <v>7078</v>
      </c>
      <c r="F79" s="302"/>
      <c r="G79" s="302"/>
      <c r="H79" s="302"/>
      <c r="I79" s="308">
        <v>7079</v>
      </c>
    </row>
    <row r="80" spans="2:9">
      <c r="B80" s="295"/>
      <c r="C80" t="s">
        <v>221</v>
      </c>
      <c r="D80" s="309">
        <v>66</v>
      </c>
      <c r="E80" s="303"/>
      <c r="F80" s="303"/>
      <c r="G80" s="303"/>
      <c r="H80" s="303"/>
      <c r="I80" s="303"/>
    </row>
    <row r="81" spans="2:9">
      <c r="B81" s="295"/>
      <c r="C81" t="s">
        <v>241</v>
      </c>
      <c r="D81" s="169"/>
      <c r="E81" s="302"/>
      <c r="F81" s="302"/>
      <c r="G81" s="310">
        <v>-1080</v>
      </c>
      <c r="H81" s="302"/>
      <c r="I81" s="331">
        <v>-1080</v>
      </c>
    </row>
    <row r="82" spans="2:9">
      <c r="B82" s="295"/>
      <c r="C82" t="s">
        <v>244</v>
      </c>
      <c r="D82" s="182"/>
      <c r="E82" s="303"/>
      <c r="F82" s="303"/>
      <c r="G82" s="303"/>
      <c r="H82" s="303"/>
      <c r="I82" s="304">
        <v>29450</v>
      </c>
    </row>
    <row r="83" spans="2:9">
      <c r="B83" s="295" t="s">
        <v>454</v>
      </c>
      <c r="C83" s="296" t="s">
        <v>389</v>
      </c>
      <c r="D83" s="297">
        <v>1080</v>
      </c>
      <c r="E83" s="298">
        <v>935093</v>
      </c>
      <c r="F83" s="298">
        <v>1290562</v>
      </c>
      <c r="G83" s="299">
        <v>-1829462</v>
      </c>
      <c r="H83" s="299">
        <v>-894</v>
      </c>
      <c r="I83" s="298">
        <v>396379</v>
      </c>
    </row>
    <row r="84" spans="2:9" ht="15" thickBot="1">
      <c r="B84" s="295"/>
      <c r="C84" s="91" t="s">
        <v>390</v>
      </c>
      <c r="D84" s="332">
        <v>107983</v>
      </c>
      <c r="E84" s="333"/>
      <c r="F84" s="333"/>
      <c r="G84" s="333"/>
      <c r="H84" s="333"/>
      <c r="I84" s="333"/>
    </row>
    <row r="85" spans="2:9">
      <c r="B85" s="295"/>
    </row>
    <row r="86" spans="2:9">
      <c r="B86" s="295"/>
    </row>
    <row r="87" spans="2:9">
      <c r="B87" s="295"/>
    </row>
    <row r="88" spans="2:9">
      <c r="B88" s="295"/>
    </row>
    <row r="89" spans="2:9">
      <c r="B89" s="295"/>
    </row>
    <row r="90" spans="2:9">
      <c r="B90" s="295"/>
    </row>
    <row r="91" spans="2:9">
      <c r="B91" s="295"/>
    </row>
    <row r="92" spans="2:9">
      <c r="B92" s="295"/>
    </row>
    <row r="93" spans="2:9">
      <c r="B93" s="295"/>
    </row>
    <row r="94" spans="2:9">
      <c r="B94" s="295"/>
    </row>
    <row r="95" spans="2:9">
      <c r="B95" s="295"/>
    </row>
    <row r="96" spans="2:9">
      <c r="B96" s="295"/>
    </row>
    <row r="97" spans="2:2">
      <c r="B97" s="295"/>
    </row>
    <row r="98" spans="2:2">
      <c r="B98" s="295"/>
    </row>
  </sheetData>
  <mergeCells count="7">
    <mergeCell ref="I5:I6"/>
    <mergeCell ref="A1:A2"/>
    <mergeCell ref="D5:D6"/>
    <mergeCell ref="E5:E6"/>
    <mergeCell ref="F5:F6"/>
    <mergeCell ref="G5:G6"/>
    <mergeCell ref="H5:H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495C9-26D5-4D5C-A659-E197E762E144}">
  <sheetPr>
    <tabColor rgb="FF00B0F0"/>
  </sheetPr>
  <dimension ref="A1:I35"/>
  <sheetViews>
    <sheetView workbookViewId="0">
      <pane ySplit="1" topLeftCell="A2" activePane="bottomLeft" state="frozen"/>
      <selection pane="bottomLeft"/>
    </sheetView>
  </sheetViews>
  <sheetFormatPr defaultRowHeight="14.5"/>
  <cols>
    <col min="1" max="1" width="33" customWidth="1"/>
    <col min="2" max="2" width="15.7265625" style="47" customWidth="1"/>
    <col min="3" max="3" width="14.26953125" style="47" customWidth="1"/>
    <col min="4" max="4" width="12.54296875" bestFit="1" customWidth="1"/>
    <col min="5" max="9" width="14" customWidth="1"/>
  </cols>
  <sheetData>
    <row r="1" spans="1:9" ht="43.5">
      <c r="A1" s="41" t="s">
        <v>407</v>
      </c>
      <c r="B1" s="277" t="s">
        <v>408</v>
      </c>
      <c r="C1" s="277" t="s">
        <v>409</v>
      </c>
      <c r="D1" s="48" t="s">
        <v>410</v>
      </c>
      <c r="E1" s="48" t="s">
        <v>411</v>
      </c>
      <c r="F1" s="278" t="s">
        <v>412</v>
      </c>
      <c r="G1" s="279" t="s">
        <v>413</v>
      </c>
      <c r="H1" s="279" t="s">
        <v>414</v>
      </c>
      <c r="I1" t="s">
        <v>415</v>
      </c>
    </row>
    <row r="2" spans="1:9">
      <c r="A2" s="43" t="s">
        <v>88</v>
      </c>
      <c r="B2" s="47" t="s">
        <v>416</v>
      </c>
      <c r="C2" s="47" t="s">
        <v>417</v>
      </c>
      <c r="D2" t="s">
        <v>418</v>
      </c>
      <c r="E2" s="44" t="s">
        <v>419</v>
      </c>
      <c r="F2" s="44" t="s">
        <v>420</v>
      </c>
      <c r="G2" s="44" t="s">
        <v>421</v>
      </c>
      <c r="H2" s="44" t="s">
        <v>422</v>
      </c>
      <c r="I2" s="280" t="s">
        <v>423</v>
      </c>
    </row>
    <row r="3" spans="1:9">
      <c r="A3" s="44" t="s">
        <v>89</v>
      </c>
      <c r="B3" s="47">
        <v>114777</v>
      </c>
      <c r="C3" s="47">
        <v>116164</v>
      </c>
      <c r="D3" s="47">
        <v>91557</v>
      </c>
      <c r="E3" s="45">
        <v>63987</v>
      </c>
      <c r="F3" s="45">
        <v>56290</v>
      </c>
      <c r="G3" s="45">
        <v>60220</v>
      </c>
      <c r="H3" s="45">
        <v>40654</v>
      </c>
      <c r="I3" s="45">
        <v>52215</v>
      </c>
    </row>
    <row r="4" spans="1:9">
      <c r="A4" s="44" t="s">
        <v>90</v>
      </c>
      <c r="B4" s="47">
        <v>105511</v>
      </c>
      <c r="C4" s="47">
        <v>68456</v>
      </c>
      <c r="D4" s="47">
        <v>71366</v>
      </c>
      <c r="E4" s="45">
        <v>70236</v>
      </c>
      <c r="F4" s="45">
        <v>103094</v>
      </c>
      <c r="G4" s="45">
        <v>75559</v>
      </c>
      <c r="H4" s="45">
        <v>72420</v>
      </c>
      <c r="I4" s="46">
        <v>74344</v>
      </c>
    </row>
    <row r="5" spans="1:9">
      <c r="A5" s="44" t="s">
        <v>91</v>
      </c>
      <c r="B5" s="47">
        <v>21522</v>
      </c>
      <c r="C5" s="47">
        <v>21640</v>
      </c>
      <c r="D5" s="47">
        <v>22739</v>
      </c>
      <c r="E5" s="45">
        <v>23923</v>
      </c>
      <c r="F5" s="45">
        <v>20670</v>
      </c>
      <c r="G5" s="45">
        <v>19838</v>
      </c>
      <c r="H5" s="45">
        <v>24855</v>
      </c>
      <c r="I5" s="46">
        <v>28980</v>
      </c>
    </row>
    <row r="6" spans="1:9">
      <c r="A6" s="44" t="s">
        <v>92</v>
      </c>
      <c r="B6" s="47">
        <v>55559</v>
      </c>
      <c r="C6" s="47">
        <v>58989</v>
      </c>
      <c r="D6" s="47">
        <v>60868</v>
      </c>
      <c r="E6" s="45">
        <v>58672</v>
      </c>
      <c r="F6" s="45">
        <v>57654</v>
      </c>
      <c r="G6" s="45">
        <v>65469</v>
      </c>
      <c r="H6" s="45">
        <v>70987</v>
      </c>
      <c r="I6" s="46">
        <v>69805</v>
      </c>
    </row>
    <row r="7" spans="1:9">
      <c r="A7" s="44" t="s">
        <v>93</v>
      </c>
      <c r="B7" s="47">
        <v>48399</v>
      </c>
      <c r="C7" s="47">
        <v>48387</v>
      </c>
      <c r="D7" s="47">
        <v>52641</v>
      </c>
      <c r="E7" s="45">
        <v>55558</v>
      </c>
      <c r="F7" s="45">
        <v>63090</v>
      </c>
      <c r="G7" s="45">
        <v>62486</v>
      </c>
      <c r="H7" s="45">
        <v>69019</v>
      </c>
      <c r="I7" s="46">
        <v>61194</v>
      </c>
    </row>
    <row r="8" spans="1:9">
      <c r="A8" s="44" t="s">
        <v>94</v>
      </c>
      <c r="B8" s="47">
        <v>345768</v>
      </c>
      <c r="C8" s="47">
        <v>313636</v>
      </c>
      <c r="D8" s="47">
        <v>299171</v>
      </c>
      <c r="E8" s="45">
        <v>272376</v>
      </c>
      <c r="F8" s="45">
        <v>300798</v>
      </c>
      <c r="G8" s="45">
        <v>283572</v>
      </c>
      <c r="H8" s="45">
        <v>277935</v>
      </c>
      <c r="I8" s="46">
        <v>286538</v>
      </c>
    </row>
    <row r="9" spans="1:9">
      <c r="A9" s="44" t="s">
        <v>95</v>
      </c>
      <c r="B9" s="47">
        <v>746051</v>
      </c>
      <c r="C9" s="47">
        <v>754895</v>
      </c>
      <c r="D9" s="47">
        <v>770315</v>
      </c>
      <c r="E9" s="45">
        <v>777669</v>
      </c>
      <c r="F9" s="45">
        <v>791093</v>
      </c>
      <c r="G9" s="45">
        <v>793810</v>
      </c>
      <c r="H9" s="45">
        <v>810444</v>
      </c>
      <c r="I9" s="46">
        <v>829393</v>
      </c>
    </row>
    <row r="10" spans="1:9">
      <c r="A10" s="43" t="s">
        <v>96</v>
      </c>
      <c r="B10" s="47" t="s">
        <v>51</v>
      </c>
      <c r="C10" s="47" t="s">
        <v>51</v>
      </c>
      <c r="D10" s="47" t="s">
        <v>51</v>
      </c>
      <c r="E10" s="45" t="s">
        <v>51</v>
      </c>
      <c r="F10" s="45" t="s">
        <v>51</v>
      </c>
      <c r="G10" s="45" t="s">
        <v>51</v>
      </c>
      <c r="H10" s="45" t="s">
        <v>51</v>
      </c>
      <c r="I10" s="44" t="s">
        <v>51</v>
      </c>
    </row>
    <row r="11" spans="1:9">
      <c r="A11" s="44" t="s">
        <v>97</v>
      </c>
      <c r="B11" s="47">
        <v>251524</v>
      </c>
      <c r="C11" s="47">
        <v>251526</v>
      </c>
      <c r="D11" s="47">
        <v>251559</v>
      </c>
      <c r="E11" s="45">
        <v>251529</v>
      </c>
      <c r="F11" s="45">
        <v>251727</v>
      </c>
      <c r="G11" s="45">
        <v>251771</v>
      </c>
      <c r="H11" s="45">
        <v>252039</v>
      </c>
      <c r="I11" s="46">
        <v>252015</v>
      </c>
    </row>
    <row r="12" spans="1:9">
      <c r="A12" s="281" t="s">
        <v>98</v>
      </c>
      <c r="B12" s="47">
        <v>1268986</v>
      </c>
      <c r="C12" s="47">
        <v>1259026</v>
      </c>
      <c r="D12" s="47">
        <v>1280758</v>
      </c>
      <c r="E12" s="45">
        <v>1307345</v>
      </c>
      <c r="F12" s="45">
        <v>1302150</v>
      </c>
      <c r="G12" s="45">
        <v>1310319</v>
      </c>
      <c r="H12" s="45">
        <v>1338155</v>
      </c>
      <c r="I12" s="46">
        <v>1361826</v>
      </c>
    </row>
    <row r="13" spans="1:9">
      <c r="A13" s="44" t="s">
        <v>99</v>
      </c>
      <c r="B13" s="47">
        <v>162891</v>
      </c>
      <c r="C13" s="47">
        <v>163405</v>
      </c>
      <c r="D13" s="47">
        <v>167905</v>
      </c>
      <c r="E13" s="45">
        <v>167971</v>
      </c>
      <c r="F13" s="45">
        <v>194615</v>
      </c>
      <c r="G13" s="45">
        <v>198168</v>
      </c>
      <c r="H13" s="45">
        <v>201018</v>
      </c>
      <c r="I13" s="46">
        <v>206016</v>
      </c>
    </row>
    <row r="14" spans="1:9">
      <c r="A14" s="44" t="s">
        <v>100</v>
      </c>
      <c r="B14" s="47">
        <v>1683401</v>
      </c>
      <c r="C14" s="47">
        <v>1673957</v>
      </c>
      <c r="D14" s="47">
        <v>1700222</v>
      </c>
      <c r="E14" s="45">
        <v>1726845</v>
      </c>
      <c r="F14" s="45">
        <v>1748492</v>
      </c>
      <c r="G14" s="45">
        <v>1760258</v>
      </c>
      <c r="H14" s="45">
        <v>1791212</v>
      </c>
      <c r="I14" s="46">
        <v>1819857</v>
      </c>
    </row>
    <row r="15" spans="1:9">
      <c r="A15" s="44" t="s">
        <v>101</v>
      </c>
      <c r="B15" s="47">
        <v>2775220</v>
      </c>
      <c r="C15" s="47">
        <v>2742488</v>
      </c>
      <c r="D15" s="47">
        <v>2769708</v>
      </c>
      <c r="E15" s="45">
        <v>2776890</v>
      </c>
      <c r="F15" s="45">
        <v>2840383</v>
      </c>
      <c r="G15" s="45">
        <v>2837640</v>
      </c>
      <c r="H15" s="45">
        <v>2879591</v>
      </c>
      <c r="I15" s="46">
        <v>2935788</v>
      </c>
    </row>
    <row r="16" spans="1:9">
      <c r="A16" s="43" t="s">
        <v>102</v>
      </c>
      <c r="B16" s="47" t="s">
        <v>51</v>
      </c>
      <c r="C16" s="47" t="s">
        <v>51</v>
      </c>
      <c r="D16" s="47" t="s">
        <v>51</v>
      </c>
      <c r="E16" s="45" t="s">
        <v>51</v>
      </c>
      <c r="F16" s="45" t="s">
        <v>51</v>
      </c>
      <c r="G16" s="45" t="s">
        <v>51</v>
      </c>
      <c r="H16" s="45" t="s">
        <v>51</v>
      </c>
      <c r="I16" s="44" t="s">
        <v>51</v>
      </c>
    </row>
    <row r="17" spans="1:9">
      <c r="A17" s="44" t="s">
        <v>103</v>
      </c>
      <c r="B17" s="47">
        <v>66638</v>
      </c>
      <c r="C17" s="47">
        <v>57001</v>
      </c>
      <c r="D17" s="47">
        <v>72682</v>
      </c>
      <c r="E17" s="45">
        <v>53392</v>
      </c>
      <c r="F17" s="45">
        <v>63152</v>
      </c>
      <c r="G17" s="45">
        <v>61383</v>
      </c>
      <c r="H17" s="45">
        <v>68644</v>
      </c>
      <c r="I17" s="46">
        <v>62663</v>
      </c>
    </row>
    <row r="18" spans="1:9">
      <c r="A18" s="44" t="s">
        <v>104</v>
      </c>
      <c r="B18" s="47">
        <v>219808</v>
      </c>
      <c r="C18" s="47">
        <v>191908</v>
      </c>
      <c r="D18" s="47">
        <v>187483</v>
      </c>
      <c r="E18" s="45">
        <v>180200</v>
      </c>
      <c r="F18" s="45">
        <v>222915</v>
      </c>
      <c r="G18" s="45">
        <v>196236</v>
      </c>
      <c r="H18" s="45">
        <v>192344</v>
      </c>
      <c r="I18" s="46">
        <v>184258</v>
      </c>
    </row>
    <row r="19" spans="1:9">
      <c r="A19" s="281" t="s">
        <v>105</v>
      </c>
      <c r="B19" s="282">
        <v>139099</v>
      </c>
      <c r="C19" s="282">
        <v>140493</v>
      </c>
      <c r="D19" s="282">
        <v>142370</v>
      </c>
      <c r="E19" s="283">
        <v>144488</v>
      </c>
      <c r="F19" s="283">
        <v>134905</v>
      </c>
      <c r="G19" s="283">
        <v>147380</v>
      </c>
      <c r="H19" s="283">
        <v>149899</v>
      </c>
      <c r="I19" s="284">
        <v>139974</v>
      </c>
    </row>
    <row r="20" spans="1:9">
      <c r="A20" s="44" t="s">
        <v>106</v>
      </c>
      <c r="B20" s="47">
        <v>231133</v>
      </c>
      <c r="C20" s="47">
        <v>237293</v>
      </c>
      <c r="D20" s="47">
        <v>220917</v>
      </c>
      <c r="E20" s="45">
        <v>240440</v>
      </c>
      <c r="F20" s="45">
        <v>239699</v>
      </c>
      <c r="G20" s="45">
        <v>249502</v>
      </c>
      <c r="H20" s="45">
        <v>231720</v>
      </c>
      <c r="I20" s="46">
        <v>264998</v>
      </c>
    </row>
    <row r="21" spans="1:9">
      <c r="A21" s="44" t="s">
        <v>107</v>
      </c>
      <c r="B21" s="47">
        <v>656678</v>
      </c>
      <c r="C21" s="47">
        <v>626695</v>
      </c>
      <c r="D21" s="47">
        <v>623452</v>
      </c>
      <c r="E21" s="45">
        <v>618520</v>
      </c>
      <c r="F21" s="45">
        <v>660671</v>
      </c>
      <c r="G21" s="45">
        <v>654501</v>
      </c>
      <c r="H21" s="45">
        <v>642607</v>
      </c>
      <c r="I21" s="46">
        <v>651893</v>
      </c>
    </row>
    <row r="22" spans="1:9">
      <c r="A22" s="44" t="s">
        <v>108</v>
      </c>
      <c r="B22" s="47">
        <v>468032</v>
      </c>
      <c r="C22" s="47">
        <v>468536</v>
      </c>
      <c r="D22" s="47">
        <v>469040</v>
      </c>
      <c r="E22" s="45">
        <v>469543</v>
      </c>
      <c r="F22" s="45">
        <v>470047</v>
      </c>
      <c r="G22" s="45">
        <v>470551</v>
      </c>
      <c r="H22" s="45">
        <v>471054</v>
      </c>
      <c r="I22" s="46">
        <v>471558</v>
      </c>
    </row>
    <row r="23" spans="1:9">
      <c r="A23" s="43" t="s">
        <v>105</v>
      </c>
      <c r="B23" s="82">
        <v>1233497</v>
      </c>
      <c r="C23" s="82">
        <v>1218024</v>
      </c>
      <c r="D23" s="82">
        <v>1228664</v>
      </c>
      <c r="E23" s="285">
        <v>1246819</v>
      </c>
      <c r="F23" s="285">
        <v>1254955</v>
      </c>
      <c r="G23" s="285">
        <v>1243276</v>
      </c>
      <c r="H23" s="285">
        <v>1258933</v>
      </c>
      <c r="I23" s="81">
        <v>1276951</v>
      </c>
    </row>
    <row r="24" spans="1:9">
      <c r="A24" s="44" t="s">
        <v>109</v>
      </c>
      <c r="B24" s="47">
        <v>125010</v>
      </c>
      <c r="C24" s="47">
        <v>129394</v>
      </c>
      <c r="D24" s="47">
        <v>122649</v>
      </c>
      <c r="E24" s="45">
        <v>120364</v>
      </c>
      <c r="F24" s="45">
        <v>136648</v>
      </c>
      <c r="G24" s="45">
        <v>136874</v>
      </c>
      <c r="H24" s="45">
        <v>133017</v>
      </c>
      <c r="I24" s="46">
        <v>139007</v>
      </c>
    </row>
    <row r="25" spans="1:9">
      <c r="A25" s="44" t="s">
        <v>110</v>
      </c>
      <c r="B25" s="47">
        <v>2483217</v>
      </c>
      <c r="C25" s="286">
        <v>2442649</v>
      </c>
      <c r="D25" s="45">
        <v>2443805</v>
      </c>
      <c r="E25" s="45">
        <v>2455246</v>
      </c>
      <c r="F25" s="45">
        <v>2522321</v>
      </c>
      <c r="G25" s="45">
        <v>2505202</v>
      </c>
      <c r="H25" s="45">
        <v>2505611</v>
      </c>
      <c r="I25" s="46">
        <v>2539409</v>
      </c>
    </row>
    <row r="26" spans="1:9" ht="29">
      <c r="A26" s="44" t="s">
        <v>424</v>
      </c>
      <c r="D26" s="47"/>
      <c r="E26" s="45" t="s">
        <v>29</v>
      </c>
      <c r="F26" s="45"/>
      <c r="G26" s="45" t="s">
        <v>29</v>
      </c>
      <c r="H26" s="45" t="s">
        <v>29</v>
      </c>
      <c r="I26" s="44" t="s">
        <v>29</v>
      </c>
    </row>
    <row r="27" spans="1:9">
      <c r="A27" s="43" t="s">
        <v>111</v>
      </c>
      <c r="B27" s="47" t="str">
        <f>VLOOKUP(A27,[1]BS!$A:$B,2,FALSE)</f>
        <v> </v>
      </c>
      <c r="C27" s="47" t="s">
        <v>51</v>
      </c>
      <c r="D27" s="47" t="s">
        <v>51</v>
      </c>
      <c r="E27" s="45" t="s">
        <v>51</v>
      </c>
      <c r="F27" s="45"/>
      <c r="G27" s="45" t="s">
        <v>51</v>
      </c>
      <c r="H27" s="45" t="s">
        <v>51</v>
      </c>
      <c r="I27" s="44" t="s">
        <v>51</v>
      </c>
    </row>
    <row r="28" spans="1:9" ht="43.5">
      <c r="A28" s="44" t="s">
        <v>425</v>
      </c>
      <c r="B28" s="47" t="s">
        <v>29</v>
      </c>
      <c r="C28" s="47" t="s">
        <v>29</v>
      </c>
      <c r="D28" s="47"/>
      <c r="E28" s="45"/>
      <c r="F28" s="45"/>
      <c r="G28" s="45" t="s">
        <v>29</v>
      </c>
      <c r="H28" s="45" t="s">
        <v>29</v>
      </c>
      <c r="I28" s="44" t="s">
        <v>29</v>
      </c>
    </row>
    <row r="29" spans="1:9" ht="101.5">
      <c r="A29" s="44" t="s">
        <v>426</v>
      </c>
      <c r="B29" s="47">
        <v>1063</v>
      </c>
      <c r="C29" s="47">
        <v>1069</v>
      </c>
      <c r="D29" s="47">
        <v>1070</v>
      </c>
      <c r="E29" s="45">
        <v>1071</v>
      </c>
      <c r="F29" s="45">
        <v>1072</v>
      </c>
      <c r="G29" s="45">
        <v>1079</v>
      </c>
      <c r="H29" s="45">
        <v>1079</v>
      </c>
      <c r="I29" s="46">
        <v>1080</v>
      </c>
    </row>
    <row r="30" spans="1:9">
      <c r="A30" s="44" t="s">
        <v>112</v>
      </c>
      <c r="B30" s="47">
        <f>VLOOKUP(A30,[1]BS!$A:$B,2,FALSE)</f>
        <v>887485</v>
      </c>
      <c r="C30" s="47">
        <v>893423</v>
      </c>
      <c r="D30" s="47">
        <v>899792</v>
      </c>
      <c r="E30" s="45">
        <v>906458</v>
      </c>
      <c r="F30" s="45">
        <v>913442</v>
      </c>
      <c r="G30" s="45">
        <v>921133</v>
      </c>
      <c r="H30" s="45">
        <v>928015</v>
      </c>
      <c r="I30" s="46">
        <v>935093</v>
      </c>
    </row>
    <row r="31" spans="1:9">
      <c r="A31" s="44" t="s">
        <v>15</v>
      </c>
      <c r="B31" s="47">
        <f>VLOOKUP(A31,[1]BS!$A:$B,2,FALSE)</f>
        <v>1170078</v>
      </c>
      <c r="C31" s="47">
        <v>1184199</v>
      </c>
      <c r="D31" s="47">
        <v>1213115</v>
      </c>
      <c r="E31" s="45">
        <v>1217271</v>
      </c>
      <c r="F31" s="45">
        <v>1216239</v>
      </c>
      <c r="G31" s="45">
        <v>1235666</v>
      </c>
      <c r="H31" s="45">
        <v>1274339</v>
      </c>
      <c r="I31" s="46">
        <v>1290562</v>
      </c>
    </row>
    <row r="32" spans="1:9" ht="58">
      <c r="A32" s="44" t="s">
        <v>427</v>
      </c>
      <c r="B32" s="77">
        <v>-1765641</v>
      </c>
      <c r="C32" s="77">
        <v>-1778017</v>
      </c>
      <c r="D32" s="77">
        <v>-1787419</v>
      </c>
      <c r="E32" s="45">
        <v>-1802090</v>
      </c>
      <c r="F32" s="45">
        <v>-1811997</v>
      </c>
      <c r="G32" s="45">
        <v>-1824493</v>
      </c>
      <c r="H32" s="45">
        <v>-1828382</v>
      </c>
      <c r="I32" s="46">
        <v>-1829462</v>
      </c>
    </row>
    <row r="33" spans="1:9" ht="29">
      <c r="A33" s="44" t="s">
        <v>113</v>
      </c>
      <c r="B33" s="47">
        <f>VLOOKUP(A33,[1]BS!$A:$B,2,FALSE)</f>
        <v>-982</v>
      </c>
      <c r="C33" s="47">
        <v>-835</v>
      </c>
      <c r="D33" s="47">
        <v>-655</v>
      </c>
      <c r="E33" s="45">
        <v>-1066</v>
      </c>
      <c r="F33" s="45">
        <v>-694</v>
      </c>
      <c r="G33" s="45">
        <v>-947</v>
      </c>
      <c r="H33" s="45">
        <v>-1071</v>
      </c>
      <c r="I33" s="46">
        <v>-894</v>
      </c>
    </row>
    <row r="34" spans="1:9">
      <c r="A34" s="44" t="s">
        <v>114</v>
      </c>
      <c r="B34" s="47">
        <f>VLOOKUP(A34,[1]BS!$A:$B,2,FALSE)</f>
        <v>292003</v>
      </c>
      <c r="C34" s="47">
        <v>299839</v>
      </c>
      <c r="D34" s="47">
        <v>325903</v>
      </c>
      <c r="E34" s="45">
        <v>321644</v>
      </c>
      <c r="F34" s="45">
        <v>318062</v>
      </c>
      <c r="G34" s="45">
        <v>332438</v>
      </c>
      <c r="H34" s="45">
        <v>373980</v>
      </c>
      <c r="I34" s="46">
        <v>396379</v>
      </c>
    </row>
    <row r="35" spans="1:9" ht="29">
      <c r="A35" s="43" t="s">
        <v>428</v>
      </c>
      <c r="B35" s="289">
        <v>2775220</v>
      </c>
      <c r="C35" s="289">
        <v>2742488</v>
      </c>
      <c r="D35" s="289">
        <v>2769708</v>
      </c>
      <c r="E35" s="290">
        <v>2776890</v>
      </c>
      <c r="F35" s="290">
        <v>2840383</v>
      </c>
      <c r="G35" s="290">
        <v>2837640</v>
      </c>
      <c r="H35" s="290">
        <v>2879591</v>
      </c>
      <c r="I35" s="290">
        <v>2935788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A3683-1832-447F-9911-51AE3D40BEB1}">
  <sheetPr>
    <tabColor rgb="FF00B0F0"/>
  </sheetPr>
  <dimension ref="A1:H41"/>
  <sheetViews>
    <sheetView topLeftCell="A19" workbookViewId="0"/>
  </sheetViews>
  <sheetFormatPr defaultColWidth="39.08984375" defaultRowHeight="14.5"/>
  <cols>
    <col min="1" max="1" width="45.36328125" style="96" customWidth="1"/>
    <col min="2" max="3" width="14.6328125" style="347" customWidth="1"/>
    <col min="4" max="4" width="14.6328125" style="348" customWidth="1"/>
    <col min="5" max="5" width="14.6328125" style="347" customWidth="1"/>
    <col min="6" max="7" width="14.6328125" style="348" customWidth="1"/>
    <col min="8" max="8" width="14.6328125" style="347" customWidth="1"/>
    <col min="9" max="16384" width="39.08984375" style="96"/>
  </cols>
  <sheetData>
    <row r="1" spans="1:8">
      <c r="A1" s="432" t="s">
        <v>175</v>
      </c>
      <c r="B1" s="340" t="s">
        <v>450</v>
      </c>
      <c r="C1" s="341" t="s">
        <v>452</v>
      </c>
      <c r="D1" s="341" t="s">
        <v>451</v>
      </c>
      <c r="E1" s="340" t="s">
        <v>429</v>
      </c>
      <c r="F1" s="341" t="s">
        <v>453</v>
      </c>
      <c r="G1" s="340" t="s">
        <v>455</v>
      </c>
      <c r="H1" s="341" t="s">
        <v>454</v>
      </c>
    </row>
    <row r="2" spans="1:8">
      <c r="A2" s="433"/>
      <c r="B2" s="342" t="s">
        <v>458</v>
      </c>
      <c r="C2" s="342" t="s">
        <v>458</v>
      </c>
      <c r="D2" s="348" t="s">
        <v>459</v>
      </c>
      <c r="E2" s="344" t="s">
        <v>458</v>
      </c>
      <c r="F2" s="344" t="s">
        <v>458</v>
      </c>
      <c r="G2" s="344" t="s">
        <v>458</v>
      </c>
      <c r="H2" s="344" t="s">
        <v>458</v>
      </c>
    </row>
    <row r="3" spans="1:8">
      <c r="A3" s="343" t="s">
        <v>148</v>
      </c>
      <c r="B3" s="345"/>
      <c r="C3" s="345"/>
      <c r="D3" s="349"/>
      <c r="E3" s="345"/>
      <c r="F3" s="349"/>
      <c r="G3" s="349"/>
      <c r="H3" s="345"/>
    </row>
    <row r="4" spans="1:8">
      <c r="A4" s="114" t="s">
        <v>60</v>
      </c>
      <c r="B4" s="346">
        <v>28050</v>
      </c>
      <c r="C4" s="346">
        <v>42675</v>
      </c>
      <c r="D4" s="350">
        <v>17945</v>
      </c>
      <c r="E4" s="346">
        <v>12681</v>
      </c>
      <c r="F4" s="346">
        <v>33191</v>
      </c>
      <c r="G4" s="346">
        <v>52444</v>
      </c>
      <c r="H4" s="346">
        <v>29994</v>
      </c>
    </row>
    <row r="5" spans="1:8" ht="29">
      <c r="A5" s="115" t="s">
        <v>149</v>
      </c>
      <c r="B5" s="346" t="s">
        <v>51</v>
      </c>
      <c r="C5" s="346"/>
      <c r="D5" s="350"/>
      <c r="E5" s="346"/>
      <c r="F5" s="346" t="s">
        <v>51</v>
      </c>
      <c r="G5" s="346"/>
      <c r="H5" s="346"/>
    </row>
    <row r="6" spans="1:8">
      <c r="A6" s="114" t="s">
        <v>56</v>
      </c>
      <c r="B6" s="346">
        <v>22955</v>
      </c>
      <c r="C6" s="346">
        <v>23332</v>
      </c>
      <c r="D6" s="350">
        <v>22837</v>
      </c>
      <c r="E6" s="346">
        <v>24012</v>
      </c>
      <c r="F6" s="346">
        <v>24756</v>
      </c>
      <c r="G6" s="346">
        <v>24960</v>
      </c>
      <c r="H6" s="346">
        <v>25299</v>
      </c>
    </row>
    <row r="7" spans="1:8">
      <c r="A7" s="114" t="s">
        <v>460</v>
      </c>
      <c r="B7" s="346">
        <v>-14</v>
      </c>
      <c r="C7" s="346">
        <v>-754</v>
      </c>
      <c r="D7" s="350">
        <v>15</v>
      </c>
      <c r="E7" s="346">
        <v>27751</v>
      </c>
      <c r="F7" s="346">
        <v>850</v>
      </c>
      <c r="G7" s="346">
        <v>-244</v>
      </c>
      <c r="H7" s="346">
        <v>-2986</v>
      </c>
    </row>
    <row r="8" spans="1:8">
      <c r="A8" s="114" t="s">
        <v>150</v>
      </c>
      <c r="B8" s="346">
        <v>3192</v>
      </c>
      <c r="C8" s="346">
        <v>-723</v>
      </c>
      <c r="D8" s="350">
        <v>-856</v>
      </c>
      <c r="E8" s="346">
        <v>-17328</v>
      </c>
      <c r="F8" s="346">
        <v>3006</v>
      </c>
      <c r="G8" s="346">
        <v>-495</v>
      </c>
      <c r="H8" s="346">
        <v>1396</v>
      </c>
    </row>
    <row r="9" spans="1:8">
      <c r="A9" s="114" t="s">
        <v>151</v>
      </c>
      <c r="B9" s="346">
        <v>5902</v>
      </c>
      <c r="C9" s="346">
        <v>6325</v>
      </c>
      <c r="D9" s="350">
        <v>6623</v>
      </c>
      <c r="E9" s="346">
        <v>6931</v>
      </c>
      <c r="F9" s="346">
        <v>7649</v>
      </c>
      <c r="G9" s="346">
        <v>6826</v>
      </c>
      <c r="H9" s="346">
        <v>7021</v>
      </c>
    </row>
    <row r="10" spans="1:8">
      <c r="A10" s="352" t="s">
        <v>176</v>
      </c>
      <c r="B10" s="346">
        <v>0</v>
      </c>
      <c r="C10" s="346">
        <v>0</v>
      </c>
      <c r="D10" s="350">
        <v>0</v>
      </c>
      <c r="E10" s="346">
        <v>0</v>
      </c>
      <c r="F10" s="346"/>
      <c r="G10" s="346">
        <v>-6506</v>
      </c>
      <c r="H10" s="346">
        <v>0</v>
      </c>
    </row>
    <row r="11" spans="1:8">
      <c r="A11" s="115" t="s">
        <v>152</v>
      </c>
      <c r="B11" s="346" t="s">
        <v>51</v>
      </c>
      <c r="C11" s="346"/>
      <c r="D11" s="350"/>
      <c r="E11" s="346"/>
      <c r="F11" s="346" t="s">
        <v>51</v>
      </c>
      <c r="G11" s="346"/>
      <c r="H11" s="346"/>
    </row>
    <row r="12" spans="1:8">
      <c r="A12" s="114" t="s">
        <v>90</v>
      </c>
      <c r="B12" s="346">
        <v>38013</v>
      </c>
      <c r="C12" s="346">
        <v>-6273</v>
      </c>
      <c r="D12" s="350">
        <v>367</v>
      </c>
      <c r="E12" s="346">
        <v>-32205</v>
      </c>
      <c r="F12" s="346">
        <v>31124</v>
      </c>
      <c r="G12" s="346">
        <v>-2662</v>
      </c>
      <c r="H12" s="346">
        <v>3003</v>
      </c>
    </row>
    <row r="13" spans="1:8">
      <c r="A13" s="114" t="s">
        <v>153</v>
      </c>
      <c r="B13" s="346">
        <v>-118</v>
      </c>
      <c r="C13" s="346">
        <v>-1098</v>
      </c>
      <c r="D13" s="350">
        <v>-1185</v>
      </c>
      <c r="E13" s="346">
        <v>3253</v>
      </c>
      <c r="F13" s="346">
        <v>832</v>
      </c>
      <c r="G13" s="346">
        <v>-5017</v>
      </c>
      <c r="H13" s="346">
        <v>-4125</v>
      </c>
    </row>
    <row r="14" spans="1:8">
      <c r="A14" s="114" t="s">
        <v>92</v>
      </c>
      <c r="B14" s="346">
        <v>-3428</v>
      </c>
      <c r="C14" s="346">
        <v>-1878</v>
      </c>
      <c r="D14" s="350">
        <v>2193</v>
      </c>
      <c r="E14" s="346">
        <v>1021</v>
      </c>
      <c r="F14" s="346">
        <v>-7818</v>
      </c>
      <c r="G14" s="346">
        <v>-5524</v>
      </c>
      <c r="H14" s="346">
        <v>1183</v>
      </c>
    </row>
    <row r="15" spans="1:8">
      <c r="A15" s="114" t="s">
        <v>93</v>
      </c>
      <c r="B15" s="346">
        <v>14</v>
      </c>
      <c r="C15" s="346">
        <v>-4254</v>
      </c>
      <c r="D15" s="350">
        <v>-2919</v>
      </c>
      <c r="E15" s="346">
        <v>-7535</v>
      </c>
      <c r="F15" s="346">
        <v>605</v>
      </c>
      <c r="G15" s="346">
        <v>-6563</v>
      </c>
      <c r="H15" s="346">
        <v>7811</v>
      </c>
    </row>
    <row r="16" spans="1:8">
      <c r="A16" s="114" t="s">
        <v>154</v>
      </c>
      <c r="B16" s="346">
        <v>-3777</v>
      </c>
      <c r="C16" s="346">
        <v>-8441</v>
      </c>
      <c r="D16" s="350">
        <v>-6354</v>
      </c>
      <c r="E16" s="346">
        <v>-8541</v>
      </c>
      <c r="F16" s="346">
        <v>-7789</v>
      </c>
      <c r="G16" s="346">
        <v>-8940</v>
      </c>
      <c r="H16" s="346">
        <v>-11581</v>
      </c>
    </row>
    <row r="17" spans="1:8">
      <c r="A17" s="114" t="s">
        <v>11</v>
      </c>
      <c r="B17" s="346">
        <v>-3592</v>
      </c>
      <c r="C17" s="346">
        <v>-3515</v>
      </c>
      <c r="D17" s="350">
        <v>1021</v>
      </c>
      <c r="E17" s="346">
        <v>-8418</v>
      </c>
      <c r="F17" s="346">
        <v>-6417</v>
      </c>
      <c r="G17" s="346">
        <v>-2421</v>
      </c>
      <c r="H17" s="346">
        <v>-5823</v>
      </c>
    </row>
    <row r="18" spans="1:8">
      <c r="A18" s="114" t="s">
        <v>103</v>
      </c>
      <c r="B18" s="346">
        <v>-4543</v>
      </c>
      <c r="C18" s="346">
        <v>5170</v>
      </c>
      <c r="D18" s="350">
        <v>-11612</v>
      </c>
      <c r="E18" s="346">
        <v>14956</v>
      </c>
      <c r="F18" s="346">
        <v>3831</v>
      </c>
      <c r="G18" s="346">
        <v>520</v>
      </c>
      <c r="H18" s="346">
        <v>-1972</v>
      </c>
    </row>
    <row r="19" spans="1:8">
      <c r="A19" s="114" t="s">
        <v>104</v>
      </c>
      <c r="B19" s="346">
        <v>-27902</v>
      </c>
      <c r="C19" s="346">
        <v>-4426</v>
      </c>
      <c r="D19" s="350">
        <v>-7280</v>
      </c>
      <c r="E19" s="346">
        <v>42712</v>
      </c>
      <c r="F19" s="346">
        <v>-26677</v>
      </c>
      <c r="G19" s="346">
        <v>-3891</v>
      </c>
      <c r="H19" s="346">
        <v>-8087</v>
      </c>
    </row>
    <row r="20" spans="1:8">
      <c r="A20" s="114" t="s">
        <v>106</v>
      </c>
      <c r="B20" s="346">
        <v>10283</v>
      </c>
      <c r="C20" s="346">
        <v>-9659</v>
      </c>
      <c r="D20" s="350">
        <v>28235</v>
      </c>
      <c r="E20" s="346">
        <v>8565</v>
      </c>
      <c r="F20" s="346">
        <v>9605</v>
      </c>
      <c r="G20" s="346">
        <v>-14790</v>
      </c>
      <c r="H20" s="346">
        <v>38746</v>
      </c>
    </row>
    <row r="21" spans="1:8" s="355" customFormat="1" ht="42">
      <c r="A21" s="164" t="s">
        <v>155</v>
      </c>
      <c r="B21" s="353">
        <v>65035</v>
      </c>
      <c r="C21" s="353">
        <v>36481</v>
      </c>
      <c r="D21" s="354">
        <v>49030</v>
      </c>
      <c r="E21" s="353">
        <v>67855</v>
      </c>
      <c r="F21" s="353">
        <v>66748</v>
      </c>
      <c r="G21" s="353">
        <v>27697</v>
      </c>
      <c r="H21" s="353">
        <v>79879</v>
      </c>
    </row>
    <row r="22" spans="1:8">
      <c r="A22" s="115" t="s">
        <v>156</v>
      </c>
      <c r="B22" s="346" t="s">
        <v>51</v>
      </c>
      <c r="C22" s="346"/>
      <c r="D22" s="350"/>
      <c r="E22" s="346"/>
      <c r="F22" s="346" t="s">
        <v>51</v>
      </c>
      <c r="G22" s="346"/>
      <c r="H22" s="346"/>
    </row>
    <row r="23" spans="1:8">
      <c r="A23" s="114" t="s">
        <v>157</v>
      </c>
      <c r="B23" s="395">
        <v>-37962</v>
      </c>
      <c r="C23" s="395">
        <v>-24698</v>
      </c>
      <c r="D23" s="396">
        <v>-37263</v>
      </c>
      <c r="E23" s="395">
        <v>-51642</v>
      </c>
      <c r="F23" s="395">
        <v>-37110</v>
      </c>
      <c r="G23" s="395">
        <v>-29187</v>
      </c>
      <c r="H23" s="395">
        <v>-54215</v>
      </c>
    </row>
    <row r="24" spans="1:8">
      <c r="A24" s="114" t="s">
        <v>158</v>
      </c>
      <c r="B24" s="346">
        <v>-182</v>
      </c>
      <c r="C24" s="346">
        <v>-210</v>
      </c>
      <c r="D24" s="350">
        <v>-175</v>
      </c>
      <c r="E24" s="346">
        <v>-1091</v>
      </c>
      <c r="F24" s="346">
        <v>-227</v>
      </c>
      <c r="G24" s="346">
        <v>-453</v>
      </c>
      <c r="H24" s="346">
        <v>-158</v>
      </c>
    </row>
    <row r="25" spans="1:8">
      <c r="A25" s="114" t="s">
        <v>99</v>
      </c>
      <c r="B25" s="346">
        <v>-18</v>
      </c>
      <c r="C25" s="346">
        <v>-138</v>
      </c>
      <c r="D25" s="350">
        <v>-2</v>
      </c>
      <c r="E25" s="346">
        <v>-116</v>
      </c>
      <c r="F25" s="346">
        <v>-19</v>
      </c>
      <c r="G25" s="346">
        <v>192</v>
      </c>
      <c r="H25" s="346">
        <v>148</v>
      </c>
    </row>
    <row r="26" spans="1:8" ht="18.5">
      <c r="A26" s="115" t="s">
        <v>159</v>
      </c>
      <c r="B26" s="356">
        <v>-38162</v>
      </c>
      <c r="C26" s="356">
        <v>-25046</v>
      </c>
      <c r="D26" s="357">
        <v>-37440</v>
      </c>
      <c r="E26" s="356">
        <v>-52849</v>
      </c>
      <c r="F26" s="356">
        <v>-37356</v>
      </c>
      <c r="G26" s="356">
        <v>-29448</v>
      </c>
      <c r="H26" s="356">
        <v>-54225</v>
      </c>
    </row>
    <row r="27" spans="1:8">
      <c r="A27" s="115" t="s">
        <v>160</v>
      </c>
      <c r="B27" s="346" t="s">
        <v>51</v>
      </c>
      <c r="C27" s="346"/>
      <c r="D27" s="350"/>
      <c r="E27" s="346"/>
      <c r="F27" s="346" t="s">
        <v>51</v>
      </c>
      <c r="G27" s="346"/>
      <c r="H27" s="346"/>
    </row>
    <row r="28" spans="1:8" ht="29">
      <c r="A28" s="114" t="s">
        <v>161</v>
      </c>
      <c r="B28" s="346" t="s">
        <v>51</v>
      </c>
      <c r="C28" s="346">
        <v>-12994</v>
      </c>
      <c r="D28" s="350">
        <v>-11249</v>
      </c>
      <c r="E28" s="346">
        <v>0</v>
      </c>
      <c r="F28" s="346"/>
      <c r="G28" s="346"/>
      <c r="H28" s="346"/>
    </row>
    <row r="29" spans="1:8">
      <c r="A29" s="114" t="s">
        <v>164</v>
      </c>
      <c r="B29" s="346">
        <v>-13182</v>
      </c>
      <c r="C29" s="346">
        <v>-13816</v>
      </c>
      <c r="D29" s="350">
        <v>-13128</v>
      </c>
      <c r="E29" s="346">
        <v>-13081</v>
      </c>
      <c r="F29" s="346">
        <v>-12823</v>
      </c>
      <c r="G29" s="346">
        <v>-13870</v>
      </c>
      <c r="H29" s="346">
        <v>-13111</v>
      </c>
    </row>
    <row r="30" spans="1:8">
      <c r="A30" s="114" t="s">
        <v>165</v>
      </c>
      <c r="B30" s="346">
        <v>-12376</v>
      </c>
      <c r="C30" s="346">
        <v>-9319</v>
      </c>
      <c r="D30" s="350">
        <v>-14565</v>
      </c>
      <c r="E30" s="346">
        <v>-9825</v>
      </c>
      <c r="F30" s="346">
        <v>-12496</v>
      </c>
      <c r="G30" s="346">
        <v>-3869</v>
      </c>
      <c r="H30" s="346">
        <v>-1100</v>
      </c>
    </row>
    <row r="31" spans="1:8" ht="18.5">
      <c r="A31" s="165" t="s">
        <v>166</v>
      </c>
      <c r="B31" s="356">
        <v>-25558</v>
      </c>
      <c r="C31" s="356">
        <v>-36129</v>
      </c>
      <c r="D31" s="357">
        <v>-38942</v>
      </c>
      <c r="E31" s="356">
        <v>-22906</v>
      </c>
      <c r="F31" s="356">
        <v>-25319</v>
      </c>
      <c r="G31" s="356">
        <v>-17739</v>
      </c>
      <c r="H31" s="356">
        <v>-14211</v>
      </c>
    </row>
    <row r="32" spans="1:8">
      <c r="A32" s="114" t="s">
        <v>167</v>
      </c>
      <c r="B32" s="346">
        <v>72</v>
      </c>
      <c r="C32" s="346">
        <v>87</v>
      </c>
      <c r="D32" s="350">
        <v>-218</v>
      </c>
      <c r="E32" s="346">
        <v>203</v>
      </c>
      <c r="F32" s="346">
        <v>-143</v>
      </c>
      <c r="G32" s="346">
        <v>-76</v>
      </c>
      <c r="H32" s="346">
        <v>118</v>
      </c>
    </row>
    <row r="33" spans="1:8">
      <c r="A33" s="114" t="s">
        <v>168</v>
      </c>
      <c r="B33" s="346">
        <v>1387</v>
      </c>
      <c r="C33" s="346">
        <v>-24607</v>
      </c>
      <c r="D33" s="350">
        <v>-27570</v>
      </c>
      <c r="E33" s="350">
        <v>-7697</v>
      </c>
      <c r="F33" s="350">
        <v>3930</v>
      </c>
      <c r="G33" s="350">
        <v>-19566</v>
      </c>
      <c r="H33" s="350">
        <v>11561</v>
      </c>
    </row>
    <row r="34" spans="1:8">
      <c r="A34" s="114" t="s">
        <v>169</v>
      </c>
      <c r="B34" s="346">
        <v>114777</v>
      </c>
      <c r="C34" s="346">
        <v>116164</v>
      </c>
      <c r="D34" s="350">
        <v>91557</v>
      </c>
      <c r="E34" s="346">
        <v>63987</v>
      </c>
      <c r="F34" s="346">
        <f>E35</f>
        <v>56290</v>
      </c>
      <c r="G34" s="346">
        <v>60220</v>
      </c>
      <c r="H34" s="346">
        <v>40654</v>
      </c>
    </row>
    <row r="35" spans="1:8">
      <c r="A35" s="114" t="s">
        <v>170</v>
      </c>
      <c r="B35" s="346">
        <v>116164</v>
      </c>
      <c r="C35" s="346">
        <v>91557</v>
      </c>
      <c r="D35" s="350">
        <v>63987</v>
      </c>
      <c r="E35" s="351">
        <v>56290</v>
      </c>
      <c r="F35" s="351">
        <f>[2]BS!D3</f>
        <v>91557</v>
      </c>
      <c r="G35" s="351">
        <v>40654</v>
      </c>
      <c r="H35" s="351">
        <v>52215</v>
      </c>
    </row>
    <row r="36" spans="1:8">
      <c r="A36" s="115" t="s">
        <v>171</v>
      </c>
      <c r="B36" s="346" t="s">
        <v>51</v>
      </c>
      <c r="C36" s="346"/>
      <c r="D36" s="350"/>
      <c r="E36" s="346"/>
      <c r="F36" s="346" t="s">
        <v>51</v>
      </c>
      <c r="G36" s="346"/>
      <c r="H36" s="346"/>
    </row>
    <row r="37" spans="1:8">
      <c r="A37" s="114" t="s">
        <v>172</v>
      </c>
      <c r="B37" s="346">
        <v>2184</v>
      </c>
      <c r="C37" s="346">
        <v>3124</v>
      </c>
      <c r="D37" s="350">
        <v>1078</v>
      </c>
      <c r="E37" s="347">
        <v>3378</v>
      </c>
      <c r="F37" s="346">
        <v>4155</v>
      </c>
      <c r="G37" s="346">
        <v>3193</v>
      </c>
      <c r="H37" s="346">
        <v>2588</v>
      </c>
    </row>
    <row r="38" spans="1:8">
      <c r="A38" s="114" t="s">
        <v>173</v>
      </c>
      <c r="B38" s="346">
        <v>693</v>
      </c>
      <c r="C38" s="346">
        <v>4482</v>
      </c>
      <c r="D38" s="350">
        <v>1893</v>
      </c>
      <c r="E38" s="347">
        <v>7405</v>
      </c>
      <c r="F38" s="346">
        <v>677</v>
      </c>
      <c r="G38" s="346">
        <v>10445</v>
      </c>
      <c r="H38" s="346">
        <v>4853</v>
      </c>
    </row>
    <row r="39" spans="1:8">
      <c r="A39" s="114" t="s">
        <v>174</v>
      </c>
      <c r="B39" s="346">
        <v>4255</v>
      </c>
      <c r="C39" s="346">
        <v>10497</v>
      </c>
      <c r="D39" s="350">
        <v>-7666</v>
      </c>
      <c r="E39" s="347">
        <v>9729</v>
      </c>
      <c r="F39" s="346">
        <v>11224</v>
      </c>
      <c r="G39" s="346">
        <v>6741</v>
      </c>
      <c r="H39" s="346">
        <v>-4013</v>
      </c>
    </row>
    <row r="40" spans="1:8">
      <c r="B40" s="347">
        <f>B35-B34</f>
        <v>1387</v>
      </c>
      <c r="C40" s="347">
        <v>-24607</v>
      </c>
      <c r="D40" s="350">
        <v>-4350</v>
      </c>
      <c r="F40" s="347"/>
      <c r="G40" s="346"/>
      <c r="H40" s="346"/>
    </row>
    <row r="41" spans="1:8">
      <c r="E41" s="346"/>
    </row>
  </sheetData>
  <mergeCells count="1">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9A2B-350D-423A-8F62-D0D68965BF2E}">
  <sheetPr codeName="Sheet41">
    <tabColor rgb="FF002060"/>
  </sheetPr>
  <dimension ref="B1:B11"/>
  <sheetViews>
    <sheetView workbookViewId="0"/>
  </sheetViews>
  <sheetFormatPr defaultColWidth="9.08984375" defaultRowHeight="11.5"/>
  <cols>
    <col min="1" max="1" width="2" style="1" customWidth="1"/>
    <col min="2" max="16384" width="9.08984375" style="1"/>
  </cols>
  <sheetData>
    <row r="1" spans="2:2" ht="15.5">
      <c r="B1" s="2"/>
    </row>
    <row r="11" spans="2:2" ht="50.5">
      <c r="B11" s="33" t="s">
        <v>293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tabColor rgb="FF00B050"/>
  </sheetPr>
  <dimension ref="B1:T27"/>
  <sheetViews>
    <sheetView workbookViewId="0"/>
  </sheetViews>
  <sheetFormatPr defaultColWidth="9.08984375" defaultRowHeight="11.5"/>
  <cols>
    <col min="1" max="1" width="2" style="4" customWidth="1"/>
    <col min="2" max="2" width="24.08984375" style="4" bestFit="1" customWidth="1"/>
    <col min="3" max="3" width="10.54296875" style="4" bestFit="1" customWidth="1"/>
    <col min="4" max="4" width="10.90625" style="4" customWidth="1"/>
    <col min="5" max="5" width="10.6328125" style="4" customWidth="1"/>
    <col min="6" max="6" width="10" style="4" bestFit="1" customWidth="1"/>
    <col min="7" max="10" width="10" style="4" customWidth="1"/>
    <col min="11" max="11" width="9.08984375" style="4"/>
    <col min="12" max="12" width="22.08984375" style="4" bestFit="1" customWidth="1"/>
    <col min="13" max="13" width="11.36328125" style="4" customWidth="1"/>
    <col min="14" max="14" width="10.08984375" style="4" bestFit="1" customWidth="1"/>
    <col min="15" max="15" width="10.54296875" style="4" customWidth="1"/>
    <col min="16" max="16" width="11.08984375" style="4" customWidth="1"/>
    <col min="17" max="19" width="9.7265625" style="4" bestFit="1" customWidth="1"/>
    <col min="20" max="20" width="11.1796875" style="4" bestFit="1" customWidth="1"/>
    <col min="21" max="16384" width="9.08984375" style="4"/>
  </cols>
  <sheetData>
    <row r="1" spans="2:20" ht="15.5">
      <c r="B1" s="3" t="s">
        <v>0</v>
      </c>
    </row>
    <row r="2" spans="2:20" ht="12">
      <c r="F2" s="52"/>
      <c r="G2" s="52"/>
      <c r="H2" s="52"/>
      <c r="I2" s="52"/>
      <c r="J2" s="52"/>
      <c r="P2" s="52"/>
    </row>
    <row r="3" spans="2:20" ht="23.5" thickBot="1">
      <c r="B3" s="11" t="s">
        <v>20</v>
      </c>
      <c r="C3" s="12" t="s">
        <v>430</v>
      </c>
      <c r="D3" s="12" t="s">
        <v>431</v>
      </c>
      <c r="E3" s="12" t="s">
        <v>432</v>
      </c>
      <c r="F3" s="12" t="s">
        <v>433</v>
      </c>
      <c r="G3" s="12" t="s">
        <v>434</v>
      </c>
      <c r="H3" s="12" t="s">
        <v>435</v>
      </c>
      <c r="I3" s="12" t="s">
        <v>436</v>
      </c>
      <c r="J3" s="12" t="s">
        <v>437</v>
      </c>
      <c r="L3" s="5" t="s">
        <v>20</v>
      </c>
      <c r="M3" s="12" t="s">
        <v>430</v>
      </c>
      <c r="N3" s="12" t="s">
        <v>431</v>
      </c>
      <c r="O3" s="12" t="s">
        <v>432</v>
      </c>
      <c r="P3" s="12" t="s">
        <v>433</v>
      </c>
      <c r="Q3" s="12" t="s">
        <v>434</v>
      </c>
      <c r="R3" s="12" t="s">
        <v>435</v>
      </c>
      <c r="S3" s="12" t="s">
        <v>436</v>
      </c>
      <c r="T3" s="12" t="s">
        <v>437</v>
      </c>
    </row>
    <row r="4" spans="2:20">
      <c r="B4" s="4" t="s">
        <v>89</v>
      </c>
      <c r="C4" s="9">
        <v>114777</v>
      </c>
      <c r="D4" s="9">
        <v>116164</v>
      </c>
      <c r="E4" s="9">
        <v>91557</v>
      </c>
      <c r="F4" s="9">
        <v>63987</v>
      </c>
      <c r="G4" s="9">
        <v>56290</v>
      </c>
      <c r="H4" s="9">
        <v>60220</v>
      </c>
      <c r="I4" s="9">
        <v>40654</v>
      </c>
      <c r="J4" s="9">
        <v>52215</v>
      </c>
      <c r="K4" s="9"/>
      <c r="L4" s="9" t="s">
        <v>297</v>
      </c>
      <c r="M4" s="4" t="s">
        <v>29</v>
      </c>
      <c r="N4" s="4" t="s">
        <v>29</v>
      </c>
      <c r="O4" s="4">
        <v>0</v>
      </c>
      <c r="P4" s="4">
        <v>0</v>
      </c>
      <c r="Q4" s="4">
        <v>0</v>
      </c>
      <c r="R4" s="4" t="s">
        <v>29</v>
      </c>
      <c r="S4" s="4" t="s">
        <v>29</v>
      </c>
      <c r="T4" s="4" t="s">
        <v>29</v>
      </c>
    </row>
    <row r="5" spans="2:20">
      <c r="B5" s="4" t="s">
        <v>115</v>
      </c>
      <c r="C5" s="9">
        <v>105511</v>
      </c>
      <c r="D5" s="9">
        <v>68456</v>
      </c>
      <c r="E5" s="9">
        <v>71366</v>
      </c>
      <c r="F5" s="9">
        <v>70236</v>
      </c>
      <c r="G5" s="9">
        <v>103094</v>
      </c>
      <c r="H5" s="9">
        <v>75559</v>
      </c>
      <c r="I5" s="9">
        <v>72420</v>
      </c>
      <c r="J5" s="9">
        <v>74344</v>
      </c>
      <c r="K5" s="9"/>
      <c r="L5" s="9" t="s">
        <v>298</v>
      </c>
      <c r="M5" s="9">
        <v>1063</v>
      </c>
      <c r="N5" s="9">
        <v>1069</v>
      </c>
      <c r="O5" s="9">
        <v>1070</v>
      </c>
      <c r="P5" s="9">
        <v>1071</v>
      </c>
      <c r="Q5" s="9">
        <v>1072</v>
      </c>
      <c r="R5" s="9">
        <v>1079</v>
      </c>
      <c r="S5" s="9">
        <v>1079</v>
      </c>
      <c r="T5" s="9">
        <v>1080</v>
      </c>
    </row>
    <row r="6" spans="2:20">
      <c r="B6" s="4" t="s">
        <v>12</v>
      </c>
      <c r="C6" s="9">
        <v>55559</v>
      </c>
      <c r="D6" s="9">
        <v>58989</v>
      </c>
      <c r="E6" s="9">
        <v>60868</v>
      </c>
      <c r="F6" s="9">
        <v>58672</v>
      </c>
      <c r="G6" s="9">
        <v>57654</v>
      </c>
      <c r="H6" s="9">
        <v>65469</v>
      </c>
      <c r="I6" s="9">
        <v>70987</v>
      </c>
      <c r="J6" s="9">
        <v>69805</v>
      </c>
      <c r="K6" s="9"/>
      <c r="L6" s="9" t="s">
        <v>112</v>
      </c>
      <c r="M6" s="9">
        <v>887485</v>
      </c>
      <c r="N6" s="9">
        <v>893423</v>
      </c>
      <c r="O6" s="9">
        <v>899792</v>
      </c>
      <c r="P6" s="9">
        <v>906458</v>
      </c>
      <c r="Q6" s="9">
        <v>913442</v>
      </c>
      <c r="R6" s="9">
        <v>921133</v>
      </c>
      <c r="S6" s="9">
        <v>928015</v>
      </c>
      <c r="T6" s="9">
        <v>935093</v>
      </c>
    </row>
    <row r="7" spans="2:20">
      <c r="B7" s="4" t="s">
        <v>116</v>
      </c>
      <c r="C7" s="9">
        <v>69921</v>
      </c>
      <c r="D7" s="9">
        <v>70027</v>
      </c>
      <c r="E7" s="9">
        <v>75380</v>
      </c>
      <c r="F7" s="9">
        <v>79481</v>
      </c>
      <c r="G7" s="9">
        <v>83760</v>
      </c>
      <c r="H7" s="9">
        <v>82324</v>
      </c>
      <c r="I7" s="9">
        <v>93874</v>
      </c>
      <c r="J7" s="9">
        <v>90174</v>
      </c>
      <c r="K7" s="9"/>
      <c r="L7" s="9" t="s">
        <v>15</v>
      </c>
      <c r="M7" s="9">
        <v>1170078</v>
      </c>
      <c r="N7" s="9">
        <v>1184199</v>
      </c>
      <c r="O7" s="9">
        <v>1213115</v>
      </c>
      <c r="P7" s="9">
        <v>1217271</v>
      </c>
      <c r="Q7" s="9">
        <v>1216239</v>
      </c>
      <c r="R7" s="9">
        <v>1235666</v>
      </c>
      <c r="S7" s="9">
        <v>1274339</v>
      </c>
      <c r="T7" s="9">
        <v>1290562</v>
      </c>
    </row>
    <row r="8" spans="2:20">
      <c r="B8" s="59" t="s">
        <v>91</v>
      </c>
      <c r="C8" s="9">
        <v>21522</v>
      </c>
      <c r="D8" s="9">
        <v>21640</v>
      </c>
      <c r="E8" s="9">
        <v>22739</v>
      </c>
      <c r="F8" s="9">
        <v>23923</v>
      </c>
      <c r="G8" s="9">
        <v>20670</v>
      </c>
      <c r="H8" s="9">
        <v>19838</v>
      </c>
      <c r="I8" s="9">
        <v>24855</v>
      </c>
      <c r="J8" s="9">
        <v>28980</v>
      </c>
      <c r="K8" s="9"/>
      <c r="L8" s="9" t="s">
        <v>299</v>
      </c>
      <c r="M8" s="9">
        <v>-1765641</v>
      </c>
      <c r="N8" s="9">
        <v>-1778017</v>
      </c>
      <c r="O8" s="9">
        <v>-1787419</v>
      </c>
      <c r="P8" s="9">
        <v>-1802090</v>
      </c>
      <c r="Q8" s="9">
        <v>-1811997</v>
      </c>
      <c r="R8" s="9">
        <v>-1824493</v>
      </c>
      <c r="S8" s="9">
        <v>-1828382</v>
      </c>
      <c r="T8" s="9">
        <v>-1829462</v>
      </c>
    </row>
    <row r="9" spans="2:20">
      <c r="B9" s="59" t="s">
        <v>93</v>
      </c>
      <c r="C9" s="9">
        <v>48399</v>
      </c>
      <c r="D9" s="9">
        <v>48387</v>
      </c>
      <c r="E9" s="9">
        <v>52641</v>
      </c>
      <c r="F9" s="9">
        <v>55558</v>
      </c>
      <c r="G9" s="9">
        <v>63090</v>
      </c>
      <c r="H9" s="9">
        <v>62486</v>
      </c>
      <c r="I9" s="9">
        <v>69019</v>
      </c>
      <c r="J9" s="9">
        <v>61194</v>
      </c>
      <c r="K9" s="9"/>
      <c r="L9" s="9" t="s">
        <v>300</v>
      </c>
      <c r="M9" s="9">
        <v>-982</v>
      </c>
      <c r="N9" s="9">
        <v>-835</v>
      </c>
      <c r="O9" s="9">
        <v>-655</v>
      </c>
      <c r="P9" s="9">
        <v>-1066</v>
      </c>
      <c r="Q9" s="9">
        <v>-694</v>
      </c>
      <c r="R9" s="9">
        <v>-947</v>
      </c>
      <c r="S9" s="9">
        <v>-1071</v>
      </c>
      <c r="T9" s="9">
        <v>-894</v>
      </c>
    </row>
    <row r="10" spans="2:20" ht="12" thickBot="1">
      <c r="B10" s="6" t="s">
        <v>94</v>
      </c>
      <c r="C10" s="10">
        <f>C6+C5+C4+C8+C9</f>
        <v>345768</v>
      </c>
      <c r="D10" s="10">
        <f>D6+D5+D4+D8+D9</f>
        <v>313636</v>
      </c>
      <c r="E10" s="10">
        <f t="shared" ref="E10:J10" si="0">E6+E5+E4+E8+E9</f>
        <v>299171</v>
      </c>
      <c r="F10" s="10">
        <f t="shared" si="0"/>
        <v>272376</v>
      </c>
      <c r="G10" s="10">
        <f t="shared" si="0"/>
        <v>300798</v>
      </c>
      <c r="H10" s="10">
        <f t="shared" si="0"/>
        <v>283572</v>
      </c>
      <c r="I10" s="10">
        <f t="shared" si="0"/>
        <v>277935</v>
      </c>
      <c r="J10" s="10">
        <f t="shared" si="0"/>
        <v>286538</v>
      </c>
      <c r="K10" s="9"/>
      <c r="L10" s="10" t="s">
        <v>16</v>
      </c>
      <c r="M10" s="10">
        <f>SUM(M4:M9)</f>
        <v>292003</v>
      </c>
      <c r="N10" s="10">
        <f t="shared" ref="N10:T10" si="1">SUM(N4:N9)</f>
        <v>299839</v>
      </c>
      <c r="O10" s="10">
        <f t="shared" si="1"/>
        <v>325903</v>
      </c>
      <c r="P10" s="10">
        <f t="shared" si="1"/>
        <v>321644</v>
      </c>
      <c r="Q10" s="10">
        <f t="shared" si="1"/>
        <v>318062</v>
      </c>
      <c r="R10" s="10">
        <f t="shared" si="1"/>
        <v>332438</v>
      </c>
      <c r="S10" s="10">
        <f t="shared" si="1"/>
        <v>373980</v>
      </c>
      <c r="T10" s="10">
        <f t="shared" si="1"/>
        <v>396379</v>
      </c>
    </row>
    <row r="11" spans="2:20">
      <c r="B11" s="49"/>
      <c r="C11" s="50"/>
      <c r="D11" s="50"/>
      <c r="E11" s="50"/>
      <c r="F11" s="50"/>
      <c r="G11" s="50"/>
      <c r="H11" s="50"/>
      <c r="I11" s="50"/>
      <c r="J11" s="50"/>
      <c r="K11" s="9"/>
      <c r="L11" s="50"/>
      <c r="M11" s="50"/>
      <c r="N11" s="50"/>
      <c r="O11" s="50"/>
      <c r="P11" s="50"/>
    </row>
    <row r="12" spans="2:20">
      <c r="D12" s="9"/>
      <c r="E12" s="9"/>
      <c r="F12" s="9"/>
      <c r="G12" s="9"/>
      <c r="H12" s="9"/>
      <c r="I12" s="9"/>
      <c r="J12" s="9"/>
      <c r="K12" s="9"/>
      <c r="L12" s="4" t="s">
        <v>103</v>
      </c>
      <c r="M12" s="9">
        <v>66638</v>
      </c>
      <c r="N12" s="9">
        <v>57001</v>
      </c>
      <c r="O12" s="9">
        <v>72682</v>
      </c>
      <c r="P12" s="9">
        <v>53392</v>
      </c>
      <c r="Q12" s="9">
        <v>63152</v>
      </c>
      <c r="R12" s="9">
        <v>61383</v>
      </c>
      <c r="S12" s="9">
        <v>68644</v>
      </c>
      <c r="T12" s="9">
        <v>62663</v>
      </c>
    </row>
    <row r="13" spans="2:20">
      <c r="B13" s="4" t="s">
        <v>117</v>
      </c>
      <c r="C13" s="9">
        <v>746051</v>
      </c>
      <c r="D13" s="9">
        <v>754895</v>
      </c>
      <c r="E13" s="9">
        <v>770315</v>
      </c>
      <c r="F13" s="9">
        <v>777669</v>
      </c>
      <c r="G13" s="9">
        <v>791093</v>
      </c>
      <c r="H13" s="9">
        <v>793810</v>
      </c>
      <c r="I13" s="9">
        <v>810444</v>
      </c>
      <c r="J13" s="9">
        <v>829393</v>
      </c>
      <c r="K13" s="9"/>
      <c r="L13" s="4" t="s">
        <v>104</v>
      </c>
      <c r="M13" s="9">
        <v>219808</v>
      </c>
      <c r="N13" s="9">
        <v>191908</v>
      </c>
      <c r="O13" s="9">
        <v>187483</v>
      </c>
      <c r="P13" s="9">
        <v>180200</v>
      </c>
      <c r="Q13" s="9">
        <v>222915</v>
      </c>
      <c r="R13" s="9">
        <v>196236</v>
      </c>
      <c r="S13" s="9">
        <v>192344</v>
      </c>
      <c r="T13" s="9">
        <v>184258</v>
      </c>
    </row>
    <row r="14" spans="2:20">
      <c r="B14" s="4" t="s">
        <v>97</v>
      </c>
      <c r="C14" s="9">
        <v>251524</v>
      </c>
      <c r="D14" s="9">
        <v>251526</v>
      </c>
      <c r="E14" s="9">
        <v>251559</v>
      </c>
      <c r="F14" s="9">
        <v>251529</v>
      </c>
      <c r="G14" s="9">
        <v>251727</v>
      </c>
      <c r="H14" s="9">
        <v>251771</v>
      </c>
      <c r="I14" s="9">
        <v>252039</v>
      </c>
      <c r="J14" s="9">
        <v>252015</v>
      </c>
      <c r="K14" s="9"/>
      <c r="L14" s="4" t="s">
        <v>105</v>
      </c>
      <c r="M14" s="9">
        <v>139099</v>
      </c>
      <c r="N14" s="9">
        <v>140493</v>
      </c>
      <c r="O14" s="9">
        <v>142370</v>
      </c>
      <c r="P14" s="9">
        <v>144488</v>
      </c>
      <c r="Q14" s="9">
        <v>134905</v>
      </c>
      <c r="R14" s="9">
        <v>147380</v>
      </c>
      <c r="S14" s="9">
        <v>149899</v>
      </c>
      <c r="T14" s="9">
        <v>139974</v>
      </c>
    </row>
    <row r="15" spans="2:20">
      <c r="B15" s="4" t="s">
        <v>98</v>
      </c>
      <c r="C15" s="9">
        <v>1268986</v>
      </c>
      <c r="D15" s="9">
        <v>1259026</v>
      </c>
      <c r="E15" s="9">
        <v>1280758</v>
      </c>
      <c r="F15" s="9">
        <v>1307345</v>
      </c>
      <c r="G15" s="9">
        <v>1302150</v>
      </c>
      <c r="H15" s="9">
        <v>1310319</v>
      </c>
      <c r="I15" s="9">
        <v>1338155</v>
      </c>
      <c r="J15" s="9">
        <v>1361826</v>
      </c>
      <c r="K15" s="9"/>
      <c r="L15" s="4" t="s">
        <v>106</v>
      </c>
      <c r="M15" s="9">
        <v>231133</v>
      </c>
      <c r="N15" s="9">
        <v>237293</v>
      </c>
      <c r="O15" s="9">
        <v>220917</v>
      </c>
      <c r="P15" s="9">
        <v>240440</v>
      </c>
      <c r="Q15" s="9">
        <v>239699</v>
      </c>
      <c r="R15" s="9">
        <v>249502</v>
      </c>
      <c r="S15" s="9">
        <v>231720</v>
      </c>
      <c r="T15" s="9">
        <v>264998</v>
      </c>
    </row>
    <row r="16" spans="2:20">
      <c r="B16" s="4" t="s">
        <v>118</v>
      </c>
      <c r="C16" s="9">
        <v>162891</v>
      </c>
      <c r="D16" s="9">
        <v>163405</v>
      </c>
      <c r="E16" s="9">
        <v>167905</v>
      </c>
      <c r="F16" s="9">
        <v>167971</v>
      </c>
      <c r="G16" s="9">
        <v>194615</v>
      </c>
      <c r="H16" s="9">
        <v>198168</v>
      </c>
      <c r="I16" s="9">
        <v>201018</v>
      </c>
      <c r="J16" s="9">
        <v>206016</v>
      </c>
      <c r="K16" s="9"/>
      <c r="L16" s="287" t="s">
        <v>107</v>
      </c>
      <c r="M16" s="22">
        <f>SUM(M12:M15)</f>
        <v>656678</v>
      </c>
      <c r="N16" s="22">
        <f t="shared" ref="N16:T16" si="2">SUM(N12:N15)</f>
        <v>626695</v>
      </c>
      <c r="O16" s="22">
        <f t="shared" si="2"/>
        <v>623452</v>
      </c>
      <c r="P16" s="22">
        <f t="shared" si="2"/>
        <v>618520</v>
      </c>
      <c r="Q16" s="22">
        <f t="shared" si="2"/>
        <v>660671</v>
      </c>
      <c r="R16" s="22">
        <f t="shared" si="2"/>
        <v>654501</v>
      </c>
      <c r="S16" s="22">
        <f t="shared" si="2"/>
        <v>642607</v>
      </c>
      <c r="T16" s="22">
        <f t="shared" si="2"/>
        <v>651893</v>
      </c>
    </row>
    <row r="17" spans="2:20">
      <c r="C17" s="9"/>
      <c r="D17" s="9"/>
      <c r="E17" s="9"/>
      <c r="F17" s="9"/>
      <c r="G17" s="9"/>
      <c r="H17" s="9"/>
      <c r="I17" s="9"/>
      <c r="J17" s="9"/>
      <c r="K17" s="9"/>
      <c r="L17" s="4" t="s">
        <v>108</v>
      </c>
      <c r="M17" s="9">
        <v>468032</v>
      </c>
      <c r="N17" s="9">
        <v>468536</v>
      </c>
      <c r="O17" s="9">
        <v>469040</v>
      </c>
      <c r="P17" s="9">
        <v>469543</v>
      </c>
      <c r="Q17" s="9">
        <v>470047</v>
      </c>
      <c r="R17" s="9">
        <v>470551</v>
      </c>
      <c r="S17" s="9">
        <v>471054</v>
      </c>
      <c r="T17" s="9">
        <v>471558</v>
      </c>
    </row>
    <row r="18" spans="2:20" ht="12" thickBot="1">
      <c r="B18" s="6" t="s">
        <v>295</v>
      </c>
      <c r="C18" s="10">
        <f t="shared" ref="C18:E18" si="3">+C16+C15+C14+C13</f>
        <v>2429452</v>
      </c>
      <c r="D18" s="10">
        <f t="shared" si="3"/>
        <v>2428852</v>
      </c>
      <c r="E18" s="10">
        <f t="shared" si="3"/>
        <v>2470537</v>
      </c>
      <c r="F18" s="10">
        <f>+F16+F15+F14+F13</f>
        <v>2504514</v>
      </c>
      <c r="G18" s="10">
        <f t="shared" ref="G18:J18" si="4">+G16+G15+G14+G13</f>
        <v>2539585</v>
      </c>
      <c r="H18" s="10">
        <f t="shared" si="4"/>
        <v>2554068</v>
      </c>
      <c r="I18" s="10">
        <f t="shared" si="4"/>
        <v>2601656</v>
      </c>
      <c r="J18" s="10">
        <f t="shared" si="4"/>
        <v>2649250</v>
      </c>
      <c r="K18" s="9"/>
      <c r="L18" s="4" t="s">
        <v>105</v>
      </c>
      <c r="M18" s="9">
        <v>1233497</v>
      </c>
      <c r="N18" s="9">
        <v>1218024</v>
      </c>
      <c r="O18" s="9">
        <v>1228664</v>
      </c>
      <c r="P18" s="9">
        <v>1246819</v>
      </c>
      <c r="Q18" s="9">
        <v>1254955</v>
      </c>
      <c r="R18" s="9">
        <v>1243276</v>
      </c>
      <c r="S18" s="9">
        <v>1258933</v>
      </c>
      <c r="T18" s="9">
        <v>1276951</v>
      </c>
    </row>
    <row r="19" spans="2:20">
      <c r="D19" s="9"/>
      <c r="E19" s="9"/>
      <c r="F19" s="9"/>
      <c r="G19" s="9"/>
      <c r="H19" s="9"/>
      <c r="I19" s="9"/>
      <c r="J19" s="9"/>
      <c r="K19" s="9"/>
      <c r="L19" s="4" t="s">
        <v>119</v>
      </c>
      <c r="M19" s="9">
        <v>125010</v>
      </c>
      <c r="N19" s="9">
        <v>129394</v>
      </c>
      <c r="O19" s="9">
        <v>122649</v>
      </c>
      <c r="P19" s="9">
        <v>120364</v>
      </c>
      <c r="Q19" s="9">
        <v>136648</v>
      </c>
      <c r="R19" s="9">
        <v>136874</v>
      </c>
      <c r="S19" s="9">
        <v>133017</v>
      </c>
      <c r="T19" s="9">
        <v>139007</v>
      </c>
    </row>
    <row r="20" spans="2:20">
      <c r="D20" s="9"/>
      <c r="E20" s="9"/>
      <c r="F20" s="9"/>
      <c r="G20" s="9"/>
      <c r="H20" s="9"/>
      <c r="I20" s="9"/>
      <c r="J20" s="9"/>
      <c r="K20" s="9"/>
      <c r="L20" s="287" t="s">
        <v>296</v>
      </c>
      <c r="M20" s="22">
        <f t="shared" ref="M20:O20" si="5">SUM(M17:M19)</f>
        <v>1826539</v>
      </c>
      <c r="N20" s="22">
        <f t="shared" si="5"/>
        <v>1815954</v>
      </c>
      <c r="O20" s="22">
        <f t="shared" si="5"/>
        <v>1820353</v>
      </c>
      <c r="P20" s="22">
        <f>SUM(P17:P19)</f>
        <v>1836726</v>
      </c>
      <c r="Q20" s="22">
        <f t="shared" ref="Q20:T20" si="6">SUM(Q17:Q19)</f>
        <v>1861650</v>
      </c>
      <c r="R20" s="22">
        <f t="shared" si="6"/>
        <v>1850701</v>
      </c>
      <c r="S20" s="22">
        <f t="shared" si="6"/>
        <v>1863004</v>
      </c>
      <c r="T20" s="22">
        <f t="shared" si="6"/>
        <v>1887516</v>
      </c>
    </row>
    <row r="21" spans="2:20">
      <c r="D21" s="9"/>
      <c r="E21" s="9"/>
      <c r="F21" s="9"/>
      <c r="G21" s="9"/>
      <c r="H21" s="9"/>
      <c r="I21" s="9"/>
      <c r="J21" s="9"/>
      <c r="K21" s="9"/>
      <c r="L21" s="126"/>
      <c r="M21" s="50"/>
      <c r="N21" s="50"/>
      <c r="O21" s="50"/>
      <c r="P21" s="50"/>
    </row>
    <row r="22" spans="2:20" ht="12" thickBot="1">
      <c r="D22" s="9"/>
      <c r="E22" s="9"/>
      <c r="F22" s="9"/>
      <c r="G22" s="9"/>
      <c r="H22" s="9"/>
      <c r="I22" s="9"/>
      <c r="J22" s="9"/>
      <c r="K22" s="9"/>
      <c r="L22" s="10" t="s">
        <v>17</v>
      </c>
      <c r="M22" s="10">
        <f t="shared" ref="M22:O22" si="7">M16+M20</f>
        <v>2483217</v>
      </c>
      <c r="N22" s="10">
        <f t="shared" si="7"/>
        <v>2442649</v>
      </c>
      <c r="O22" s="10">
        <f t="shared" si="7"/>
        <v>2443805</v>
      </c>
      <c r="P22" s="10">
        <f>P16+P20</f>
        <v>2455246</v>
      </c>
      <c r="Q22" s="10">
        <f t="shared" ref="Q22:T22" si="8">Q16+Q20</f>
        <v>2522321</v>
      </c>
      <c r="R22" s="10">
        <f t="shared" si="8"/>
        <v>2505202</v>
      </c>
      <c r="S22" s="10">
        <f t="shared" si="8"/>
        <v>2505611</v>
      </c>
      <c r="T22" s="10">
        <f t="shared" si="8"/>
        <v>2539409</v>
      </c>
    </row>
    <row r="23" spans="2:20">
      <c r="D23" s="9"/>
      <c r="E23" s="9"/>
      <c r="F23" s="9"/>
      <c r="G23" s="9"/>
      <c r="H23" s="9"/>
      <c r="I23" s="9"/>
      <c r="J23" s="9"/>
      <c r="K23" s="9"/>
      <c r="L23" s="9"/>
      <c r="M23" s="9"/>
      <c r="N23" s="9"/>
      <c r="O23" s="9"/>
      <c r="P23" s="9"/>
    </row>
    <row r="24" spans="2:20" ht="12" thickBot="1">
      <c r="B24" s="6" t="s">
        <v>14</v>
      </c>
      <c r="C24" s="10">
        <f>C10+C18</f>
        <v>2775220</v>
      </c>
      <c r="D24" s="10">
        <f>D18+D10</f>
        <v>2742488</v>
      </c>
      <c r="E24" s="10">
        <f>E18+E10</f>
        <v>2769708</v>
      </c>
      <c r="F24" s="10">
        <f>F18+F10</f>
        <v>2776890</v>
      </c>
      <c r="G24" s="10">
        <f t="shared" ref="G24:J24" si="9">G18+G10</f>
        <v>2840383</v>
      </c>
      <c r="H24" s="10">
        <f t="shared" si="9"/>
        <v>2837640</v>
      </c>
      <c r="I24" s="10">
        <f t="shared" si="9"/>
        <v>2879591</v>
      </c>
      <c r="J24" s="10">
        <f t="shared" si="9"/>
        <v>2935788</v>
      </c>
      <c r="K24" s="9"/>
      <c r="L24" s="10" t="s">
        <v>18</v>
      </c>
      <c r="M24" s="10">
        <f t="shared" ref="M24:O24" si="10">M22+M10</f>
        <v>2775220</v>
      </c>
      <c r="N24" s="10">
        <f t="shared" si="10"/>
        <v>2742488</v>
      </c>
      <c r="O24" s="10">
        <f t="shared" si="10"/>
        <v>2769708</v>
      </c>
      <c r="P24" s="10">
        <f>P22+P10</f>
        <v>2776890</v>
      </c>
      <c r="Q24" s="10">
        <f t="shared" ref="Q24:T24" si="11">Q22+Q10</f>
        <v>2840383</v>
      </c>
      <c r="R24" s="10">
        <f t="shared" si="11"/>
        <v>2837640</v>
      </c>
      <c r="S24" s="10">
        <f t="shared" si="11"/>
        <v>2879591</v>
      </c>
      <c r="T24" s="10">
        <f t="shared" si="11"/>
        <v>2935788</v>
      </c>
    </row>
    <row r="26" spans="2:20">
      <c r="B26" s="291"/>
      <c r="C26" s="292">
        <f>BS_Prelim!B35</f>
        <v>2775220</v>
      </c>
      <c r="D26" s="292">
        <f>BS_Prelim!C35</f>
        <v>2742488</v>
      </c>
      <c r="E26" s="292">
        <f>BS_Prelim!D35</f>
        <v>2769708</v>
      </c>
      <c r="F26" s="292">
        <f>BS_Prelim!E35</f>
        <v>2776890</v>
      </c>
      <c r="G26" s="292">
        <f>BS_Prelim!F35</f>
        <v>2840383</v>
      </c>
      <c r="H26" s="292">
        <f>BS_Prelim!G35</f>
        <v>2837640</v>
      </c>
      <c r="I26" s="292">
        <f>BS_Prelim!H35</f>
        <v>2879591</v>
      </c>
      <c r="J26" s="292">
        <f>BS_Prelim!I35</f>
        <v>2935788</v>
      </c>
    </row>
    <row r="27" spans="2:20" ht="12">
      <c r="B27" s="288" t="s">
        <v>438</v>
      </c>
      <c r="C27" s="83">
        <f>C24-C26</f>
        <v>0</v>
      </c>
      <c r="D27" s="83">
        <f t="shared" ref="D27:J27" si="12">D24-D26</f>
        <v>0</v>
      </c>
      <c r="E27" s="83">
        <f t="shared" si="12"/>
        <v>0</v>
      </c>
      <c r="F27" s="83">
        <f t="shared" si="12"/>
        <v>0</v>
      </c>
      <c r="G27" s="83">
        <f t="shared" si="12"/>
        <v>0</v>
      </c>
      <c r="H27" s="83">
        <f t="shared" si="12"/>
        <v>0</v>
      </c>
      <c r="I27" s="83">
        <f t="shared" si="12"/>
        <v>0</v>
      </c>
      <c r="J27" s="83">
        <f t="shared" si="12"/>
        <v>0</v>
      </c>
      <c r="L27" s="288" t="s">
        <v>438</v>
      </c>
      <c r="M27" s="288">
        <f>M24-C24</f>
        <v>0</v>
      </c>
      <c r="N27" s="288">
        <f>N24-D24</f>
        <v>0</v>
      </c>
      <c r="O27" s="288">
        <f>O24-E24</f>
        <v>0</v>
      </c>
      <c r="P27" s="288">
        <f>P24-F24</f>
        <v>0</v>
      </c>
      <c r="Q27" s="288">
        <f t="shared" ref="Q27:T27" si="13">Q24-G24</f>
        <v>0</v>
      </c>
      <c r="R27" s="288">
        <f t="shared" si="13"/>
        <v>0</v>
      </c>
      <c r="S27" s="288">
        <f t="shared" si="13"/>
        <v>0</v>
      </c>
      <c r="T27" s="288">
        <f t="shared" si="13"/>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85F5-74C7-41BB-92D1-994E4A90424D}">
  <sheetPr codeName="Sheet25">
    <tabColor rgb="FF00B050"/>
  </sheetPr>
  <dimension ref="B1:K64"/>
  <sheetViews>
    <sheetView zoomScale="80" zoomScaleNormal="80" workbookViewId="0">
      <selection activeCell="B1" sqref="B1"/>
    </sheetView>
  </sheetViews>
  <sheetFormatPr defaultColWidth="9.08984375" defaultRowHeight="14.5"/>
  <cols>
    <col min="1" max="1" width="2" style="4" customWidth="1"/>
    <col min="2" max="2" width="44.453125" style="4" bestFit="1" customWidth="1"/>
    <col min="3" max="4" width="11.1796875" style="4" customWidth="1"/>
    <col min="5" max="5" width="9.81640625" style="4" bestFit="1" customWidth="1"/>
    <col min="6" max="6" width="11.81640625" style="4" customWidth="1"/>
    <col min="7" max="7" width="9.26953125" style="4" customWidth="1"/>
    <col min="8" max="8" width="9.7265625" style="4" customWidth="1"/>
    <col min="9" max="9" width="10.6328125" style="4" customWidth="1"/>
    <col min="10" max="10" width="9.08984375" style="4"/>
    <col min="11" max="11" width="9.08984375" style="96"/>
    <col min="12" max="16384" width="9.08984375" style="4"/>
  </cols>
  <sheetData>
    <row r="1" spans="2:10" ht="15.5">
      <c r="B1" s="3" t="s">
        <v>320</v>
      </c>
    </row>
    <row r="3" spans="2:10" ht="24.5" thickBot="1">
      <c r="B3" s="11" t="s">
        <v>19</v>
      </c>
      <c r="C3" s="12"/>
      <c r="D3" s="12" t="s">
        <v>431</v>
      </c>
      <c r="E3" s="12" t="s">
        <v>432</v>
      </c>
      <c r="F3" s="12" t="s">
        <v>433</v>
      </c>
      <c r="G3" s="12" t="s">
        <v>434</v>
      </c>
      <c r="H3" s="12" t="s">
        <v>435</v>
      </c>
      <c r="I3" s="12" t="s">
        <v>436</v>
      </c>
      <c r="J3" s="12" t="s">
        <v>437</v>
      </c>
    </row>
    <row r="4" spans="2:10" ht="10" customHeight="1">
      <c r="B4" s="17"/>
      <c r="C4" s="15"/>
      <c r="D4" s="15"/>
      <c r="E4" s="15"/>
      <c r="F4" s="15"/>
      <c r="G4" s="15"/>
      <c r="H4" s="15"/>
    </row>
    <row r="5" spans="2:10">
      <c r="B5" s="138" t="s">
        <v>257</v>
      </c>
      <c r="C5" s="9"/>
      <c r="D5" s="9"/>
      <c r="E5" s="9"/>
      <c r="F5" s="9"/>
      <c r="G5" s="9"/>
    </row>
    <row r="6" spans="2:10">
      <c r="B6" s="59" t="s">
        <v>60</v>
      </c>
      <c r="C6" s="9"/>
      <c r="D6" s="9">
        <v>28050</v>
      </c>
      <c r="E6" s="9">
        <v>42675</v>
      </c>
      <c r="F6" s="9">
        <v>17945</v>
      </c>
      <c r="G6" s="9">
        <v>12681</v>
      </c>
      <c r="H6" s="9">
        <v>33191</v>
      </c>
      <c r="I6" s="9">
        <v>52444</v>
      </c>
      <c r="J6" s="9">
        <v>29994</v>
      </c>
    </row>
    <row r="7" spans="2:10" ht="14" customHeight="1">
      <c r="B7" s="59" t="s">
        <v>314</v>
      </c>
      <c r="C7" s="9"/>
      <c r="D7" s="9">
        <v>22955</v>
      </c>
      <c r="E7" s="9">
        <v>23332</v>
      </c>
      <c r="F7" s="9">
        <v>22837</v>
      </c>
      <c r="G7" s="9">
        <v>24012</v>
      </c>
      <c r="H7" s="9">
        <v>24756</v>
      </c>
      <c r="I7" s="9">
        <v>24960</v>
      </c>
      <c r="J7" s="9">
        <v>25299</v>
      </c>
    </row>
    <row r="8" spans="2:10" ht="14" customHeight="1">
      <c r="B8" s="59" t="s">
        <v>316</v>
      </c>
      <c r="C8" s="9"/>
      <c r="D8" s="9">
        <v>-14</v>
      </c>
      <c r="E8" s="9">
        <v>-754</v>
      </c>
      <c r="F8" s="9">
        <v>15</v>
      </c>
      <c r="G8" s="9">
        <v>27751</v>
      </c>
      <c r="H8" s="9">
        <v>850</v>
      </c>
      <c r="I8" s="9">
        <v>-244</v>
      </c>
      <c r="J8" s="9">
        <v>-2986</v>
      </c>
    </row>
    <row r="9" spans="2:10" ht="14" customHeight="1">
      <c r="B9" s="59" t="s">
        <v>150</v>
      </c>
      <c r="C9" s="9"/>
      <c r="D9" s="9">
        <v>3192</v>
      </c>
      <c r="E9" s="9">
        <v>-723</v>
      </c>
      <c r="F9" s="9">
        <v>-856</v>
      </c>
      <c r="G9" s="9">
        <v>-17328</v>
      </c>
      <c r="H9" s="9">
        <v>3006</v>
      </c>
      <c r="I9" s="9">
        <v>-495</v>
      </c>
      <c r="J9" s="9">
        <v>1396</v>
      </c>
    </row>
    <row r="10" spans="2:10" ht="14" customHeight="1">
      <c r="B10" s="59" t="s">
        <v>151</v>
      </c>
      <c r="C10" s="9"/>
      <c r="D10" s="9">
        <v>5902</v>
      </c>
      <c r="E10" s="9">
        <v>6325</v>
      </c>
      <c r="F10" s="9">
        <v>6623</v>
      </c>
      <c r="G10" s="9">
        <v>6931</v>
      </c>
      <c r="H10" s="9">
        <v>7649</v>
      </c>
      <c r="I10" s="9">
        <v>6826</v>
      </c>
      <c r="J10" s="9">
        <v>7021</v>
      </c>
    </row>
    <row r="11" spans="2:10" ht="14" customHeight="1">
      <c r="B11" s="59" t="s">
        <v>315</v>
      </c>
      <c r="C11" s="9"/>
      <c r="D11" s="9">
        <v>0</v>
      </c>
      <c r="E11" s="9">
        <v>0</v>
      </c>
      <c r="F11" s="9">
        <v>0</v>
      </c>
      <c r="G11" s="9">
        <v>0</v>
      </c>
      <c r="H11" s="9">
        <v>0</v>
      </c>
      <c r="I11" s="9">
        <v>-6506</v>
      </c>
      <c r="J11" s="9">
        <v>0</v>
      </c>
    </row>
    <row r="12" spans="2:10" ht="14" customHeight="1">
      <c r="B12" s="78" t="s">
        <v>152</v>
      </c>
      <c r="C12" s="9"/>
      <c r="D12" s="9"/>
      <c r="E12" s="9"/>
      <c r="F12" s="9"/>
      <c r="G12" s="9"/>
      <c r="H12" s="9"/>
      <c r="I12" s="9"/>
      <c r="J12" s="9"/>
    </row>
    <row r="13" spans="2:10" ht="14" customHeight="1">
      <c r="B13" s="106" t="s">
        <v>90</v>
      </c>
      <c r="C13" s="9"/>
      <c r="D13" s="9">
        <v>38013</v>
      </c>
      <c r="E13" s="9">
        <v>-6273</v>
      </c>
      <c r="F13" s="9">
        <v>367</v>
      </c>
      <c r="G13" s="9">
        <v>-32205</v>
      </c>
      <c r="H13" s="9">
        <v>31124</v>
      </c>
      <c r="I13" s="9">
        <v>-2662</v>
      </c>
      <c r="J13" s="9">
        <v>3003</v>
      </c>
    </row>
    <row r="14" spans="2:10" ht="14" customHeight="1">
      <c r="B14" s="106" t="s">
        <v>153</v>
      </c>
      <c r="C14" s="9"/>
      <c r="D14" s="9">
        <v>-118</v>
      </c>
      <c r="E14" s="9">
        <v>-1098</v>
      </c>
      <c r="F14" s="9">
        <v>-1185</v>
      </c>
      <c r="G14" s="9">
        <v>3253</v>
      </c>
      <c r="H14" s="9">
        <v>832</v>
      </c>
      <c r="I14" s="9">
        <v>-5017</v>
      </c>
      <c r="J14" s="9">
        <v>-4125</v>
      </c>
    </row>
    <row r="15" spans="2:10" ht="14" customHeight="1">
      <c r="B15" s="106" t="s">
        <v>92</v>
      </c>
      <c r="C15" s="9"/>
      <c r="D15" s="9">
        <v>-3428</v>
      </c>
      <c r="E15" s="9">
        <v>-1878</v>
      </c>
      <c r="F15" s="9">
        <v>2193</v>
      </c>
      <c r="G15" s="9">
        <v>1021</v>
      </c>
      <c r="H15" s="9">
        <v>-7818</v>
      </c>
      <c r="I15" s="9">
        <v>-5524</v>
      </c>
      <c r="J15" s="9">
        <v>1183</v>
      </c>
    </row>
    <row r="16" spans="2:10" ht="14" customHeight="1">
      <c r="B16" s="106" t="s">
        <v>93</v>
      </c>
      <c r="C16" s="9"/>
      <c r="D16" s="9">
        <v>14</v>
      </c>
      <c r="E16" s="9">
        <v>-4254</v>
      </c>
      <c r="F16" s="9">
        <v>-2919</v>
      </c>
      <c r="G16" s="9">
        <v>-7535</v>
      </c>
      <c r="H16" s="9">
        <v>605</v>
      </c>
      <c r="I16" s="9">
        <v>-6563</v>
      </c>
      <c r="J16" s="9">
        <v>7811</v>
      </c>
    </row>
    <row r="17" spans="2:10" ht="14" customHeight="1">
      <c r="B17" s="106" t="s">
        <v>154</v>
      </c>
      <c r="C17" s="9"/>
      <c r="D17" s="9">
        <v>-3777</v>
      </c>
      <c r="E17" s="9">
        <v>-8441</v>
      </c>
      <c r="F17" s="9">
        <v>-6354</v>
      </c>
      <c r="G17" s="9">
        <v>-8541</v>
      </c>
      <c r="H17" s="9">
        <v>-7789</v>
      </c>
      <c r="I17" s="9">
        <v>-8940</v>
      </c>
      <c r="J17" s="9">
        <v>-11581</v>
      </c>
    </row>
    <row r="18" spans="2:10" ht="14" customHeight="1">
      <c r="B18" s="106" t="s">
        <v>11</v>
      </c>
      <c r="C18" s="9"/>
      <c r="D18" s="9">
        <v>-3592</v>
      </c>
      <c r="E18" s="9">
        <v>-3515</v>
      </c>
      <c r="F18" s="9">
        <v>1021</v>
      </c>
      <c r="G18" s="9">
        <v>-8418</v>
      </c>
      <c r="H18" s="9">
        <v>-6417</v>
      </c>
      <c r="I18" s="9">
        <v>-2421</v>
      </c>
      <c r="J18" s="9">
        <v>-5823</v>
      </c>
    </row>
    <row r="19" spans="2:10" ht="14" customHeight="1">
      <c r="B19" s="106" t="s">
        <v>103</v>
      </c>
      <c r="C19" s="9"/>
      <c r="D19" s="9">
        <v>-4543</v>
      </c>
      <c r="E19" s="9">
        <v>5170</v>
      </c>
      <c r="F19" s="9">
        <v>-11612</v>
      </c>
      <c r="G19" s="9">
        <v>14956</v>
      </c>
      <c r="H19" s="9">
        <v>3831</v>
      </c>
      <c r="I19" s="9">
        <v>520</v>
      </c>
      <c r="J19" s="9">
        <v>-1972</v>
      </c>
    </row>
    <row r="20" spans="2:10" ht="14" customHeight="1">
      <c r="B20" s="106" t="s">
        <v>104</v>
      </c>
      <c r="C20" s="9"/>
      <c r="D20" s="9">
        <v>-27902</v>
      </c>
      <c r="E20" s="9">
        <v>-4426</v>
      </c>
      <c r="F20" s="9">
        <v>-7280</v>
      </c>
      <c r="G20" s="9">
        <v>42712</v>
      </c>
      <c r="H20" s="9">
        <v>-26677</v>
      </c>
      <c r="I20" s="9">
        <v>-3891</v>
      </c>
      <c r="J20" s="9">
        <v>-8087</v>
      </c>
    </row>
    <row r="21" spans="2:10" ht="14" customHeight="1">
      <c r="B21" s="106" t="s">
        <v>106</v>
      </c>
      <c r="C21" s="9"/>
      <c r="D21" s="9">
        <v>10283</v>
      </c>
      <c r="E21" s="9">
        <v>-9659</v>
      </c>
      <c r="F21" s="9">
        <v>28235</v>
      </c>
      <c r="G21" s="9">
        <v>8565</v>
      </c>
      <c r="H21" s="9">
        <v>9605</v>
      </c>
      <c r="I21" s="9">
        <v>-14790</v>
      </c>
      <c r="J21" s="9">
        <v>38746</v>
      </c>
    </row>
    <row r="22" spans="2:10" ht="16" customHeight="1" thickBot="1">
      <c r="B22" s="140" t="s">
        <v>317</v>
      </c>
      <c r="C22" s="140"/>
      <c r="D22" s="141">
        <v>65035</v>
      </c>
      <c r="E22" s="141">
        <v>36481</v>
      </c>
      <c r="F22" s="141">
        <v>49030</v>
      </c>
      <c r="G22" s="141">
        <v>67855</v>
      </c>
      <c r="H22" s="141">
        <v>66748</v>
      </c>
      <c r="I22" s="141">
        <v>27697</v>
      </c>
      <c r="J22" s="141">
        <v>79879</v>
      </c>
    </row>
    <row r="23" spans="2:10" ht="25" customHeight="1">
      <c r="B23" s="59"/>
      <c r="C23" s="9"/>
      <c r="D23" s="9"/>
      <c r="E23" s="9"/>
      <c r="F23" s="9"/>
      <c r="G23" s="9"/>
      <c r="H23" s="9"/>
      <c r="I23" s="9"/>
      <c r="J23" s="9"/>
    </row>
    <row r="24" spans="2:10" ht="14" customHeight="1">
      <c r="B24" s="139" t="s">
        <v>259</v>
      </c>
      <c r="C24" s="50"/>
      <c r="D24" s="50"/>
      <c r="E24" s="9"/>
      <c r="F24" s="9"/>
      <c r="G24" s="9"/>
    </row>
    <row r="25" spans="2:10" ht="14" customHeight="1">
      <c r="B25" s="59" t="s">
        <v>157</v>
      </c>
      <c r="D25" s="4">
        <v>-37962</v>
      </c>
      <c r="E25" s="4">
        <v>-24698</v>
      </c>
      <c r="F25" s="4">
        <v>-37263</v>
      </c>
      <c r="G25" s="4">
        <v>-51642</v>
      </c>
      <c r="H25" s="4">
        <v>-37110</v>
      </c>
      <c r="I25" s="4">
        <v>-29187</v>
      </c>
      <c r="J25" s="4">
        <v>-54215</v>
      </c>
    </row>
    <row r="26" spans="2:10" ht="14" customHeight="1">
      <c r="B26" s="59" t="s">
        <v>158</v>
      </c>
      <c r="D26" s="4">
        <v>-182</v>
      </c>
      <c r="E26" s="4">
        <v>-210</v>
      </c>
      <c r="F26" s="4">
        <v>-175</v>
      </c>
      <c r="G26" s="4">
        <v>-1091</v>
      </c>
      <c r="H26" s="4">
        <v>-227</v>
      </c>
      <c r="I26" s="4">
        <v>-453</v>
      </c>
      <c r="J26" s="4">
        <v>-158</v>
      </c>
    </row>
    <row r="27" spans="2:10" ht="14" customHeight="1">
      <c r="B27" s="59" t="s">
        <v>99</v>
      </c>
      <c r="D27" s="4">
        <v>-18</v>
      </c>
      <c r="E27" s="4">
        <v>-138</v>
      </c>
      <c r="F27" s="4">
        <v>-2</v>
      </c>
      <c r="G27" s="4">
        <v>-116</v>
      </c>
      <c r="H27" s="4">
        <v>-19</v>
      </c>
      <c r="I27" s="4">
        <v>192</v>
      </c>
      <c r="J27" s="4">
        <v>148</v>
      </c>
    </row>
    <row r="28" spans="2:10" ht="16" customHeight="1" thickBot="1">
      <c r="B28" s="140" t="s">
        <v>318</v>
      </c>
      <c r="C28" s="140"/>
      <c r="D28" s="141">
        <v>-38162</v>
      </c>
      <c r="E28" s="141">
        <v>-25046</v>
      </c>
      <c r="F28" s="141">
        <v>-37440</v>
      </c>
      <c r="G28" s="141">
        <v>-52849</v>
      </c>
      <c r="H28" s="141">
        <v>-37356</v>
      </c>
      <c r="I28" s="141">
        <v>-29448</v>
      </c>
      <c r="J28" s="141">
        <v>-54225</v>
      </c>
    </row>
    <row r="29" spans="2:10" ht="30" customHeight="1">
      <c r="C29" s="50"/>
      <c r="D29" s="50"/>
      <c r="E29" s="9"/>
      <c r="F29" s="9"/>
      <c r="G29" s="9"/>
      <c r="H29" s="49"/>
    </row>
    <row r="30" spans="2:10" ht="12" customHeight="1">
      <c r="B30" s="139" t="s">
        <v>258</v>
      </c>
      <c r="C30" s="9"/>
      <c r="D30" s="9"/>
      <c r="E30" s="9"/>
      <c r="F30" s="9"/>
      <c r="G30" s="9"/>
      <c r="H30" s="9"/>
    </row>
    <row r="31" spans="2:10" ht="14" customHeight="1">
      <c r="B31" s="59" t="s">
        <v>161</v>
      </c>
      <c r="C31" s="9"/>
      <c r="D31" s="4" t="s">
        <v>51</v>
      </c>
      <c r="E31" s="4">
        <v>-12994</v>
      </c>
      <c r="F31" s="4">
        <v>-11249</v>
      </c>
      <c r="G31" s="4">
        <v>0</v>
      </c>
      <c r="H31" s="4">
        <v>0</v>
      </c>
      <c r="I31" s="4">
        <v>0</v>
      </c>
      <c r="J31" s="4">
        <v>0</v>
      </c>
    </row>
    <row r="32" spans="2:10" ht="14" customHeight="1">
      <c r="B32" s="59" t="s">
        <v>164</v>
      </c>
      <c r="C32" s="9"/>
      <c r="D32" s="4">
        <v>-13182</v>
      </c>
      <c r="E32" s="4">
        <v>-13816</v>
      </c>
      <c r="F32" s="4">
        <v>-13128</v>
      </c>
      <c r="G32" s="4">
        <v>-13081</v>
      </c>
      <c r="H32" s="4">
        <v>-12823</v>
      </c>
      <c r="I32" s="4">
        <v>-13870</v>
      </c>
      <c r="J32" s="4">
        <v>-13111</v>
      </c>
    </row>
    <row r="33" spans="2:11" ht="14" customHeight="1">
      <c r="B33" s="59" t="s">
        <v>165</v>
      </c>
      <c r="C33" s="9"/>
      <c r="D33" s="4">
        <v>-12376</v>
      </c>
      <c r="E33" s="4">
        <v>-9319</v>
      </c>
      <c r="F33" s="4">
        <v>-14565</v>
      </c>
      <c r="G33" s="4">
        <v>-9825</v>
      </c>
      <c r="H33" s="4">
        <v>-12496</v>
      </c>
      <c r="I33" s="4">
        <v>-3869</v>
      </c>
      <c r="J33" s="4">
        <v>-1100</v>
      </c>
    </row>
    <row r="34" spans="2:11" ht="14" customHeight="1" thickBot="1">
      <c r="B34" s="140" t="s">
        <v>166</v>
      </c>
      <c r="C34" s="140"/>
      <c r="D34" s="141">
        <v>-25558</v>
      </c>
      <c r="E34" s="141">
        <v>-36129</v>
      </c>
      <c r="F34" s="141">
        <v>-38942</v>
      </c>
      <c r="G34" s="141">
        <v>-22906</v>
      </c>
      <c r="H34" s="141">
        <v>-25319</v>
      </c>
      <c r="I34" s="141">
        <v>-17739</v>
      </c>
      <c r="J34" s="141">
        <v>-14211</v>
      </c>
    </row>
    <row r="35" spans="2:11" ht="14" customHeight="1">
      <c r="B35" s="59" t="s">
        <v>167</v>
      </c>
      <c r="C35" s="9"/>
      <c r="D35" s="4">
        <v>72</v>
      </c>
      <c r="E35" s="4">
        <v>87</v>
      </c>
      <c r="F35" s="4">
        <v>-218</v>
      </c>
      <c r="G35" s="4">
        <v>203</v>
      </c>
      <c r="H35" s="4">
        <v>-143</v>
      </c>
      <c r="I35" s="4">
        <v>-76</v>
      </c>
      <c r="J35" s="4">
        <v>118</v>
      </c>
    </row>
    <row r="36" spans="2:11" ht="14" customHeight="1" thickBot="1">
      <c r="B36" s="143" t="s">
        <v>168</v>
      </c>
      <c r="C36" s="143"/>
      <c r="D36" s="144">
        <v>1387</v>
      </c>
      <c r="E36" s="144">
        <v>-24607</v>
      </c>
      <c r="F36" s="144">
        <v>-27570</v>
      </c>
      <c r="G36" s="144">
        <v>-7697</v>
      </c>
      <c r="H36" s="144">
        <v>3930</v>
      </c>
      <c r="I36" s="144">
        <v>-19566</v>
      </c>
      <c r="J36" s="144">
        <v>11561</v>
      </c>
    </row>
    <row r="37" spans="2:11" ht="14" customHeight="1">
      <c r="B37" s="59" t="s">
        <v>169</v>
      </c>
      <c r="C37" s="50"/>
      <c r="D37" s="9">
        <v>114777</v>
      </c>
      <c r="E37" s="9">
        <v>116164</v>
      </c>
      <c r="F37" s="9">
        <v>91557</v>
      </c>
      <c r="G37" s="9">
        <v>63987</v>
      </c>
      <c r="H37" s="9">
        <v>56290</v>
      </c>
      <c r="I37" s="9">
        <v>60220</v>
      </c>
      <c r="J37" s="9">
        <v>40654</v>
      </c>
    </row>
    <row r="38" spans="2:11" ht="14" customHeight="1">
      <c r="B38" s="59" t="s">
        <v>170</v>
      </c>
      <c r="C38" s="50"/>
      <c r="D38" s="9">
        <v>116164</v>
      </c>
      <c r="E38" s="9">
        <v>91557</v>
      </c>
      <c r="F38" s="9">
        <v>63987</v>
      </c>
      <c r="G38" s="9">
        <v>56290</v>
      </c>
      <c r="H38" s="9">
        <v>91557</v>
      </c>
      <c r="I38" s="9">
        <v>40654</v>
      </c>
      <c r="J38" s="9">
        <v>52215</v>
      </c>
    </row>
    <row r="39" spans="2:11" ht="14" customHeight="1">
      <c r="B39" s="59"/>
      <c r="C39" s="9"/>
    </row>
    <row r="40" spans="2:11" ht="14" customHeight="1">
      <c r="B40" s="59"/>
      <c r="C40" s="9"/>
    </row>
    <row r="41" spans="2:11" ht="14" customHeight="1">
      <c r="B41" s="59"/>
      <c r="C41" s="9"/>
    </row>
    <row r="42" spans="2:11" ht="14" customHeight="1">
      <c r="B42" s="59"/>
      <c r="C42" s="9"/>
    </row>
    <row r="43" spans="2:11" ht="15" customHeight="1">
      <c r="B43" s="96"/>
      <c r="C43" s="96"/>
      <c r="D43" s="96"/>
      <c r="E43" s="96"/>
      <c r="F43" s="96"/>
      <c r="G43" s="96"/>
      <c r="H43" s="96"/>
    </row>
    <row r="44" spans="2:11" ht="16" customHeight="1">
      <c r="B44" s="96"/>
      <c r="C44" s="96"/>
      <c r="D44" s="96"/>
      <c r="E44" s="96"/>
      <c r="F44" s="96"/>
      <c r="G44" s="96"/>
      <c r="H44" s="96"/>
    </row>
    <row r="45" spans="2:11" ht="14" customHeight="1">
      <c r="B45" s="96"/>
      <c r="C45" s="96"/>
      <c r="D45" s="96"/>
      <c r="E45" s="96"/>
      <c r="F45" s="96"/>
      <c r="G45" s="96"/>
      <c r="H45" s="96"/>
    </row>
    <row r="46" spans="2:11" ht="12" customHeight="1">
      <c r="B46" s="96"/>
      <c r="C46" s="96"/>
      <c r="D46" s="96"/>
      <c r="E46" s="96"/>
      <c r="F46" s="96"/>
      <c r="G46" s="96"/>
      <c r="H46" s="96"/>
    </row>
    <row r="47" spans="2:11" s="145" customFormat="1" ht="16" customHeight="1">
      <c r="B47" s="96"/>
      <c r="C47" s="96"/>
      <c r="D47" s="96"/>
      <c r="E47" s="96"/>
      <c r="F47" s="96"/>
      <c r="G47" s="96"/>
      <c r="H47" s="96"/>
      <c r="K47" s="96"/>
    </row>
    <row r="48" spans="2:11" ht="14" customHeight="1">
      <c r="B48" s="96"/>
      <c r="C48" s="96"/>
      <c r="D48" s="96"/>
      <c r="E48" s="96"/>
      <c r="F48" s="96"/>
      <c r="G48" s="96"/>
      <c r="H48" s="96"/>
    </row>
    <row r="49" spans="2:8" ht="14" customHeight="1">
      <c r="B49" s="59"/>
      <c r="C49" s="50"/>
      <c r="D49" s="9"/>
      <c r="E49" s="9"/>
      <c r="F49" s="9"/>
      <c r="G49" s="9"/>
      <c r="H49" s="9"/>
    </row>
    <row r="50" spans="2:8" ht="12" customHeight="1">
      <c r="B50" s="78"/>
      <c r="C50" s="50"/>
      <c r="D50" s="50"/>
      <c r="E50" s="9"/>
      <c r="F50" s="9"/>
      <c r="G50" s="9"/>
      <c r="H50" s="9"/>
    </row>
    <row r="51" spans="2:8">
      <c r="C51" s="9"/>
      <c r="D51" s="9"/>
    </row>
    <row r="52" spans="2:8" ht="7" customHeight="1">
      <c r="B52" s="4" t="s">
        <v>319</v>
      </c>
    </row>
    <row r="53" spans="2:8" ht="14" customHeight="1">
      <c r="B53" s="49" t="s">
        <v>258</v>
      </c>
    </row>
    <row r="54" spans="2:8" ht="14" customHeight="1">
      <c r="B54" s="59" t="s">
        <v>260</v>
      </c>
    </row>
    <row r="55" spans="2:8" ht="14" customHeight="1">
      <c r="B55" s="59" t="s">
        <v>261</v>
      </c>
      <c r="C55" s="18"/>
      <c r="D55" s="18"/>
      <c r="E55" s="18"/>
      <c r="F55" s="18"/>
      <c r="G55" s="18"/>
    </row>
    <row r="56" spans="2:8" ht="14" customHeight="1">
      <c r="B56" s="59" t="s">
        <v>262</v>
      </c>
    </row>
    <row r="57" spans="2:8" ht="14" customHeight="1">
      <c r="B57" s="59" t="s">
        <v>198</v>
      </c>
    </row>
    <row r="58" spans="2:8" ht="14" customHeight="1">
      <c r="B58" s="59" t="s">
        <v>199</v>
      </c>
      <c r="C58" s="18"/>
      <c r="D58" s="18"/>
      <c r="E58" s="18"/>
      <c r="F58" s="18"/>
      <c r="G58" s="18"/>
    </row>
    <row r="59" spans="2:8" ht="14" customHeight="1">
      <c r="B59" s="59" t="s">
        <v>263</v>
      </c>
      <c r="C59" s="18"/>
      <c r="D59" s="18"/>
      <c r="E59" s="18"/>
      <c r="F59" s="18"/>
      <c r="G59" s="18"/>
    </row>
    <row r="60" spans="2:8" ht="14" customHeight="1">
      <c r="B60" s="78" t="s">
        <v>264</v>
      </c>
    </row>
    <row r="63" spans="2:8">
      <c r="C63" s="62"/>
      <c r="D63" s="62"/>
    </row>
    <row r="64" spans="2:8">
      <c r="C64" s="9"/>
      <c r="D64" s="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tabColor rgb="FF00B050"/>
  </sheetPr>
  <dimension ref="A1:M38"/>
  <sheetViews>
    <sheetView zoomScale="70" zoomScaleNormal="70" workbookViewId="0"/>
  </sheetViews>
  <sheetFormatPr defaultColWidth="9.08984375" defaultRowHeight="11.5"/>
  <cols>
    <col min="1" max="1" width="2" style="4" customWidth="1"/>
    <col min="2" max="2" width="27.90625" style="4" bestFit="1" customWidth="1"/>
    <col min="3" max="3" width="13.453125" style="4" customWidth="1"/>
    <col min="4" max="4" width="9.7265625" style="4" bestFit="1" customWidth="1"/>
    <col min="5" max="8" width="9.08984375" style="4" customWidth="1"/>
    <col min="9" max="16384" width="9.08984375" style="4"/>
  </cols>
  <sheetData>
    <row r="1" spans="2:13" ht="15.5">
      <c r="B1" s="3" t="s">
        <v>1</v>
      </c>
    </row>
    <row r="2" spans="2:13" ht="12">
      <c r="G2" s="52"/>
    </row>
    <row r="3" spans="2:13" ht="25" customHeight="1" thickBot="1">
      <c r="B3" s="11" t="s">
        <v>20</v>
      </c>
      <c r="C3" s="11"/>
      <c r="D3" s="12" t="s">
        <v>430</v>
      </c>
      <c r="E3" s="12" t="s">
        <v>431</v>
      </c>
      <c r="F3" s="12" t="s">
        <v>432</v>
      </c>
      <c r="G3" s="12" t="s">
        <v>433</v>
      </c>
      <c r="H3" s="12" t="s">
        <v>434</v>
      </c>
      <c r="I3" s="12" t="s">
        <v>435</v>
      </c>
      <c r="J3" s="12" t="s">
        <v>436</v>
      </c>
      <c r="K3" s="12" t="s">
        <v>437</v>
      </c>
    </row>
    <row r="4" spans="2:13" ht="7" customHeight="1">
      <c r="D4" s="9"/>
      <c r="E4" s="9"/>
      <c r="F4" s="9"/>
      <c r="G4" s="9"/>
    </row>
    <row r="5" spans="2:13">
      <c r="B5" s="4" t="s">
        <v>4</v>
      </c>
      <c r="D5" s="9">
        <v>892802</v>
      </c>
      <c r="E5" s="9">
        <v>866114</v>
      </c>
      <c r="F5" s="9">
        <v>866170</v>
      </c>
      <c r="G5" s="9">
        <v>830210</v>
      </c>
      <c r="H5" s="9">
        <v>877009</v>
      </c>
      <c r="I5" s="9">
        <v>891223</v>
      </c>
      <c r="J5" s="9">
        <v>904042</v>
      </c>
      <c r="K5" s="9">
        <v>865471</v>
      </c>
      <c r="L5" s="25"/>
      <c r="M5" s="25"/>
    </row>
    <row r="6" spans="2:13">
      <c r="B6" s="21" t="s">
        <v>64</v>
      </c>
      <c r="C6" s="21"/>
      <c r="D6" s="22">
        <v>892802</v>
      </c>
      <c r="E6" s="22">
        <v>866114</v>
      </c>
      <c r="F6" s="22">
        <v>866170</v>
      </c>
      <c r="G6" s="22">
        <v>830210</v>
      </c>
      <c r="H6" s="22">
        <v>877009</v>
      </c>
      <c r="I6" s="22">
        <v>891223</v>
      </c>
      <c r="J6" s="22">
        <v>904042</v>
      </c>
      <c r="K6" s="22">
        <v>865471</v>
      </c>
    </row>
    <row r="7" spans="2:13" ht="7" customHeight="1">
      <c r="B7" s="49"/>
      <c r="C7" s="49"/>
      <c r="D7" s="50"/>
      <c r="E7" s="50"/>
      <c r="F7" s="50"/>
      <c r="G7" s="50"/>
      <c r="H7" s="50"/>
      <c r="I7" s="50"/>
      <c r="J7" s="50"/>
      <c r="K7" s="50"/>
    </row>
    <row r="8" spans="2:13">
      <c r="B8" s="4" t="s">
        <v>52</v>
      </c>
      <c r="D8" s="9">
        <v>220469</v>
      </c>
      <c r="E8" s="9">
        <v>206224</v>
      </c>
      <c r="F8" s="9">
        <v>201094</v>
      </c>
      <c r="G8" s="9">
        <v>194733</v>
      </c>
      <c r="H8" s="9">
        <v>201449</v>
      </c>
      <c r="I8" s="9">
        <v>203253</v>
      </c>
      <c r="J8" s="9">
        <v>201694</v>
      </c>
      <c r="K8" s="9">
        <v>195306</v>
      </c>
    </row>
    <row r="9" spans="2:13">
      <c r="B9" s="4" t="s">
        <v>53</v>
      </c>
      <c r="D9" s="9">
        <v>318629</v>
      </c>
      <c r="E9" s="9">
        <v>311528</v>
      </c>
      <c r="F9" s="9">
        <v>306149</v>
      </c>
      <c r="G9" s="9">
        <v>301663</v>
      </c>
      <c r="H9" s="9">
        <v>308555</v>
      </c>
      <c r="I9" s="9">
        <v>320930</v>
      </c>
      <c r="J9" s="9">
        <v>317282</v>
      </c>
      <c r="K9" s="9">
        <v>310939</v>
      </c>
    </row>
    <row r="10" spans="2:13">
      <c r="B10" s="4" t="s">
        <v>54</v>
      </c>
      <c r="D10" s="9">
        <v>237783</v>
      </c>
      <c r="E10" s="9">
        <v>230929</v>
      </c>
      <c r="F10" s="9">
        <v>226996</v>
      </c>
      <c r="G10" s="9">
        <v>229534</v>
      </c>
      <c r="H10" s="9">
        <v>234969</v>
      </c>
      <c r="I10" s="9">
        <v>233541</v>
      </c>
      <c r="J10" s="9">
        <v>239097</v>
      </c>
      <c r="K10" s="9">
        <v>239470</v>
      </c>
    </row>
    <row r="11" spans="2:13">
      <c r="B11" s="4" t="s">
        <v>55</v>
      </c>
      <c r="D11" s="9">
        <v>56115</v>
      </c>
      <c r="E11" s="9">
        <v>54069</v>
      </c>
      <c r="F11" s="9">
        <v>54488</v>
      </c>
      <c r="G11" s="9">
        <v>54209</v>
      </c>
      <c r="H11" s="9">
        <v>54683</v>
      </c>
      <c r="I11" s="9">
        <v>60366</v>
      </c>
      <c r="J11" s="9">
        <v>54384</v>
      </c>
      <c r="K11" s="9">
        <v>56204</v>
      </c>
    </row>
    <row r="12" spans="2:13">
      <c r="B12" s="4" t="s">
        <v>63</v>
      </c>
      <c r="D12" s="9">
        <v>31074</v>
      </c>
      <c r="E12" s="9">
        <v>2242</v>
      </c>
      <c r="F12" s="9">
        <v>-653</v>
      </c>
      <c r="G12" s="9">
        <v>48</v>
      </c>
      <c r="H12" s="9">
        <v>27827</v>
      </c>
      <c r="I12" s="9">
        <v>2083</v>
      </c>
      <c r="J12" s="9">
        <v>-188</v>
      </c>
      <c r="K12" s="9">
        <v>-3472</v>
      </c>
    </row>
    <row r="13" spans="2:13">
      <c r="B13" s="4" t="s">
        <v>57</v>
      </c>
      <c r="D13" s="9">
        <v>10448</v>
      </c>
      <c r="E13" s="9">
        <v>1189</v>
      </c>
      <c r="F13" s="9">
        <v>1287</v>
      </c>
      <c r="G13" s="9">
        <v>1414</v>
      </c>
      <c r="H13" s="9">
        <v>7796</v>
      </c>
      <c r="I13" s="9">
        <v>1121</v>
      </c>
      <c r="J13" s="9">
        <v>1146</v>
      </c>
      <c r="K13" s="9">
        <v>1020</v>
      </c>
    </row>
    <row r="14" spans="2:13">
      <c r="B14" s="4" t="s">
        <v>58</v>
      </c>
      <c r="D14" s="9">
        <v>7791</v>
      </c>
      <c r="E14" s="9">
        <v>3052</v>
      </c>
      <c r="F14" s="9">
        <v>6006</v>
      </c>
      <c r="G14" s="9">
        <v>6742</v>
      </c>
      <c r="H14" s="9">
        <v>9579</v>
      </c>
      <c r="I14" s="9">
        <v>5880</v>
      </c>
      <c r="J14" s="9">
        <v>6975</v>
      </c>
      <c r="K14" s="9">
        <v>7005</v>
      </c>
    </row>
    <row r="15" spans="2:13">
      <c r="B15" s="4" t="s">
        <v>65</v>
      </c>
      <c r="D15" s="9">
        <v>882309</v>
      </c>
      <c r="E15" s="9">
        <v>809233</v>
      </c>
      <c r="F15" s="9">
        <v>795367</v>
      </c>
      <c r="G15" s="9">
        <v>788343</v>
      </c>
      <c r="H15" s="9">
        <v>844858</v>
      </c>
      <c r="I15" s="9">
        <v>827174</v>
      </c>
      <c r="J15" s="9">
        <v>820390</v>
      </c>
      <c r="K15" s="9">
        <v>806472</v>
      </c>
    </row>
    <row r="16" spans="2:13">
      <c r="B16" s="21" t="s">
        <v>5</v>
      </c>
      <c r="C16" s="21"/>
      <c r="D16" s="22">
        <v>10493</v>
      </c>
      <c r="E16" s="22">
        <v>56881</v>
      </c>
      <c r="F16" s="22">
        <v>70803</v>
      </c>
      <c r="G16" s="22">
        <v>41867</v>
      </c>
      <c r="H16" s="22">
        <v>32151</v>
      </c>
      <c r="I16" s="22">
        <v>64049</v>
      </c>
      <c r="J16" s="22">
        <v>83652</v>
      </c>
      <c r="K16" s="22">
        <v>58999</v>
      </c>
    </row>
    <row r="17" spans="2:11" ht="7" customHeight="1">
      <c r="D17" s="9"/>
      <c r="E17" s="9"/>
      <c r="F17" s="9"/>
      <c r="G17" s="9"/>
      <c r="H17" s="9"/>
      <c r="I17" s="9"/>
      <c r="J17" s="9"/>
      <c r="K17" s="9"/>
    </row>
    <row r="18" spans="2:11">
      <c r="B18" s="4" t="s">
        <v>6</v>
      </c>
      <c r="D18" s="9">
        <v>25616</v>
      </c>
      <c r="E18" s="9">
        <v>22955</v>
      </c>
      <c r="F18" s="9">
        <v>23332</v>
      </c>
      <c r="G18" s="9">
        <v>22837</v>
      </c>
      <c r="H18" s="9">
        <v>24012</v>
      </c>
      <c r="I18" s="9">
        <v>24756</v>
      </c>
      <c r="J18" s="9">
        <v>24960</v>
      </c>
      <c r="K18" s="9">
        <v>25299</v>
      </c>
    </row>
    <row r="19" spans="2:11">
      <c r="D19" s="9"/>
      <c r="E19" s="9"/>
      <c r="F19" s="9"/>
      <c r="G19" s="9"/>
      <c r="H19" s="9"/>
      <c r="I19" s="9"/>
      <c r="J19" s="9"/>
      <c r="K19" s="9"/>
    </row>
    <row r="20" spans="2:11">
      <c r="B20" s="21" t="s">
        <v>7</v>
      </c>
      <c r="C20" s="21"/>
      <c r="D20" s="22">
        <v>-15123</v>
      </c>
      <c r="E20" s="22">
        <v>33926</v>
      </c>
      <c r="F20" s="22">
        <v>47471</v>
      </c>
      <c r="G20" s="22">
        <v>19030</v>
      </c>
      <c r="H20" s="22">
        <v>8139</v>
      </c>
      <c r="I20" s="22">
        <v>39293</v>
      </c>
      <c r="J20" s="22">
        <v>58692</v>
      </c>
      <c r="K20" s="22">
        <v>33700</v>
      </c>
    </row>
    <row r="21" spans="2:11" ht="7" customHeight="1">
      <c r="D21" s="9"/>
      <c r="E21" s="9"/>
      <c r="F21" s="9"/>
      <c r="G21" s="9"/>
      <c r="H21" s="9"/>
      <c r="I21" s="9"/>
      <c r="J21" s="9"/>
      <c r="K21" s="9"/>
    </row>
    <row r="22" spans="2:11">
      <c r="B22" s="4" t="s">
        <v>59</v>
      </c>
      <c r="D22" s="9">
        <v>2137</v>
      </c>
      <c r="E22" s="9">
        <v>1880</v>
      </c>
      <c r="F22" s="9">
        <v>2162</v>
      </c>
      <c r="G22" s="9">
        <v>2027</v>
      </c>
      <c r="H22" s="9">
        <v>2483</v>
      </c>
      <c r="I22" s="9">
        <v>1761</v>
      </c>
      <c r="J22" s="9">
        <v>2348</v>
      </c>
      <c r="K22" s="9">
        <v>1865</v>
      </c>
    </row>
    <row r="23" spans="2:11">
      <c r="D23" s="9"/>
      <c r="E23" s="9"/>
      <c r="F23" s="9"/>
      <c r="G23" s="9"/>
      <c r="H23" s="9"/>
      <c r="I23" s="9"/>
      <c r="J23" s="9"/>
      <c r="K23" s="9"/>
    </row>
    <row r="24" spans="2:11">
      <c r="B24" s="21" t="s">
        <v>8</v>
      </c>
      <c r="C24" s="21"/>
      <c r="D24" s="22">
        <v>-17260</v>
      </c>
      <c r="E24" s="22">
        <v>32046</v>
      </c>
      <c r="F24" s="22">
        <v>45309</v>
      </c>
      <c r="G24" s="22">
        <v>17003</v>
      </c>
      <c r="H24" s="22">
        <v>5656</v>
      </c>
      <c r="I24" s="22">
        <v>37532</v>
      </c>
      <c r="J24" s="22">
        <v>56344</v>
      </c>
      <c r="K24" s="22">
        <v>31835</v>
      </c>
    </row>
    <row r="25" spans="2:11" ht="7" customHeight="1">
      <c r="D25" s="9"/>
      <c r="E25" s="9"/>
      <c r="F25" s="9"/>
      <c r="G25" s="9"/>
      <c r="H25" s="9"/>
      <c r="I25" s="9"/>
      <c r="J25" s="9"/>
      <c r="K25" s="9"/>
    </row>
    <row r="26" spans="2:11">
      <c r="B26" s="4" t="s">
        <v>9</v>
      </c>
      <c r="D26" s="9">
        <v>-13962</v>
      </c>
      <c r="E26" s="9">
        <v>3996</v>
      </c>
      <c r="F26" s="9">
        <v>2634</v>
      </c>
      <c r="G26" s="9">
        <v>-942</v>
      </c>
      <c r="H26" s="9">
        <v>-7025</v>
      </c>
      <c r="I26" s="9">
        <v>4341</v>
      </c>
      <c r="J26" s="9">
        <v>3900</v>
      </c>
      <c r="K26" s="9">
        <v>1841</v>
      </c>
    </row>
    <row r="27" spans="2:11">
      <c r="B27" s="51" t="s">
        <v>66</v>
      </c>
      <c r="D27" s="9"/>
      <c r="E27" s="9"/>
      <c r="F27" s="9"/>
      <c r="G27" s="9"/>
      <c r="H27" s="9"/>
      <c r="I27" s="9"/>
      <c r="J27" s="9"/>
      <c r="K27" s="9"/>
    </row>
    <row r="28" spans="2:11" ht="12" thickBot="1">
      <c r="B28" s="6" t="s">
        <v>10</v>
      </c>
      <c r="C28" s="6"/>
      <c r="D28" s="10">
        <v>-3298</v>
      </c>
      <c r="E28" s="10">
        <v>28050</v>
      </c>
      <c r="F28" s="10">
        <v>42675</v>
      </c>
      <c r="G28" s="10">
        <v>17945</v>
      </c>
      <c r="H28" s="10">
        <v>12681</v>
      </c>
      <c r="I28" s="10">
        <v>33191</v>
      </c>
      <c r="J28" s="10">
        <v>52444</v>
      </c>
      <c r="K28" s="10">
        <v>29994</v>
      </c>
    </row>
    <row r="30" spans="2:11">
      <c r="B30" s="4" t="s">
        <v>62</v>
      </c>
      <c r="D30" s="65">
        <v>0</v>
      </c>
      <c r="E30" s="65">
        <v>0</v>
      </c>
      <c r="F30" s="65">
        <v>0</v>
      </c>
      <c r="G30" s="65">
        <v>0</v>
      </c>
      <c r="H30" s="65">
        <v>0</v>
      </c>
      <c r="I30" s="65">
        <v>0</v>
      </c>
      <c r="J30" s="65">
        <v>0</v>
      </c>
      <c r="K30" s="65">
        <v>0</v>
      </c>
    </row>
    <row r="31" spans="2:11">
      <c r="B31" s="4" t="s">
        <v>61</v>
      </c>
      <c r="D31" s="65">
        <v>0</v>
      </c>
      <c r="E31" s="65">
        <v>0</v>
      </c>
      <c r="F31" s="65">
        <v>0</v>
      </c>
      <c r="G31" s="65">
        <v>0</v>
      </c>
      <c r="H31" s="65">
        <v>0</v>
      </c>
      <c r="I31" s="65">
        <v>0</v>
      </c>
      <c r="J31" s="65">
        <v>0</v>
      </c>
      <c r="K31" s="65">
        <v>0</v>
      </c>
    </row>
    <row r="32" spans="2:11" ht="12" thickBot="1">
      <c r="B32" s="6" t="s">
        <v>80</v>
      </c>
      <c r="C32" s="6"/>
      <c r="D32" s="10">
        <v>-3298</v>
      </c>
      <c r="E32" s="10">
        <v>28050</v>
      </c>
      <c r="F32" s="10">
        <v>42675</v>
      </c>
      <c r="G32" s="10">
        <v>17945</v>
      </c>
      <c r="H32" s="10">
        <v>12681</v>
      </c>
      <c r="I32" s="10">
        <v>33191</v>
      </c>
      <c r="J32" s="10">
        <v>52444</v>
      </c>
      <c r="K32" s="10">
        <v>29994</v>
      </c>
    </row>
    <row r="34" spans="1:11">
      <c r="B34" s="57" t="s">
        <v>85</v>
      </c>
      <c r="D34" s="9">
        <v>50414</v>
      </c>
      <c r="E34" s="9">
        <v>49778</v>
      </c>
      <c r="F34" s="9">
        <v>49085</v>
      </c>
      <c r="G34" s="9">
        <v>48985</v>
      </c>
      <c r="H34" s="9">
        <v>49050</v>
      </c>
      <c r="I34" s="9">
        <v>48662</v>
      </c>
      <c r="J34" s="9">
        <v>48775</v>
      </c>
      <c r="K34" s="9">
        <v>48946</v>
      </c>
    </row>
    <row r="35" spans="1:11" ht="12" thickBot="1">
      <c r="B35" s="6" t="s">
        <v>70</v>
      </c>
      <c r="C35" s="56"/>
      <c r="D35" s="55">
        <v>-6.5418336176458924E-2</v>
      </c>
      <c r="E35" s="55">
        <v>0.56350194865201497</v>
      </c>
      <c r="F35" s="55">
        <v>0.86941020678414993</v>
      </c>
      <c r="G35" s="55">
        <v>0.36633663366336633</v>
      </c>
      <c r="H35" s="55">
        <v>0.25853211009174309</v>
      </c>
      <c r="I35" s="55">
        <v>0.68207225350376066</v>
      </c>
      <c r="J35" s="55">
        <v>1.0752229625832905</v>
      </c>
      <c r="K35" s="55">
        <v>0.61279777714215666</v>
      </c>
    </row>
    <row r="37" spans="1:11">
      <c r="A37" s="83"/>
      <c r="B37" s="83"/>
      <c r="C37" s="83"/>
      <c r="D37" s="83" t="e">
        <f>#REF!</f>
        <v>#REF!</v>
      </c>
      <c r="E37" s="83" t="e">
        <f>#REF!</f>
        <v>#REF!</v>
      </c>
      <c r="F37" s="83" t="e">
        <f>#REF!</f>
        <v>#REF!</v>
      </c>
      <c r="G37" s="83" t="e">
        <f>#REF!</f>
        <v>#REF!</v>
      </c>
      <c r="H37" s="83" t="e">
        <f>#REF!</f>
        <v>#REF!</v>
      </c>
      <c r="I37" s="83" t="e">
        <f>#REF!</f>
        <v>#REF!</v>
      </c>
      <c r="J37" s="83" t="e">
        <f>#REF!</f>
        <v>#REF!</v>
      </c>
      <c r="K37" s="83" t="e">
        <f>#REF!</f>
        <v>#REF!</v>
      </c>
    </row>
    <row r="38" spans="1:11">
      <c r="A38" s="83"/>
      <c r="B38" s="83" t="s">
        <v>120</v>
      </c>
      <c r="C38" s="83"/>
      <c r="D38" s="83" t="e">
        <f>D32-D37</f>
        <v>#REF!</v>
      </c>
      <c r="E38" s="83" t="e">
        <f t="shared" ref="E38:K38" si="0">E32-E37</f>
        <v>#REF!</v>
      </c>
      <c r="F38" s="83" t="e">
        <f t="shared" si="0"/>
        <v>#REF!</v>
      </c>
      <c r="G38" s="83" t="e">
        <f t="shared" si="0"/>
        <v>#REF!</v>
      </c>
      <c r="H38" s="83" t="e">
        <f t="shared" si="0"/>
        <v>#REF!</v>
      </c>
      <c r="I38" s="83" t="e">
        <f t="shared" si="0"/>
        <v>#REF!</v>
      </c>
      <c r="J38" s="83" t="e">
        <f t="shared" si="0"/>
        <v>#REF!</v>
      </c>
      <c r="K38" s="83" t="e">
        <f t="shared" si="0"/>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vt:lpstr>
      <vt:lpstr>Preliminary ---&gt;</vt:lpstr>
      <vt:lpstr>SE_Prelim</vt:lpstr>
      <vt:lpstr>BS_Prelim</vt:lpstr>
      <vt:lpstr>CF_Prelim</vt:lpstr>
      <vt:lpstr>1.Sources --&gt;</vt:lpstr>
      <vt:lpstr>BS source</vt:lpstr>
      <vt:lpstr>CF source</vt:lpstr>
      <vt:lpstr>P&amp;L source</vt:lpstr>
      <vt:lpstr>2.Output --&gt;</vt:lpstr>
      <vt:lpstr>P&amp;L</vt:lpstr>
      <vt:lpstr>BS</vt:lpstr>
      <vt:lpstr>Segment</vt:lpstr>
      <vt:lpstr>2.1 Schedules --&gt;</vt:lpstr>
      <vt:lpstr>PrelimSE24</vt:lpstr>
      <vt:lpstr>PrelimSE2024</vt:lpstr>
      <vt:lpstr>Shares</vt:lpstr>
      <vt:lpstr>Depreciation</vt:lpstr>
      <vt:lpstr>WC</vt:lpstr>
      <vt:lpstr>Other Long-term</vt:lpstr>
      <vt:lpstr>Equity</vt:lpstr>
      <vt:lpstr>4.Valuation --&gt;</vt:lpstr>
      <vt:lpstr>UnleveredCF</vt:lpstr>
      <vt:lpstr>DCF 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2025-01-02T00:58:24Z</dcterms:modified>
</cp:coreProperties>
</file>