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codeName="ThisWorkbook" defaultThemeVersion="124226"/>
  <xr:revisionPtr revIDLastSave="0" documentId="8_{B00C25A8-68CB-4C4E-B5AF-967C091755F5}" xr6:coauthVersionLast="47" xr6:coauthVersionMax="47" xr10:uidLastSave="{00000000-0000-0000-0000-000000000000}"/>
  <bookViews>
    <workbookView xWindow="-110" yWindow="-110" windowWidth="19420" windowHeight="10420" xr2:uid="{00000000-000D-0000-FFFF-FFFF00000000}"/>
  </bookViews>
  <sheets>
    <sheet name="COVER" sheetId="47" r:id="rId1"/>
    <sheet name="Preliminary ---&gt;" sheetId="49" state="hidden" r:id="rId2"/>
    <sheet name="PrelimPL_21-23" sheetId="27" state="hidden" r:id="rId3"/>
    <sheet name="PrelimSE_21_22" sheetId="57" state="hidden" r:id="rId4"/>
    <sheet name="PrelimSE_23-24" sheetId="54" state="hidden" r:id="rId5"/>
    <sheet name="PrelimBS21-24" sheetId="31" state="hidden" r:id="rId6"/>
    <sheet name="PrelimSE_20-24" sheetId="43" state="hidden" r:id="rId7"/>
    <sheet name="PrelimCF_21-24" sheetId="35" state="hidden" r:id="rId8"/>
    <sheet name="PrelimCF_24" sheetId="36" state="hidden" r:id="rId9"/>
    <sheet name="1.Sources --&gt;" sheetId="48" r:id="rId10"/>
    <sheet name="P&amp;L source" sheetId="2" r:id="rId11"/>
    <sheet name="BS source" sheetId="3" r:id="rId12"/>
    <sheet name="CF source" sheetId="52" r:id="rId13"/>
    <sheet name="2.Output --&gt;" sheetId="17" r:id="rId14"/>
    <sheet name="P&amp;L" sheetId="5" r:id="rId15"/>
    <sheet name="BS" sheetId="29" r:id="rId16"/>
    <sheet name="CF" sheetId="51" state="hidden" r:id="rId17"/>
    <sheet name="2.1 Schedules --&gt;" sheetId="53" r:id="rId18"/>
    <sheet name="PrelimSE24" sheetId="55" state="hidden" r:id="rId19"/>
    <sheet name="PrelimSE2024" sheetId="56" state="hidden" r:id="rId20"/>
    <sheet name="Equity" sheetId="42" r:id="rId21"/>
    <sheet name="WC" sheetId="33" r:id="rId22"/>
    <sheet name="Depreciation" sheetId="34" r:id="rId23"/>
    <sheet name="Other Long-term" sheetId="41" r:id="rId24"/>
    <sheet name="Debt and Interest" sheetId="46" state="hidden" r:id="rId25"/>
    <sheet name="Shares" sheetId="44" state="hidden" r:id="rId26"/>
    <sheet name="CashFlow_CF" sheetId="45" state="hidden" r:id="rId27"/>
    <sheet name="4.Valuation --&gt;" sheetId="18" r:id="rId28"/>
    <sheet name="UnleveredCF" sheetId="6" r:id="rId29"/>
    <sheet name="DCF valuation" sheetId="11"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7" l="1"/>
  <c r="B3" i="47" l="1"/>
  <c r="H37" i="6"/>
  <c r="I37" i="6"/>
  <c r="J37" i="6"/>
  <c r="K37" i="6"/>
  <c r="G37" i="6"/>
  <c r="F36" i="6"/>
  <c r="G36" i="6"/>
  <c r="H36" i="6"/>
  <c r="I36" i="6"/>
  <c r="J36" i="6"/>
  <c r="K36" i="6"/>
  <c r="G5" i="11"/>
  <c r="C5" i="11"/>
  <c r="C4" i="11"/>
  <c r="G33" i="6"/>
  <c r="F39" i="41"/>
  <c r="E39" i="41"/>
  <c r="D39" i="41"/>
  <c r="F35" i="41"/>
  <c r="E35" i="41"/>
  <c r="D35" i="41"/>
  <c r="F31" i="41"/>
  <c r="E31" i="41"/>
  <c r="D31" i="41"/>
  <c r="F27" i="41"/>
  <c r="E27" i="41"/>
  <c r="D27" i="41"/>
  <c r="E23" i="41"/>
  <c r="F23" i="41"/>
  <c r="D23" i="41"/>
  <c r="D34" i="41"/>
  <c r="E34" i="41"/>
  <c r="F34" i="41"/>
  <c r="D38" i="41"/>
  <c r="E38" i="41"/>
  <c r="F38" i="41"/>
  <c r="C38" i="41"/>
  <c r="C34" i="41"/>
  <c r="D30" i="41"/>
  <c r="E30" i="41"/>
  <c r="F30" i="41"/>
  <c r="C30" i="41"/>
  <c r="D26" i="41"/>
  <c r="E26" i="41"/>
  <c r="F26" i="41"/>
  <c r="C26" i="41"/>
  <c r="D22" i="41"/>
  <c r="E22" i="41"/>
  <c r="F22" i="41"/>
  <c r="C22" i="41"/>
  <c r="G29" i="6"/>
  <c r="H29" i="6"/>
  <c r="J29" i="6"/>
  <c r="K29" i="6"/>
  <c r="I29" i="6"/>
  <c r="F27" i="42"/>
  <c r="E27" i="42"/>
  <c r="D27" i="42"/>
  <c r="D4" i="42"/>
  <c r="E4" i="42"/>
  <c r="F4" i="42"/>
  <c r="G28" i="42"/>
  <c r="D28" i="42"/>
  <c r="E28" i="42"/>
  <c r="F28" i="42"/>
  <c r="E22" i="42"/>
  <c r="E41" i="54"/>
  <c r="D24" i="42"/>
  <c r="D22" i="42" s="1"/>
  <c r="F24" i="42"/>
  <c r="H76" i="55"/>
  <c r="H75" i="55"/>
  <c r="H74" i="55"/>
  <c r="F23" i="42"/>
  <c r="C32" i="11"/>
  <c r="C28" i="11"/>
  <c r="C30" i="11"/>
  <c r="C29" i="11"/>
  <c r="E18" i="11"/>
  <c r="C18" i="11"/>
  <c r="D18" i="11"/>
  <c r="C3" i="11"/>
  <c r="D37" i="6"/>
  <c r="E37" i="6"/>
  <c r="C37" i="6"/>
  <c r="C30" i="6"/>
  <c r="D30" i="6"/>
  <c r="E30" i="6"/>
  <c r="C36" i="6"/>
  <c r="D36" i="6"/>
  <c r="E36" i="6"/>
  <c r="C22" i="6"/>
  <c r="D22" i="6"/>
  <c r="E22" i="6"/>
  <c r="C23" i="6"/>
  <c r="D23" i="6"/>
  <c r="E23" i="6"/>
  <c r="C9" i="6"/>
  <c r="D9" i="6"/>
  <c r="E9" i="6"/>
  <c r="C25" i="5"/>
  <c r="D25" i="5"/>
  <c r="E25" i="5"/>
  <c r="F25" i="5"/>
  <c r="F22" i="5"/>
  <c r="E22" i="5"/>
  <c r="D22" i="5"/>
  <c r="C22" i="5"/>
  <c r="C23" i="5" s="1"/>
  <c r="C29" i="6"/>
  <c r="D29" i="6"/>
  <c r="E29" i="6"/>
  <c r="C33" i="6"/>
  <c r="D33" i="6"/>
  <c r="E33" i="6"/>
  <c r="C6" i="6"/>
  <c r="D6" i="6"/>
  <c r="D23" i="5"/>
  <c r="E23" i="5"/>
  <c r="C20" i="6"/>
  <c r="D20" i="6"/>
  <c r="E20" i="6"/>
  <c r="C17" i="6"/>
  <c r="D17" i="6"/>
  <c r="C18" i="6"/>
  <c r="D18" i="6"/>
  <c r="E18" i="6"/>
  <c r="E17" i="6"/>
  <c r="C16" i="6"/>
  <c r="D16" i="6"/>
  <c r="E16" i="6"/>
  <c r="C15" i="6"/>
  <c r="D15" i="6"/>
  <c r="E15" i="6"/>
  <c r="C14" i="6"/>
  <c r="D14" i="6"/>
  <c r="E14" i="6"/>
  <c r="C13" i="6"/>
  <c r="D13" i="6"/>
  <c r="E13" i="6"/>
  <c r="D12" i="6"/>
  <c r="C12" i="6"/>
  <c r="E12" i="6"/>
  <c r="D6" i="51"/>
  <c r="E6" i="51"/>
  <c r="F6" i="51"/>
  <c r="G6" i="51"/>
  <c r="G49" i="52"/>
  <c r="F49" i="52"/>
  <c r="E49" i="52"/>
  <c r="D49" i="52"/>
  <c r="G48" i="52"/>
  <c r="F48" i="52"/>
  <c r="F47" i="52" s="1"/>
  <c r="E48" i="52"/>
  <c r="D48" i="52"/>
  <c r="D47" i="52" s="1"/>
  <c r="G45" i="52"/>
  <c r="F45" i="52"/>
  <c r="E45" i="52"/>
  <c r="D45" i="52"/>
  <c r="G43" i="52"/>
  <c r="F43" i="52"/>
  <c r="E43" i="52"/>
  <c r="D43" i="52"/>
  <c r="G42" i="52"/>
  <c r="F42" i="52"/>
  <c r="E42" i="52"/>
  <c r="D42" i="52"/>
  <c r="G41" i="52"/>
  <c r="F41" i="52"/>
  <c r="E41" i="52"/>
  <c r="D41" i="52"/>
  <c r="G40" i="52"/>
  <c r="F40" i="52"/>
  <c r="E40" i="52"/>
  <c r="D40" i="52"/>
  <c r="G39" i="52"/>
  <c r="F39" i="52"/>
  <c r="E39" i="52"/>
  <c r="D39" i="52"/>
  <c r="G38" i="52"/>
  <c r="F38" i="52"/>
  <c r="E38" i="52"/>
  <c r="D38" i="52"/>
  <c r="G37" i="52"/>
  <c r="F37" i="52"/>
  <c r="E37" i="52"/>
  <c r="D37" i="52"/>
  <c r="G36" i="52"/>
  <c r="F36" i="52"/>
  <c r="E36" i="52"/>
  <c r="D36" i="52"/>
  <c r="G35" i="52"/>
  <c r="F35" i="52"/>
  <c r="E35" i="52"/>
  <c r="D35" i="52"/>
  <c r="G34" i="52"/>
  <c r="F34" i="52"/>
  <c r="E34" i="52"/>
  <c r="D34" i="52"/>
  <c r="G33" i="52"/>
  <c r="F33" i="52"/>
  <c r="E33" i="52"/>
  <c r="D33" i="52"/>
  <c r="G32" i="52"/>
  <c r="F32" i="52"/>
  <c r="E32" i="52"/>
  <c r="D32" i="52"/>
  <c r="G31" i="52"/>
  <c r="F31" i="52"/>
  <c r="E31" i="52"/>
  <c r="D31" i="52"/>
  <c r="G27" i="52"/>
  <c r="F27" i="52"/>
  <c r="E27" i="52"/>
  <c r="D27" i="52"/>
  <c r="H26" i="52"/>
  <c r="G26" i="52"/>
  <c r="G28" i="52" s="1"/>
  <c r="F26" i="52"/>
  <c r="E26" i="52"/>
  <c r="D26" i="52"/>
  <c r="G25" i="52"/>
  <c r="F25" i="52"/>
  <c r="E25" i="52"/>
  <c r="D25" i="52"/>
  <c r="C22" i="52"/>
  <c r="G21" i="52"/>
  <c r="F21" i="52"/>
  <c r="E21" i="52"/>
  <c r="D21" i="52"/>
  <c r="G20" i="52"/>
  <c r="F20" i="52"/>
  <c r="E20" i="52"/>
  <c r="D20" i="52"/>
  <c r="G19" i="52"/>
  <c r="F19" i="52"/>
  <c r="E19" i="52"/>
  <c r="D19" i="52"/>
  <c r="G18" i="52"/>
  <c r="F18" i="52"/>
  <c r="E18" i="52"/>
  <c r="D18" i="52"/>
  <c r="G17" i="52"/>
  <c r="F17" i="52"/>
  <c r="E17" i="52"/>
  <c r="D17" i="52"/>
  <c r="G16" i="52"/>
  <c r="F16" i="52"/>
  <c r="E16" i="52"/>
  <c r="D16" i="52"/>
  <c r="G15" i="52"/>
  <c r="F15" i="52"/>
  <c r="E15" i="52"/>
  <c r="D15" i="52"/>
  <c r="G14" i="52"/>
  <c r="F14" i="52"/>
  <c r="E14" i="52"/>
  <c r="D14" i="52"/>
  <c r="G13" i="52"/>
  <c r="F13" i="52"/>
  <c r="E13" i="52"/>
  <c r="D13" i="52"/>
  <c r="G11" i="52"/>
  <c r="F11" i="52"/>
  <c r="E11" i="52"/>
  <c r="D11" i="52"/>
  <c r="G10" i="52"/>
  <c r="F10" i="52"/>
  <c r="E10" i="52"/>
  <c r="D10" i="52"/>
  <c r="G9" i="52"/>
  <c r="F9" i="52"/>
  <c r="E9" i="52"/>
  <c r="D9" i="52"/>
  <c r="G8" i="52"/>
  <c r="F8" i="52"/>
  <c r="E8" i="52"/>
  <c r="D8" i="52"/>
  <c r="C8" i="52"/>
  <c r="G7" i="52"/>
  <c r="F7" i="52"/>
  <c r="E7" i="52"/>
  <c r="D7" i="52"/>
  <c r="G6" i="52"/>
  <c r="F6" i="52"/>
  <c r="E6" i="52"/>
  <c r="D6" i="52"/>
  <c r="C6" i="52"/>
  <c r="C5" i="52"/>
  <c r="G38" i="51"/>
  <c r="E47" i="51"/>
  <c r="F47" i="51"/>
  <c r="G47" i="51"/>
  <c r="D47" i="51"/>
  <c r="D49" i="51"/>
  <c r="E49" i="51"/>
  <c r="F49" i="51"/>
  <c r="G49" i="51"/>
  <c r="D48" i="51"/>
  <c r="E48" i="51"/>
  <c r="F48" i="51"/>
  <c r="G48" i="51"/>
  <c r="D45" i="51"/>
  <c r="E45" i="51"/>
  <c r="F45" i="51"/>
  <c r="G45" i="51"/>
  <c r="D44" i="51"/>
  <c r="E44" i="51"/>
  <c r="F44" i="51"/>
  <c r="G44" i="51"/>
  <c r="D31" i="51"/>
  <c r="E31" i="51"/>
  <c r="F31" i="51"/>
  <c r="D32" i="51"/>
  <c r="E32" i="51"/>
  <c r="F32" i="51"/>
  <c r="D33" i="51"/>
  <c r="E33" i="51"/>
  <c r="F33" i="51"/>
  <c r="D34" i="51"/>
  <c r="E34" i="51"/>
  <c r="F34" i="51"/>
  <c r="D35" i="51"/>
  <c r="E35" i="51"/>
  <c r="F35" i="51"/>
  <c r="D36" i="51"/>
  <c r="E36" i="51"/>
  <c r="F36" i="51"/>
  <c r="D37" i="51"/>
  <c r="E37" i="51"/>
  <c r="F37" i="51"/>
  <c r="D38" i="51"/>
  <c r="E38" i="51"/>
  <c r="F38" i="51"/>
  <c r="D39" i="51"/>
  <c r="E39" i="51"/>
  <c r="F39" i="51"/>
  <c r="D40" i="51"/>
  <c r="E40" i="51"/>
  <c r="F40" i="51"/>
  <c r="D41" i="51"/>
  <c r="E41" i="51"/>
  <c r="F41" i="51"/>
  <c r="D42" i="51"/>
  <c r="E42" i="51"/>
  <c r="F42" i="51"/>
  <c r="D43" i="51"/>
  <c r="E43" i="51"/>
  <c r="F43" i="51"/>
  <c r="G32" i="51"/>
  <c r="G33" i="51"/>
  <c r="G34" i="51"/>
  <c r="G35" i="51"/>
  <c r="G36" i="51"/>
  <c r="G37" i="51"/>
  <c r="G39" i="51"/>
  <c r="G40" i="51"/>
  <c r="G41" i="51"/>
  <c r="G42" i="51"/>
  <c r="G43" i="51"/>
  <c r="G31" i="51"/>
  <c r="D25" i="51"/>
  <c r="E25" i="51"/>
  <c r="F25" i="51"/>
  <c r="D26" i="51"/>
  <c r="E26" i="51"/>
  <c r="F26" i="51"/>
  <c r="D27" i="51"/>
  <c r="E27" i="51"/>
  <c r="F27" i="51"/>
  <c r="G26" i="51"/>
  <c r="G27" i="51"/>
  <c r="G25" i="51"/>
  <c r="D11" i="51"/>
  <c r="E11" i="51"/>
  <c r="F11" i="51"/>
  <c r="G11" i="51"/>
  <c r="D13" i="51"/>
  <c r="E13" i="51"/>
  <c r="F13" i="51"/>
  <c r="D14" i="51"/>
  <c r="E14" i="51"/>
  <c r="F14" i="51"/>
  <c r="D15" i="51"/>
  <c r="E15" i="51"/>
  <c r="F15" i="51"/>
  <c r="D16" i="51"/>
  <c r="E16" i="51"/>
  <c r="F16" i="51"/>
  <c r="D17" i="51"/>
  <c r="E17" i="51"/>
  <c r="F17" i="51"/>
  <c r="D18" i="51"/>
  <c r="E18" i="51"/>
  <c r="F18" i="51"/>
  <c r="D19" i="51"/>
  <c r="E19" i="51"/>
  <c r="F19" i="51"/>
  <c r="D20" i="51"/>
  <c r="E20" i="51"/>
  <c r="F20" i="51"/>
  <c r="D21" i="51"/>
  <c r="E21" i="51"/>
  <c r="F21" i="51"/>
  <c r="D7" i="51"/>
  <c r="E7" i="51"/>
  <c r="F7" i="51"/>
  <c r="D8" i="51"/>
  <c r="E8" i="51"/>
  <c r="F8" i="51"/>
  <c r="D9" i="51"/>
  <c r="E9" i="51"/>
  <c r="F9" i="51"/>
  <c r="D10" i="51"/>
  <c r="E10" i="51"/>
  <c r="F10" i="51"/>
  <c r="G8" i="51"/>
  <c r="H26" i="51"/>
  <c r="C22" i="51"/>
  <c r="C8" i="51"/>
  <c r="C6" i="51"/>
  <c r="I5" i="51"/>
  <c r="C5" i="51"/>
  <c r="C19" i="41"/>
  <c r="J34" i="41" s="1"/>
  <c r="C20" i="34"/>
  <c r="L29" i="34" s="1"/>
  <c r="C34" i="29"/>
  <c r="C26" i="33"/>
  <c r="J48" i="33" s="1"/>
  <c r="D22" i="29"/>
  <c r="F22" i="29"/>
  <c r="E17" i="29"/>
  <c r="E20" i="29"/>
  <c r="E11" i="29"/>
  <c r="F10" i="29"/>
  <c r="E4" i="29"/>
  <c r="F5" i="29"/>
  <c r="I4" i="3"/>
  <c r="J4" i="3"/>
  <c r="K4" i="3"/>
  <c r="I5" i="3"/>
  <c r="J5" i="3"/>
  <c r="K5" i="3"/>
  <c r="J6" i="3"/>
  <c r="K6" i="3"/>
  <c r="J7" i="3"/>
  <c r="K7" i="3"/>
  <c r="I8" i="3"/>
  <c r="J8" i="3"/>
  <c r="K8" i="3"/>
  <c r="J9" i="3"/>
  <c r="K9" i="3"/>
  <c r="L9" i="3"/>
  <c r="L7" i="3"/>
  <c r="L8" i="3"/>
  <c r="L6" i="3"/>
  <c r="L5" i="3"/>
  <c r="L4" i="3"/>
  <c r="J17" i="3"/>
  <c r="K17" i="3"/>
  <c r="E22" i="29" s="1"/>
  <c r="J18" i="3"/>
  <c r="D23" i="29" s="1"/>
  <c r="K18" i="3"/>
  <c r="E23" i="29" s="1"/>
  <c r="J19" i="3"/>
  <c r="D24" i="29" s="1"/>
  <c r="K19" i="3"/>
  <c r="E24" i="29" s="1"/>
  <c r="L19" i="3"/>
  <c r="F24" i="29" s="1"/>
  <c r="L18" i="3"/>
  <c r="F23" i="29" s="1"/>
  <c r="L17" i="3"/>
  <c r="J12" i="3"/>
  <c r="J16" i="3" s="1"/>
  <c r="K12" i="3"/>
  <c r="J13" i="3"/>
  <c r="D18" i="29" s="1"/>
  <c r="D14" i="33" s="1"/>
  <c r="K13" i="3"/>
  <c r="E18" i="29" s="1"/>
  <c r="E14" i="33" s="1"/>
  <c r="J14" i="3"/>
  <c r="D19" i="29" s="1"/>
  <c r="K14" i="3"/>
  <c r="E19" i="29" s="1"/>
  <c r="J15" i="3"/>
  <c r="D20" i="29" s="1"/>
  <c r="K15" i="3"/>
  <c r="L15" i="3"/>
  <c r="F20" i="29" s="1"/>
  <c r="L14" i="3"/>
  <c r="F19" i="29" s="1"/>
  <c r="L13" i="3"/>
  <c r="F18" i="29" s="1"/>
  <c r="F14" i="33" s="1"/>
  <c r="L12" i="3"/>
  <c r="F17" i="29" s="1"/>
  <c r="D13" i="3"/>
  <c r="D10" i="29" s="1"/>
  <c r="E13" i="3"/>
  <c r="E10" i="29" s="1"/>
  <c r="D14" i="3"/>
  <c r="D11" i="29" s="1"/>
  <c r="E14" i="3"/>
  <c r="D15" i="3"/>
  <c r="D12" i="29" s="1"/>
  <c r="D5" i="41" s="1"/>
  <c r="E15" i="3"/>
  <c r="E12" i="29" s="1"/>
  <c r="E5" i="41" s="1"/>
  <c r="D16" i="3"/>
  <c r="D13" i="29" s="1"/>
  <c r="E16" i="3"/>
  <c r="E13" i="29" s="1"/>
  <c r="F16" i="3"/>
  <c r="F13" i="29" s="1"/>
  <c r="F15" i="3"/>
  <c r="F12" i="29" s="1"/>
  <c r="F5" i="41" s="1"/>
  <c r="F14" i="3"/>
  <c r="F11" i="29" s="1"/>
  <c r="F13" i="3"/>
  <c r="D5" i="3"/>
  <c r="D5" i="29" s="1"/>
  <c r="E5" i="3"/>
  <c r="E5" i="29" s="1"/>
  <c r="D6" i="3"/>
  <c r="D6" i="29" s="1"/>
  <c r="E6" i="3"/>
  <c r="E6" i="29" s="1"/>
  <c r="D8" i="3"/>
  <c r="D7" i="3" s="1"/>
  <c r="D8" i="29" s="1"/>
  <c r="E8" i="3"/>
  <c r="E7" i="3" s="1"/>
  <c r="E8" i="29" s="1"/>
  <c r="D9" i="3"/>
  <c r="E9" i="3"/>
  <c r="F9" i="3"/>
  <c r="F8" i="3"/>
  <c r="F7" i="3" s="1"/>
  <c r="F8" i="29" s="1"/>
  <c r="F6" i="3"/>
  <c r="F6" i="29" s="1"/>
  <c r="F5" i="3"/>
  <c r="D4" i="3"/>
  <c r="D4" i="29" s="1"/>
  <c r="E4" i="3"/>
  <c r="F4" i="3"/>
  <c r="F4" i="29" s="1"/>
  <c r="N32" i="5"/>
  <c r="L57" i="5"/>
  <c r="K57" i="5"/>
  <c r="J57" i="5"/>
  <c r="I57" i="5"/>
  <c r="H57" i="5"/>
  <c r="C11" i="47"/>
  <c r="H26" i="41" l="1"/>
  <c r="H5" i="41" s="1"/>
  <c r="H12" i="29" s="1"/>
  <c r="H30" i="41"/>
  <c r="I30" i="41"/>
  <c r="I38" i="41"/>
  <c r="J56" i="33"/>
  <c r="I56" i="33"/>
  <c r="J30" i="41"/>
  <c r="K30" i="41"/>
  <c r="K22" i="41"/>
  <c r="K34" i="41"/>
  <c r="J22" i="41"/>
  <c r="L34" i="41"/>
  <c r="I22" i="41"/>
  <c r="H38" i="41"/>
  <c r="G19" i="11"/>
  <c r="K19" i="11"/>
  <c r="H19" i="11"/>
  <c r="I19" i="11"/>
  <c r="J19" i="11"/>
  <c r="F29" i="42"/>
  <c r="E29" i="42"/>
  <c r="D29" i="42"/>
  <c r="F22" i="42"/>
  <c r="G3" i="11"/>
  <c r="F23" i="5"/>
  <c r="E6" i="6" s="1"/>
  <c r="L25" i="34"/>
  <c r="I29" i="34"/>
  <c r="I26" i="41"/>
  <c r="L30" i="41"/>
  <c r="J38" i="41"/>
  <c r="K29" i="34"/>
  <c r="J29" i="34"/>
  <c r="K25" i="34"/>
  <c r="J26" i="41"/>
  <c r="H34" i="41"/>
  <c r="K38" i="41"/>
  <c r="J25" i="34"/>
  <c r="H22" i="41"/>
  <c r="K26" i="41"/>
  <c r="I34" i="41"/>
  <c r="L38" i="41"/>
  <c r="H25" i="34"/>
  <c r="I25" i="34"/>
  <c r="L22" i="41"/>
  <c r="L26" i="41"/>
  <c r="H56" i="33"/>
  <c r="H29" i="34"/>
  <c r="L56" i="33"/>
  <c r="K56" i="33"/>
  <c r="D19" i="6"/>
  <c r="E19" i="6"/>
  <c r="C19" i="6"/>
  <c r="L20" i="3"/>
  <c r="L10" i="3"/>
  <c r="F27" i="29" s="1"/>
  <c r="K10" i="3"/>
  <c r="E27" i="29" s="1"/>
  <c r="J10" i="3"/>
  <c r="D27" i="29" s="1"/>
  <c r="D10" i="3"/>
  <c r="L16" i="3"/>
  <c r="L22" i="3" s="1"/>
  <c r="K16" i="3"/>
  <c r="D17" i="29"/>
  <c r="D21" i="29" s="1"/>
  <c r="E47" i="52"/>
  <c r="G44" i="52"/>
  <c r="G47" i="52"/>
  <c r="D22" i="52"/>
  <c r="E28" i="52"/>
  <c r="F44" i="52"/>
  <c r="F28" i="52"/>
  <c r="D28" i="52"/>
  <c r="F22" i="52"/>
  <c r="E22" i="52"/>
  <c r="G22" i="52"/>
  <c r="D44" i="52"/>
  <c r="E44" i="52"/>
  <c r="F28" i="51"/>
  <c r="D28" i="51"/>
  <c r="G28" i="51"/>
  <c r="E28" i="51"/>
  <c r="D22" i="51"/>
  <c r="F22" i="51"/>
  <c r="E22" i="51"/>
  <c r="H32" i="33"/>
  <c r="J36" i="33"/>
  <c r="K44" i="33"/>
  <c r="H52" i="33"/>
  <c r="K36" i="33"/>
  <c r="I48" i="33"/>
  <c r="I36" i="33"/>
  <c r="K32" i="33"/>
  <c r="K52" i="33"/>
  <c r="I32" i="33"/>
  <c r="J40" i="33"/>
  <c r="L48" i="33"/>
  <c r="I52" i="33"/>
  <c r="L44" i="33"/>
  <c r="L32" i="33"/>
  <c r="J44" i="33"/>
  <c r="I44" i="33"/>
  <c r="J32" i="33"/>
  <c r="K40" i="33"/>
  <c r="J52" i="33"/>
  <c r="H36" i="33"/>
  <c r="I40" i="33"/>
  <c r="K48" i="33"/>
  <c r="H40" i="33"/>
  <c r="L52" i="33"/>
  <c r="L40" i="33"/>
  <c r="H48" i="33"/>
  <c r="L36" i="33"/>
  <c r="H44" i="33"/>
  <c r="L24" i="3"/>
  <c r="K20" i="3"/>
  <c r="K22" i="3" s="1"/>
  <c r="K24" i="3" s="1"/>
  <c r="J20" i="3"/>
  <c r="J22" i="3" s="1"/>
  <c r="J24" i="3" s="1"/>
  <c r="F18" i="3"/>
  <c r="F24" i="3" s="1"/>
  <c r="F10" i="3"/>
  <c r="D18" i="3"/>
  <c r="E18" i="3"/>
  <c r="E10" i="3"/>
  <c r="C10" i="47"/>
  <c r="C7" i="47"/>
  <c r="H50" i="42"/>
  <c r="F7" i="42"/>
  <c r="F34" i="42" s="1"/>
  <c r="E7" i="42"/>
  <c r="E34" i="42" s="1"/>
  <c r="H34" i="42" s="1"/>
  <c r="D7" i="42"/>
  <c r="D34" i="42" s="1"/>
  <c r="D6" i="45"/>
  <c r="E6" i="45"/>
  <c r="F11" i="42"/>
  <c r="F8" i="42"/>
  <c r="F9" i="42"/>
  <c r="F6" i="42"/>
  <c r="C39" i="46"/>
  <c r="C33" i="46"/>
  <c r="C22" i="46"/>
  <c r="C29" i="46"/>
  <c r="G19" i="46"/>
  <c r="G24" i="46" s="1"/>
  <c r="C9" i="46"/>
  <c r="C8" i="46"/>
  <c r="C6" i="46"/>
  <c r="H5" i="46"/>
  <c r="C5" i="46"/>
  <c r="C22" i="45"/>
  <c r="G16" i="45"/>
  <c r="C9" i="45"/>
  <c r="C8" i="45"/>
  <c r="C6" i="45"/>
  <c r="C5" i="45"/>
  <c r="I7" i="44"/>
  <c r="J7" i="44"/>
  <c r="K7" i="44"/>
  <c r="L7" i="44"/>
  <c r="H7" i="44"/>
  <c r="I13" i="44"/>
  <c r="J13" i="44"/>
  <c r="K13" i="44"/>
  <c r="L13" i="44"/>
  <c r="K11" i="44"/>
  <c r="L11" i="44"/>
  <c r="J11" i="44"/>
  <c r="I11" i="44"/>
  <c r="H11" i="44"/>
  <c r="D6" i="44"/>
  <c r="D5" i="44"/>
  <c r="F6" i="44"/>
  <c r="E6" i="44"/>
  <c r="G34" i="43"/>
  <c r="F8" i="44"/>
  <c r="E8" i="44"/>
  <c r="D8" i="44"/>
  <c r="D9" i="44" s="1"/>
  <c r="D11" i="44"/>
  <c r="E11" i="44"/>
  <c r="F11" i="44"/>
  <c r="C6" i="44"/>
  <c r="C5" i="44"/>
  <c r="E11" i="42"/>
  <c r="E9" i="42"/>
  <c r="E8" i="42"/>
  <c r="E6" i="42"/>
  <c r="D11" i="42"/>
  <c r="D10" i="42"/>
  <c r="D9" i="42"/>
  <c r="D8" i="42"/>
  <c r="D6" i="42"/>
  <c r="S33" i="43"/>
  <c r="S22" i="43"/>
  <c r="T22" i="43" s="1"/>
  <c r="C9" i="42"/>
  <c r="C5" i="42"/>
  <c r="C6" i="42"/>
  <c r="D12" i="42"/>
  <c r="E5" i="42" s="1"/>
  <c r="E12" i="42"/>
  <c r="F5" i="42" s="1"/>
  <c r="F12" i="42"/>
  <c r="H5" i="42" s="1"/>
  <c r="G19" i="42"/>
  <c r="D11" i="41"/>
  <c r="E11" i="41"/>
  <c r="D12" i="41"/>
  <c r="E12" i="41"/>
  <c r="F12" i="41"/>
  <c r="F11" i="41"/>
  <c r="G7" i="41"/>
  <c r="G10" i="41" s="1"/>
  <c r="D6" i="41"/>
  <c r="E6" i="41"/>
  <c r="F6" i="41"/>
  <c r="D4" i="41"/>
  <c r="E4" i="41"/>
  <c r="F4" i="41"/>
  <c r="D16" i="34"/>
  <c r="E16" i="34"/>
  <c r="F16" i="34"/>
  <c r="H12" i="34" s="1"/>
  <c r="C5" i="34"/>
  <c r="D5" i="34"/>
  <c r="E5" i="34"/>
  <c r="E5" i="35"/>
  <c r="E6" i="35"/>
  <c r="G7" i="51" s="1"/>
  <c r="E8" i="35"/>
  <c r="G9" i="51" s="1"/>
  <c r="E9" i="35"/>
  <c r="G10" i="51" s="1"/>
  <c r="E11" i="35"/>
  <c r="E12" i="35"/>
  <c r="G13" i="51" s="1"/>
  <c r="E13" i="35"/>
  <c r="G14" i="51" s="1"/>
  <c r="E14" i="35"/>
  <c r="G15" i="51" s="1"/>
  <c r="E15" i="35"/>
  <c r="G16" i="51" s="1"/>
  <c r="E16" i="35"/>
  <c r="G17" i="51" s="1"/>
  <c r="E17" i="35"/>
  <c r="G18" i="51" s="1"/>
  <c r="E18" i="35"/>
  <c r="G19" i="51" s="1"/>
  <c r="E19" i="35"/>
  <c r="G20" i="51" s="1"/>
  <c r="E20" i="35"/>
  <c r="G21" i="51" s="1"/>
  <c r="E21" i="35"/>
  <c r="E22" i="35"/>
  <c r="E23" i="35"/>
  <c r="F5" i="34" s="1"/>
  <c r="E24" i="35"/>
  <c r="E25" i="35"/>
  <c r="E26" i="35"/>
  <c r="E27" i="35"/>
  <c r="E28" i="35"/>
  <c r="E39" i="35"/>
  <c r="E40" i="35"/>
  <c r="E41" i="35"/>
  <c r="E42" i="35"/>
  <c r="E43" i="35"/>
  <c r="E44" i="35"/>
  <c r="E45" i="35"/>
  <c r="E46" i="35"/>
  <c r="E47" i="35"/>
  <c r="E48" i="35"/>
  <c r="E49" i="35"/>
  <c r="E4" i="35"/>
  <c r="G11" i="34"/>
  <c r="G12" i="34" s="1"/>
  <c r="E15" i="33"/>
  <c r="D16" i="33"/>
  <c r="E16" i="33"/>
  <c r="D17" i="33"/>
  <c r="E17" i="33"/>
  <c r="F17" i="33"/>
  <c r="F16" i="33"/>
  <c r="F15" i="33"/>
  <c r="D10" i="33"/>
  <c r="E10" i="33"/>
  <c r="F10" i="33"/>
  <c r="D9" i="33"/>
  <c r="E9" i="33"/>
  <c r="F9" i="33"/>
  <c r="G11" i="33"/>
  <c r="G12" i="33" s="1"/>
  <c r="E21" i="29"/>
  <c r="F21" i="29"/>
  <c r="G21" i="29"/>
  <c r="G25" i="29" s="1"/>
  <c r="G29" i="29" s="1"/>
  <c r="F11" i="33"/>
  <c r="G16" i="29"/>
  <c r="C4" i="3"/>
  <c r="C4" i="29" s="1"/>
  <c r="C5" i="3"/>
  <c r="C5" i="29" s="1"/>
  <c r="C9" i="33" s="1"/>
  <c r="C8" i="3"/>
  <c r="C7" i="3" s="1"/>
  <c r="C8" i="29" s="1"/>
  <c r="C11" i="33" s="1"/>
  <c r="C6" i="3"/>
  <c r="C6" i="29" s="1"/>
  <c r="C10" i="33" s="1"/>
  <c r="C9" i="3"/>
  <c r="C13" i="3"/>
  <c r="C10" i="29" s="1"/>
  <c r="C16" i="34" s="1"/>
  <c r="C14" i="3"/>
  <c r="C11" i="29" s="1"/>
  <c r="C4" i="41" s="1"/>
  <c r="C15" i="3"/>
  <c r="C12" i="29" s="1"/>
  <c r="C5" i="41" s="1"/>
  <c r="C16" i="3"/>
  <c r="C13" i="29" s="1"/>
  <c r="C6" i="41" s="1"/>
  <c r="I12" i="3"/>
  <c r="I13" i="3"/>
  <c r="C18" i="29" s="1"/>
  <c r="C14" i="33" s="1"/>
  <c r="C56" i="33" s="1"/>
  <c r="I14" i="3"/>
  <c r="C19" i="29" s="1"/>
  <c r="C17" i="33" s="1"/>
  <c r="I15" i="3"/>
  <c r="C20" i="29" s="1"/>
  <c r="C16" i="33" s="1"/>
  <c r="I17" i="3"/>
  <c r="C22" i="29" s="1"/>
  <c r="I18" i="3"/>
  <c r="C23" i="29" s="1"/>
  <c r="C11" i="41" s="1"/>
  <c r="I19" i="3"/>
  <c r="C24" i="29" s="1"/>
  <c r="C12" i="41" s="1"/>
  <c r="I6" i="3"/>
  <c r="I7" i="3"/>
  <c r="I9" i="3"/>
  <c r="L61" i="5"/>
  <c r="K61" i="5"/>
  <c r="J61" i="5"/>
  <c r="I61" i="5"/>
  <c r="H61" i="5"/>
  <c r="L53" i="5"/>
  <c r="K53" i="5"/>
  <c r="J53" i="5"/>
  <c r="I53" i="5"/>
  <c r="H53" i="5"/>
  <c r="L49" i="5"/>
  <c r="K49" i="5"/>
  <c r="J49" i="5"/>
  <c r="I49" i="5"/>
  <c r="H49" i="5"/>
  <c r="L45" i="5"/>
  <c r="K45" i="5"/>
  <c r="J45" i="5"/>
  <c r="I45" i="5"/>
  <c r="H45" i="5"/>
  <c r="I41" i="5"/>
  <c r="J41" i="5"/>
  <c r="K41" i="5"/>
  <c r="L41" i="5"/>
  <c r="H41" i="5"/>
  <c r="E30" i="2"/>
  <c r="D27" i="5" s="1"/>
  <c r="F30" i="2"/>
  <c r="E27" i="5" s="1"/>
  <c r="E31" i="2"/>
  <c r="F31" i="2"/>
  <c r="E28" i="5" s="1"/>
  <c r="C31" i="5"/>
  <c r="D31" i="5"/>
  <c r="D13" i="44" s="1"/>
  <c r="E31" i="5"/>
  <c r="E13" i="44" s="1"/>
  <c r="F31" i="5"/>
  <c r="F13" i="44" s="1"/>
  <c r="F12" i="44" s="1"/>
  <c r="C28" i="5"/>
  <c r="F28" i="5"/>
  <c r="C27" i="5"/>
  <c r="F27" i="5"/>
  <c r="C11" i="5"/>
  <c r="D11" i="5"/>
  <c r="E11" i="5"/>
  <c r="F11" i="5"/>
  <c r="G11" i="5" s="1"/>
  <c r="D8" i="5"/>
  <c r="D5" i="33" s="1"/>
  <c r="D56" i="33" s="1"/>
  <c r="E8" i="5"/>
  <c r="E5" i="33" s="1"/>
  <c r="E56" i="33" s="1"/>
  <c r="F8" i="5"/>
  <c r="F5" i="33" s="1"/>
  <c r="F56" i="33" s="1"/>
  <c r="C8" i="5"/>
  <c r="C5" i="33" s="1"/>
  <c r="C14" i="5"/>
  <c r="C8" i="34" s="1"/>
  <c r="D14" i="5"/>
  <c r="E14" i="5"/>
  <c r="F14" i="5"/>
  <c r="C18" i="5"/>
  <c r="D18" i="5"/>
  <c r="E18" i="5"/>
  <c r="F18" i="5"/>
  <c r="H18" i="5" s="1"/>
  <c r="C4" i="5"/>
  <c r="C6" i="5" s="1"/>
  <c r="D4" i="5"/>
  <c r="D6" i="5" s="1"/>
  <c r="E4" i="5"/>
  <c r="E6" i="5" s="1"/>
  <c r="F4" i="5"/>
  <c r="D35" i="2"/>
  <c r="G32" i="2"/>
  <c r="G35" i="2" s="1"/>
  <c r="H32" i="2"/>
  <c r="D32" i="2"/>
  <c r="D31" i="2"/>
  <c r="G31" i="2"/>
  <c r="D30" i="2"/>
  <c r="G30" i="2"/>
  <c r="D34" i="2"/>
  <c r="E34" i="2"/>
  <c r="F34" i="2"/>
  <c r="G34" i="2"/>
  <c r="G5" i="2"/>
  <c r="G6" i="2" s="1"/>
  <c r="G8" i="2"/>
  <c r="G9" i="2"/>
  <c r="G10" i="2"/>
  <c r="G11" i="2"/>
  <c r="G12" i="2"/>
  <c r="G13" i="2"/>
  <c r="G14" i="2"/>
  <c r="G18" i="2"/>
  <c r="G22" i="2"/>
  <c r="G26" i="2"/>
  <c r="D26" i="2"/>
  <c r="E26" i="2"/>
  <c r="F26" i="2"/>
  <c r="D5" i="2"/>
  <c r="D6" i="2" s="1"/>
  <c r="E5" i="2"/>
  <c r="D18" i="2"/>
  <c r="E18" i="2"/>
  <c r="F18" i="2"/>
  <c r="D8" i="2"/>
  <c r="E8" i="2"/>
  <c r="D9" i="2"/>
  <c r="E9" i="2"/>
  <c r="D10" i="2"/>
  <c r="E10" i="2"/>
  <c r="D11" i="2"/>
  <c r="E11" i="2"/>
  <c r="D12" i="2"/>
  <c r="E12" i="2"/>
  <c r="D13" i="2"/>
  <c r="E13" i="2"/>
  <c r="D14" i="2"/>
  <c r="E14" i="2"/>
  <c r="F9" i="2"/>
  <c r="F10" i="2"/>
  <c r="F11" i="2"/>
  <c r="F12" i="2"/>
  <c r="F13" i="2"/>
  <c r="F14" i="2"/>
  <c r="D22" i="2"/>
  <c r="E22" i="2"/>
  <c r="F22" i="2"/>
  <c r="F8" i="2"/>
  <c r="F5" i="2"/>
  <c r="H12" i="41" l="1"/>
  <c r="I12" i="41" s="1"/>
  <c r="I5" i="41"/>
  <c r="J5" i="41" s="1"/>
  <c r="I18" i="5"/>
  <c r="G27" i="6"/>
  <c r="H11" i="41"/>
  <c r="H23" i="29" s="1"/>
  <c r="F14" i="42"/>
  <c r="C27" i="6"/>
  <c r="D57" i="5"/>
  <c r="F6" i="5"/>
  <c r="G6" i="5" s="1"/>
  <c r="G4" i="5"/>
  <c r="F8" i="34"/>
  <c r="D8" i="34"/>
  <c r="D10" i="34" s="1"/>
  <c r="E57" i="5"/>
  <c r="D27" i="6"/>
  <c r="E8" i="34"/>
  <c r="E10" i="34" s="1"/>
  <c r="F57" i="5"/>
  <c r="E27" i="6"/>
  <c r="C10" i="34"/>
  <c r="I10" i="3"/>
  <c r="C27" i="29" s="1"/>
  <c r="C12" i="42" s="1"/>
  <c r="D5" i="42" s="1"/>
  <c r="D14" i="42" s="1"/>
  <c r="D15" i="33"/>
  <c r="C18" i="3"/>
  <c r="I20" i="3"/>
  <c r="C10" i="3"/>
  <c r="I16" i="3"/>
  <c r="C17" i="29"/>
  <c r="H6" i="41"/>
  <c r="H13" i="29" s="1"/>
  <c r="F9" i="34"/>
  <c r="G22" i="51"/>
  <c r="F6" i="45"/>
  <c r="E13" i="41"/>
  <c r="H4" i="41"/>
  <c r="F7" i="41"/>
  <c r="D13" i="41"/>
  <c r="C13" i="41"/>
  <c r="D44" i="33"/>
  <c r="F52" i="33"/>
  <c r="D18" i="33"/>
  <c r="F13" i="41"/>
  <c r="F18" i="33"/>
  <c r="C7" i="41"/>
  <c r="F49" i="5"/>
  <c r="C49" i="5"/>
  <c r="D49" i="5"/>
  <c r="E4" i="34"/>
  <c r="E6" i="34" s="1"/>
  <c r="C4" i="33"/>
  <c r="C32" i="33" s="1"/>
  <c r="E49" i="5"/>
  <c r="D4" i="33"/>
  <c r="D32" i="33" s="1"/>
  <c r="C52" i="33"/>
  <c r="C48" i="33"/>
  <c r="E44" i="33"/>
  <c r="E52" i="33"/>
  <c r="F4" i="33"/>
  <c r="F40" i="33" s="1"/>
  <c r="F4" i="34"/>
  <c r="F25" i="34" s="1"/>
  <c r="E4" i="33"/>
  <c r="C4" i="34"/>
  <c r="H4" i="5"/>
  <c r="D4" i="34"/>
  <c r="D25" i="34" s="1"/>
  <c r="C36" i="33"/>
  <c r="D52" i="33"/>
  <c r="C29" i="34"/>
  <c r="E36" i="33"/>
  <c r="F48" i="33"/>
  <c r="D36" i="33"/>
  <c r="E48" i="33"/>
  <c r="D48" i="33"/>
  <c r="C9" i="34"/>
  <c r="F44" i="33"/>
  <c r="F36" i="33"/>
  <c r="F29" i="34"/>
  <c r="H5" i="45"/>
  <c r="E12" i="44"/>
  <c r="D12" i="44"/>
  <c r="H12" i="44" s="1"/>
  <c r="H13" i="44" s="1"/>
  <c r="F5" i="44"/>
  <c r="F9" i="44" s="1"/>
  <c r="E5" i="44"/>
  <c r="E9" i="44" s="1"/>
  <c r="H5" i="44"/>
  <c r="H8" i="44" s="1"/>
  <c r="I5" i="44" s="1"/>
  <c r="I8" i="44" s="1"/>
  <c r="J5" i="44" s="1"/>
  <c r="J8" i="44" s="1"/>
  <c r="K5" i="44" s="1"/>
  <c r="K8" i="44" s="1"/>
  <c r="L5" i="44" s="1"/>
  <c r="L8" i="44" s="1"/>
  <c r="E14" i="42"/>
  <c r="C50" i="42"/>
  <c r="C24" i="42"/>
  <c r="C48" i="42"/>
  <c r="E7" i="41"/>
  <c r="D7" i="41"/>
  <c r="D9" i="34"/>
  <c r="F10" i="34"/>
  <c r="E18" i="33"/>
  <c r="C12" i="33"/>
  <c r="F12" i="33"/>
  <c r="D25" i="29"/>
  <c r="D29" i="29" s="1"/>
  <c r="E25" i="29"/>
  <c r="E29" i="29" s="1"/>
  <c r="F25" i="29"/>
  <c r="F29" i="29" s="1"/>
  <c r="F9" i="29"/>
  <c r="F16" i="29" s="1"/>
  <c r="C9" i="29"/>
  <c r="C16" i="29" s="1"/>
  <c r="D9" i="5"/>
  <c r="F41" i="5"/>
  <c r="E9" i="5"/>
  <c r="F32" i="2"/>
  <c r="F35" i="2" s="1"/>
  <c r="E32" i="2"/>
  <c r="E35" i="2" s="1"/>
  <c r="D28" i="5"/>
  <c r="E41" i="5"/>
  <c r="D41" i="5"/>
  <c r="C9" i="5"/>
  <c r="E15" i="2"/>
  <c r="D15" i="2"/>
  <c r="D16" i="2" s="1"/>
  <c r="D20" i="2" s="1"/>
  <c r="D24" i="2" s="1"/>
  <c r="D28" i="2" s="1"/>
  <c r="F15" i="2"/>
  <c r="G15" i="2"/>
  <c r="G16" i="2" s="1"/>
  <c r="G20" i="2" s="1"/>
  <c r="G24" i="2" s="1"/>
  <c r="G28" i="2" s="1"/>
  <c r="F6" i="2"/>
  <c r="E6" i="2"/>
  <c r="I12" i="29" l="1"/>
  <c r="H24" i="29"/>
  <c r="G20" i="6" s="1"/>
  <c r="J18" i="5"/>
  <c r="H27" i="6"/>
  <c r="I11" i="41"/>
  <c r="I23" i="29" s="1"/>
  <c r="H13" i="41"/>
  <c r="H14" i="41" s="1"/>
  <c r="E9" i="34"/>
  <c r="D29" i="34"/>
  <c r="F9" i="5"/>
  <c r="G9" i="5" s="1"/>
  <c r="E29" i="34"/>
  <c r="C14" i="45"/>
  <c r="C49" i="42"/>
  <c r="C24" i="51"/>
  <c r="C24" i="52"/>
  <c r="C17" i="46"/>
  <c r="C8" i="44"/>
  <c r="C24" i="3"/>
  <c r="C15" i="33"/>
  <c r="C21" i="29"/>
  <c r="C25" i="29" s="1"/>
  <c r="C29" i="29" s="1"/>
  <c r="C30" i="29" s="1"/>
  <c r="I22" i="3"/>
  <c r="I24" i="3" s="1"/>
  <c r="I6" i="41"/>
  <c r="K5" i="41"/>
  <c r="J12" i="29"/>
  <c r="J12" i="41"/>
  <c r="I24" i="29"/>
  <c r="I4" i="41"/>
  <c r="H11" i="29"/>
  <c r="G23" i="6" s="1"/>
  <c r="F14" i="41"/>
  <c r="H7" i="41"/>
  <c r="D8" i="41"/>
  <c r="D14" i="41"/>
  <c r="E14" i="41"/>
  <c r="C40" i="33"/>
  <c r="D9" i="29"/>
  <c r="D16" i="29" s="1"/>
  <c r="D30" i="29" s="1"/>
  <c r="D11" i="33"/>
  <c r="E9" i="29"/>
  <c r="E16" i="29" s="1"/>
  <c r="E30" i="29" s="1"/>
  <c r="E11" i="33"/>
  <c r="E12" i="33" s="1"/>
  <c r="E21" i="33" s="1"/>
  <c r="F21" i="33"/>
  <c r="E8" i="41"/>
  <c r="D6" i="34"/>
  <c r="E25" i="34"/>
  <c r="E32" i="33"/>
  <c r="C6" i="34"/>
  <c r="C25" i="34"/>
  <c r="E12" i="5"/>
  <c r="E16" i="5" s="1"/>
  <c r="F45" i="5"/>
  <c r="C12" i="5"/>
  <c r="C16" i="5" s="1"/>
  <c r="D45" i="5"/>
  <c r="D12" i="5"/>
  <c r="D16" i="5" s="1"/>
  <c r="E45" i="5"/>
  <c r="H6" i="5"/>
  <c r="H4" i="42"/>
  <c r="H7" i="42" s="1"/>
  <c r="H4" i="34"/>
  <c r="H5" i="34" s="1"/>
  <c r="H8" i="34" s="1"/>
  <c r="H14" i="5" s="1"/>
  <c r="G9" i="6" s="1"/>
  <c r="H4" i="33"/>
  <c r="I4" i="5"/>
  <c r="I6" i="5" s="1"/>
  <c r="F32" i="33"/>
  <c r="F6" i="34"/>
  <c r="F19" i="42"/>
  <c r="C27" i="42"/>
  <c r="F8" i="41"/>
  <c r="F30" i="29"/>
  <c r="F12" i="5"/>
  <c r="F16" i="2"/>
  <c r="F20" i="2" s="1"/>
  <c r="F24" i="2" s="1"/>
  <c r="F28" i="2" s="1"/>
  <c r="E16" i="2"/>
  <c r="E20" i="2" s="1"/>
  <c r="E24" i="2" s="1"/>
  <c r="E28" i="2" s="1"/>
  <c r="K18" i="5" l="1"/>
  <c r="I27" i="6"/>
  <c r="J11" i="41"/>
  <c r="J23" i="29" s="1"/>
  <c r="I13" i="41"/>
  <c r="I14" i="41" s="1"/>
  <c r="D53" i="5"/>
  <c r="C4" i="6"/>
  <c r="F16" i="5"/>
  <c r="G12" i="5"/>
  <c r="E53" i="5"/>
  <c r="D4" i="6"/>
  <c r="C18" i="33"/>
  <c r="C21" i="33" s="1"/>
  <c r="C44" i="33"/>
  <c r="L5" i="41"/>
  <c r="L12" i="29" s="1"/>
  <c r="K12" i="29"/>
  <c r="J4" i="41"/>
  <c r="I11" i="29"/>
  <c r="H23" i="6" s="1"/>
  <c r="I13" i="29"/>
  <c r="H20" i="6" s="1"/>
  <c r="J6" i="41"/>
  <c r="I7" i="41"/>
  <c r="I8" i="41" s="1"/>
  <c r="K12" i="41"/>
  <c r="J24" i="29"/>
  <c r="F16" i="41"/>
  <c r="H8" i="41"/>
  <c r="D16" i="41"/>
  <c r="E16" i="41"/>
  <c r="E40" i="33"/>
  <c r="D40" i="33"/>
  <c r="D12" i="33"/>
  <c r="D21" i="33" s="1"/>
  <c r="F23" i="33"/>
  <c r="D20" i="5"/>
  <c r="J4" i="5"/>
  <c r="J4" i="33" s="1"/>
  <c r="J9" i="33" s="1"/>
  <c r="I4" i="42"/>
  <c r="I7" i="42" s="1"/>
  <c r="I4" i="34"/>
  <c r="I5" i="34" s="1"/>
  <c r="I8" i="34" s="1"/>
  <c r="I14" i="5" s="1"/>
  <c r="H9" i="6" s="1"/>
  <c r="I4" i="33"/>
  <c r="I9" i="33" s="1"/>
  <c r="C20" i="5"/>
  <c r="C61" i="5" s="1"/>
  <c r="C53" i="5"/>
  <c r="E20" i="5"/>
  <c r="H9" i="5"/>
  <c r="H8" i="5" s="1"/>
  <c r="H5" i="33" s="1"/>
  <c r="H14" i="33" s="1"/>
  <c r="H18" i="29" s="1"/>
  <c r="G15" i="6" s="1"/>
  <c r="H11" i="5"/>
  <c r="H11" i="33"/>
  <c r="H8" i="29" s="1"/>
  <c r="G14" i="6" s="1"/>
  <c r="H9" i="33"/>
  <c r="H5" i="29" s="1"/>
  <c r="G13" i="6" s="1"/>
  <c r="H13" i="34"/>
  <c r="H14" i="34"/>
  <c r="I11" i="5"/>
  <c r="I9" i="5"/>
  <c r="F20" i="5"/>
  <c r="D24" i="3"/>
  <c r="E24" i="3"/>
  <c r="L18" i="5" l="1"/>
  <c r="K27" i="6" s="1"/>
  <c r="J27" i="6"/>
  <c r="K11" i="41"/>
  <c r="K23" i="29" s="1"/>
  <c r="J13" i="41"/>
  <c r="J14" i="41" s="1"/>
  <c r="C5" i="6"/>
  <c r="C28" i="6" s="1"/>
  <c r="D5" i="6"/>
  <c r="D28" i="6" s="1"/>
  <c r="G20" i="5"/>
  <c r="F61" i="5"/>
  <c r="J4" i="42"/>
  <c r="J7" i="42" s="1"/>
  <c r="E29" i="5"/>
  <c r="E32" i="5" s="1"/>
  <c r="E61" i="5"/>
  <c r="D29" i="5"/>
  <c r="D32" i="5" s="1"/>
  <c r="D61" i="5"/>
  <c r="F53" i="5"/>
  <c r="E4" i="6"/>
  <c r="G16" i="5"/>
  <c r="D23" i="33"/>
  <c r="J11" i="29"/>
  <c r="I23" i="6" s="1"/>
  <c r="K4" i="41"/>
  <c r="J7" i="41"/>
  <c r="J8" i="41" s="1"/>
  <c r="L12" i="41"/>
  <c r="L24" i="29" s="1"/>
  <c r="K24" i="29"/>
  <c r="K6" i="41"/>
  <c r="J13" i="29"/>
  <c r="I20" i="6" s="1"/>
  <c r="E23" i="33"/>
  <c r="J4" i="34"/>
  <c r="H16" i="34"/>
  <c r="I12" i="5"/>
  <c r="I16" i="5" s="1"/>
  <c r="J6" i="5"/>
  <c r="J9" i="5" s="1"/>
  <c r="K4" i="5"/>
  <c r="L4" i="5" s="1"/>
  <c r="N4" i="5" s="1"/>
  <c r="H12" i="5"/>
  <c r="H16" i="5" s="1"/>
  <c r="H17" i="33"/>
  <c r="H19" i="29" s="1"/>
  <c r="G17" i="6" s="1"/>
  <c r="H10" i="33"/>
  <c r="H15" i="33"/>
  <c r="H17" i="29" s="1"/>
  <c r="G18" i="6" s="1"/>
  <c r="H16" i="33"/>
  <c r="H20" i="29" s="1"/>
  <c r="G16" i="6" s="1"/>
  <c r="I11" i="33"/>
  <c r="I8" i="29" s="1"/>
  <c r="H14" i="6" s="1"/>
  <c r="I5" i="29"/>
  <c r="H13" i="6" s="1"/>
  <c r="J5" i="29"/>
  <c r="J11" i="33"/>
  <c r="J8" i="29" s="1"/>
  <c r="I13" i="34"/>
  <c r="I14" i="34"/>
  <c r="I8" i="5"/>
  <c r="I5" i="33" s="1"/>
  <c r="I14" i="33" s="1"/>
  <c r="I18" i="29" s="1"/>
  <c r="H15" i="6" s="1"/>
  <c r="L27" i="3"/>
  <c r="K27" i="3"/>
  <c r="J27" i="3"/>
  <c r="I13" i="6" l="1"/>
  <c r="I14" i="6"/>
  <c r="H20" i="5"/>
  <c r="H22" i="5" s="1"/>
  <c r="G4" i="6"/>
  <c r="I20" i="5"/>
  <c r="I22" i="5" s="1"/>
  <c r="H4" i="6"/>
  <c r="L11" i="41"/>
  <c r="L13" i="41" s="1"/>
  <c r="K13" i="41"/>
  <c r="K14" i="41" s="1"/>
  <c r="D7" i="6"/>
  <c r="D10" i="6" s="1"/>
  <c r="D26" i="6" s="1"/>
  <c r="D31" i="6" s="1"/>
  <c r="D34" i="6" s="1"/>
  <c r="C7" i="6"/>
  <c r="C10" i="6" s="1"/>
  <c r="C26" i="6" s="1"/>
  <c r="C31" i="6" s="1"/>
  <c r="C34" i="6" s="1"/>
  <c r="E5" i="6"/>
  <c r="E28" i="6" s="1"/>
  <c r="F29" i="5"/>
  <c r="G25" i="5"/>
  <c r="J5" i="34"/>
  <c r="J8" i="34" s="1"/>
  <c r="J14" i="5" s="1"/>
  <c r="I9" i="6" s="1"/>
  <c r="I12" i="34"/>
  <c r="I16" i="34" s="1"/>
  <c r="H10" i="29"/>
  <c r="G22" i="6" s="1"/>
  <c r="L6" i="41"/>
  <c r="L13" i="29" s="1"/>
  <c r="K13" i="29"/>
  <c r="J20" i="6" s="1"/>
  <c r="K11" i="29"/>
  <c r="J23" i="6" s="1"/>
  <c r="L4" i="41"/>
  <c r="K7" i="41"/>
  <c r="H21" i="29"/>
  <c r="H25" i="29" s="1"/>
  <c r="H12" i="33"/>
  <c r="H6" i="29"/>
  <c r="J11" i="5"/>
  <c r="J12" i="5" s="1"/>
  <c r="K4" i="42"/>
  <c r="K7" i="42" s="1"/>
  <c r="K4" i="33"/>
  <c r="K6" i="5"/>
  <c r="K11" i="5" s="1"/>
  <c r="K4" i="34"/>
  <c r="I10" i="33"/>
  <c r="I17" i="33"/>
  <c r="I19" i="29" s="1"/>
  <c r="H17" i="6" s="1"/>
  <c r="I15" i="33"/>
  <c r="I17" i="29" s="1"/>
  <c r="H18" i="6" s="1"/>
  <c r="I16" i="33"/>
  <c r="I20" i="29" s="1"/>
  <c r="H16" i="6" s="1"/>
  <c r="H18" i="33"/>
  <c r="L6" i="5"/>
  <c r="L9" i="5" s="1"/>
  <c r="N9" i="5" s="1"/>
  <c r="L4" i="34"/>
  <c r="L5" i="34" s="1"/>
  <c r="L8" i="34" s="1"/>
  <c r="L14" i="5" s="1"/>
  <c r="K9" i="6" s="1"/>
  <c r="L4" i="42"/>
  <c r="L7" i="42" s="1"/>
  <c r="L4" i="33"/>
  <c r="L9" i="33" s="1"/>
  <c r="C29" i="5"/>
  <c r="C32" i="5" s="1"/>
  <c r="J8" i="5"/>
  <c r="J5" i="33" s="1"/>
  <c r="J14" i="33" s="1"/>
  <c r="J18" i="29" s="1"/>
  <c r="I15" i="6" s="1"/>
  <c r="J13" i="34" l="1"/>
  <c r="I25" i="5"/>
  <c r="I23" i="5"/>
  <c r="H6" i="6" s="1"/>
  <c r="H5" i="6" s="1"/>
  <c r="H25" i="5"/>
  <c r="H28" i="42" s="1"/>
  <c r="H27" i="42" s="1"/>
  <c r="H9" i="42" s="1"/>
  <c r="H23" i="5"/>
  <c r="G6" i="6" s="1"/>
  <c r="G5" i="6" s="1"/>
  <c r="J16" i="5"/>
  <c r="G12" i="6"/>
  <c r="G19" i="6" s="1"/>
  <c r="L14" i="41"/>
  <c r="L23" i="29"/>
  <c r="K20" i="6"/>
  <c r="E7" i="6"/>
  <c r="E10" i="6" s="1"/>
  <c r="E26" i="6" s="1"/>
  <c r="E31" i="6" s="1"/>
  <c r="E34" i="6" s="1"/>
  <c r="J14" i="34"/>
  <c r="K5" i="34"/>
  <c r="K8" i="34" s="1"/>
  <c r="K14" i="5" s="1"/>
  <c r="J9" i="6" s="1"/>
  <c r="F32" i="5"/>
  <c r="G29" i="5"/>
  <c r="K8" i="41"/>
  <c r="J12" i="34"/>
  <c r="I10" i="29"/>
  <c r="H22" i="6" s="1"/>
  <c r="L7" i="41"/>
  <c r="L8" i="41" s="1"/>
  <c r="L11" i="29"/>
  <c r="I21" i="29"/>
  <c r="I25" i="29" s="1"/>
  <c r="K9" i="33"/>
  <c r="K5" i="29" s="1"/>
  <c r="J13" i="6" s="1"/>
  <c r="I12" i="33"/>
  <c r="I6" i="29"/>
  <c r="H21" i="33"/>
  <c r="H23" i="33" s="1"/>
  <c r="K11" i="33"/>
  <c r="K8" i="29" s="1"/>
  <c r="J14" i="6" s="1"/>
  <c r="L11" i="5"/>
  <c r="L12" i="5" s="1"/>
  <c r="N6" i="5"/>
  <c r="K9" i="5"/>
  <c r="K12" i="5" s="1"/>
  <c r="L5" i="29"/>
  <c r="L11" i="33"/>
  <c r="L8" i="29" s="1"/>
  <c r="I18" i="33"/>
  <c r="J15" i="33"/>
  <c r="J17" i="29" s="1"/>
  <c r="I18" i="6" s="1"/>
  <c r="J10" i="33"/>
  <c r="J16" i="33"/>
  <c r="J20" i="29" s="1"/>
  <c r="I16" i="6" s="1"/>
  <c r="J17" i="33"/>
  <c r="J19" i="29" s="1"/>
  <c r="I17" i="6" s="1"/>
  <c r="L13" i="34"/>
  <c r="L14" i="34"/>
  <c r="L8" i="5"/>
  <c r="L5" i="33" s="1"/>
  <c r="L14" i="33" s="1"/>
  <c r="L18" i="29" s="1"/>
  <c r="K14" i="34" l="1"/>
  <c r="H6" i="42"/>
  <c r="H29" i="5"/>
  <c r="H6" i="45" s="1"/>
  <c r="K13" i="6"/>
  <c r="K16" i="5"/>
  <c r="K20" i="5" s="1"/>
  <c r="K22" i="5" s="1"/>
  <c r="G28" i="6"/>
  <c r="G7" i="6"/>
  <c r="G10" i="6" s="1"/>
  <c r="G26" i="6" s="1"/>
  <c r="G18" i="11" s="1"/>
  <c r="H28" i="6"/>
  <c r="H7" i="6"/>
  <c r="H10" i="6" s="1"/>
  <c r="H12" i="6"/>
  <c r="H19" i="6" s="1"/>
  <c r="J20" i="5"/>
  <c r="J22" i="5" s="1"/>
  <c r="I4" i="6"/>
  <c r="I6" i="42"/>
  <c r="I28" i="42"/>
  <c r="I27" i="42" s="1"/>
  <c r="I9" i="42" s="1"/>
  <c r="I29" i="5"/>
  <c r="K14" i="6"/>
  <c r="K23" i="6"/>
  <c r="J16" i="34"/>
  <c r="J10" i="29" s="1"/>
  <c r="I22" i="6" s="1"/>
  <c r="K13" i="34"/>
  <c r="J21" i="29"/>
  <c r="J25" i="29" s="1"/>
  <c r="I21" i="33"/>
  <c r="I23" i="33" s="1"/>
  <c r="J12" i="33"/>
  <c r="J6" i="29"/>
  <c r="L16" i="5"/>
  <c r="K4" i="6" s="1"/>
  <c r="N12" i="5"/>
  <c r="K8" i="5"/>
  <c r="K5" i="33" s="1"/>
  <c r="L17" i="33"/>
  <c r="L19" i="29" s="1"/>
  <c r="L16" i="33"/>
  <c r="L20" i="29" s="1"/>
  <c r="L15" i="33"/>
  <c r="L17" i="29" s="1"/>
  <c r="L10" i="33"/>
  <c r="J18" i="33"/>
  <c r="K12" i="34" l="1"/>
  <c r="K16" i="34" s="1"/>
  <c r="J4" i="6"/>
  <c r="H6" i="46"/>
  <c r="H32" i="5"/>
  <c r="H20" i="42" s="1"/>
  <c r="H22" i="42" s="1"/>
  <c r="H24" i="42" s="1"/>
  <c r="H11" i="42" s="1"/>
  <c r="J25" i="5"/>
  <c r="J23" i="5"/>
  <c r="I6" i="6" s="1"/>
  <c r="I5" i="6" s="1"/>
  <c r="G20" i="11"/>
  <c r="K25" i="5"/>
  <c r="K23" i="5"/>
  <c r="J6" i="6" s="1"/>
  <c r="I12" i="6"/>
  <c r="I19" i="6" s="1"/>
  <c r="I6" i="45"/>
  <c r="I32" i="5"/>
  <c r="I20" i="42" s="1"/>
  <c r="I22" i="42" s="1"/>
  <c r="I24" i="42" s="1"/>
  <c r="I11" i="42" s="1"/>
  <c r="I6" i="46"/>
  <c r="H26" i="6"/>
  <c r="K15" i="33"/>
  <c r="K17" i="29" s="1"/>
  <c r="J18" i="6" s="1"/>
  <c r="K14" i="33"/>
  <c r="K18" i="29" s="1"/>
  <c r="L21" i="29"/>
  <c r="L25" i="29" s="1"/>
  <c r="J21" i="33"/>
  <c r="J23" i="33" s="1"/>
  <c r="L12" i="33"/>
  <c r="L6" i="29"/>
  <c r="K16" i="33"/>
  <c r="K20" i="29" s="1"/>
  <c r="J16" i="6" s="1"/>
  <c r="K17" i="33"/>
  <c r="K19" i="29" s="1"/>
  <c r="J17" i="6" s="1"/>
  <c r="K10" i="33"/>
  <c r="L20" i="5"/>
  <c r="N16" i="5"/>
  <c r="L18" i="33"/>
  <c r="K10" i="29" l="1"/>
  <c r="J22" i="6" s="1"/>
  <c r="L12" i="34"/>
  <c r="L16" i="34" s="1"/>
  <c r="L10" i="29" s="1"/>
  <c r="J5" i="6"/>
  <c r="J7" i="6" s="1"/>
  <c r="J10" i="6" s="1"/>
  <c r="K17" i="6"/>
  <c r="I28" i="6"/>
  <c r="I7" i="6"/>
  <c r="I10" i="6" s="1"/>
  <c r="I26" i="6" s="1"/>
  <c r="J15" i="6"/>
  <c r="K15" i="6"/>
  <c r="H12" i="42"/>
  <c r="H19" i="42" s="1"/>
  <c r="K16" i="6"/>
  <c r="J6" i="42"/>
  <c r="J28" i="42"/>
  <c r="J27" i="42" s="1"/>
  <c r="J9" i="42" s="1"/>
  <c r="J29" i="5"/>
  <c r="K18" i="6"/>
  <c r="H18" i="11"/>
  <c r="H20" i="11" s="1"/>
  <c r="K6" i="42"/>
  <c r="K28" i="42"/>
  <c r="K27" i="42" s="1"/>
  <c r="K9" i="42" s="1"/>
  <c r="K29" i="5"/>
  <c r="K21" i="29"/>
  <c r="K25" i="29" s="1"/>
  <c r="L21" i="33"/>
  <c r="K12" i="33"/>
  <c r="K6" i="29"/>
  <c r="K12" i="6" s="1"/>
  <c r="K18" i="33"/>
  <c r="L22" i="5"/>
  <c r="N20" i="5"/>
  <c r="K22" i="6" l="1"/>
  <c r="J28" i="6"/>
  <c r="K6" i="46"/>
  <c r="K32" i="5"/>
  <c r="K20" i="42" s="1"/>
  <c r="K22" i="42" s="1"/>
  <c r="K24" i="42" s="1"/>
  <c r="K11" i="42" s="1"/>
  <c r="K6" i="45"/>
  <c r="J6" i="45"/>
  <c r="J6" i="46"/>
  <c r="J32" i="5"/>
  <c r="J20" i="42" s="1"/>
  <c r="J22" i="42" s="1"/>
  <c r="J24" i="42" s="1"/>
  <c r="J11" i="42" s="1"/>
  <c r="L25" i="5"/>
  <c r="L23" i="5"/>
  <c r="K6" i="6" s="1"/>
  <c r="K5" i="6" s="1"/>
  <c r="K7" i="6" s="1"/>
  <c r="K10" i="6" s="1"/>
  <c r="I18" i="11"/>
  <c r="I20" i="11" s="1"/>
  <c r="K19" i="6"/>
  <c r="J12" i="6"/>
  <c r="J19" i="6" s="1"/>
  <c r="J26" i="6" s="1"/>
  <c r="I5" i="42"/>
  <c r="I12" i="42" s="1"/>
  <c r="H27" i="29"/>
  <c r="K21" i="33"/>
  <c r="L23" i="33" s="1"/>
  <c r="K28" i="6" l="1"/>
  <c r="L6" i="42"/>
  <c r="L28" i="42"/>
  <c r="L27" i="42" s="1"/>
  <c r="L9" i="42" s="1"/>
  <c r="J18" i="11"/>
  <c r="J20" i="11" s="1"/>
  <c r="L29" i="5"/>
  <c r="N29" i="5" s="1"/>
  <c r="G30" i="6"/>
  <c r="G31" i="6" s="1"/>
  <c r="G34" i="6" s="1"/>
  <c r="H29" i="29"/>
  <c r="N25" i="5"/>
  <c r="J5" i="42"/>
  <c r="J12" i="42" s="1"/>
  <c r="I27" i="29"/>
  <c r="I19" i="42"/>
  <c r="K26" i="6"/>
  <c r="K23" i="33"/>
  <c r="L32" i="5" l="1"/>
  <c r="L20" i="42" s="1"/>
  <c r="L22" i="42" s="1"/>
  <c r="L24" i="42" s="1"/>
  <c r="L11" i="42" s="1"/>
  <c r="K18" i="11"/>
  <c r="L6" i="46"/>
  <c r="H30" i="6"/>
  <c r="H31" i="6" s="1"/>
  <c r="I29" i="29"/>
  <c r="P4" i="29"/>
  <c r="H4" i="29" s="1"/>
  <c r="H9" i="29" s="1"/>
  <c r="H16" i="29" s="1"/>
  <c r="H30" i="29" s="1"/>
  <c r="H33" i="6"/>
  <c r="K5" i="42"/>
  <c r="K12" i="42" s="1"/>
  <c r="J27" i="29"/>
  <c r="L6" i="45"/>
  <c r="J19" i="42"/>
  <c r="H34" i="6" l="1"/>
  <c r="Q4" i="29" s="1"/>
  <c r="I4" i="29" s="1"/>
  <c r="I9" i="29" s="1"/>
  <c r="I16" i="29" s="1"/>
  <c r="I30" i="29" s="1"/>
  <c r="I30" i="6"/>
  <c r="I31" i="6" s="1"/>
  <c r="J29" i="29"/>
  <c r="L5" i="42"/>
  <c r="L12" i="42" s="1"/>
  <c r="L27" i="29" s="1"/>
  <c r="K27" i="29"/>
  <c r="K19" i="42"/>
  <c r="C25" i="11"/>
  <c r="K20" i="11"/>
  <c r="C24" i="11" s="1"/>
  <c r="L19" i="42" l="1"/>
  <c r="C26" i="11"/>
  <c r="C8" i="11" s="1"/>
  <c r="C7" i="11"/>
  <c r="J30" i="6"/>
  <c r="J31" i="6" s="1"/>
  <c r="K29" i="29"/>
  <c r="K30" i="6"/>
  <c r="K31" i="6" s="1"/>
  <c r="L29" i="29"/>
  <c r="I33" i="6"/>
  <c r="I34" i="6" s="1"/>
  <c r="R4" i="29" s="1"/>
  <c r="J4" i="29" s="1"/>
  <c r="J9" i="29" s="1"/>
  <c r="J16" i="29" s="1"/>
  <c r="J30" i="29" s="1"/>
  <c r="C27" i="11" l="1"/>
  <c r="C10" i="11" s="1"/>
  <c r="J33" i="6"/>
  <c r="J34" i="6" s="1"/>
  <c r="S4" i="29" s="1"/>
  <c r="K4" i="29" s="1"/>
  <c r="K9" i="29" s="1"/>
  <c r="K16" i="29" s="1"/>
  <c r="K30" i="29" s="1"/>
  <c r="C31" i="11" l="1"/>
  <c r="C33" i="11" s="1"/>
  <c r="K33" i="6"/>
  <c r="K34" i="6" s="1"/>
  <c r="T4" i="29" s="1"/>
  <c r="L4" i="29" s="1"/>
  <c r="L9" i="29" s="1"/>
  <c r="L16" i="29" s="1"/>
  <c r="L30" i="29" s="1"/>
  <c r="C13" i="11" l="1"/>
</calcChain>
</file>

<file path=xl/sharedStrings.xml><?xml version="1.0" encoding="utf-8"?>
<sst xmlns="http://schemas.openxmlformats.org/spreadsheetml/2006/main" count="2224" uniqueCount="531">
  <si>
    <t>BS source</t>
  </si>
  <si>
    <t>P&amp;L source</t>
  </si>
  <si>
    <t>DCF Valuation</t>
  </si>
  <si>
    <t>P&amp;L</t>
  </si>
  <si>
    <t>Revenue</t>
  </si>
  <si>
    <t>EBITDA</t>
  </si>
  <si>
    <t>D&amp;A</t>
  </si>
  <si>
    <t>EBIT</t>
  </si>
  <si>
    <t>EBT</t>
  </si>
  <si>
    <t>Taxes</t>
  </si>
  <si>
    <t>Net Income</t>
  </si>
  <si>
    <t>Other assets</t>
  </si>
  <si>
    <t>Inventory</t>
  </si>
  <si>
    <t>Cash and equivalents</t>
  </si>
  <si>
    <t>Total Assets</t>
  </si>
  <si>
    <t>Retained earnings</t>
  </si>
  <si>
    <t>Total Equity</t>
  </si>
  <si>
    <t>Total Liabilities</t>
  </si>
  <si>
    <t>Total Liabilities &amp; Equity</t>
  </si>
  <si>
    <t>$ in thousands</t>
  </si>
  <si>
    <t>USD in thousands</t>
  </si>
  <si>
    <t>Note</t>
  </si>
  <si>
    <t>Balance Sheet</t>
  </si>
  <si>
    <t>2.Output --&gt;</t>
  </si>
  <si>
    <t>.</t>
  </si>
  <si>
    <t>Revenues</t>
  </si>
  <si>
    <t>Cost of goods sold</t>
  </si>
  <si>
    <t>Operating expenses</t>
  </si>
  <si>
    <t>Total Revenues</t>
  </si>
  <si>
    <t xml:space="preserve"> </t>
  </si>
  <si>
    <t>Shareholders' equity</t>
  </si>
  <si>
    <t>Total Liabilities &amp; Equities</t>
  </si>
  <si>
    <t>% of revenues</t>
  </si>
  <si>
    <t>Trade payables</t>
  </si>
  <si>
    <t>(Trade receivables/Revenues)*360</t>
  </si>
  <si>
    <t>(Trade payables/COGS)*360</t>
  </si>
  <si>
    <t>-Taxes</t>
  </si>
  <si>
    <t>-Tax rate</t>
  </si>
  <si>
    <t>NOPAT (Net Operating Profit After Tax)</t>
  </si>
  <si>
    <t>+D&amp;A</t>
  </si>
  <si>
    <t>Gross Cash Flow</t>
  </si>
  <si>
    <t>Changes in working capital</t>
  </si>
  <si>
    <t>Investments in other assets/liabilities</t>
  </si>
  <si>
    <t>CAPEX</t>
  </si>
  <si>
    <t>UFCF</t>
  </si>
  <si>
    <t>Optimistic</t>
  </si>
  <si>
    <t>Base</t>
  </si>
  <si>
    <t>Adverse</t>
  </si>
  <si>
    <t>Case 1</t>
  </si>
  <si>
    <t>Case 2</t>
  </si>
  <si>
    <t>Case 3</t>
  </si>
  <si>
    <t>Jul. 02, 2024</t>
  </si>
  <si>
    <t> </t>
  </si>
  <si>
    <t>Costs and expenses:</t>
  </si>
  <si>
    <t>Food and beverage costs</t>
  </si>
  <si>
    <t>Labor expenses</t>
  </si>
  <si>
    <t>Other operating costs and expenses</t>
  </si>
  <si>
    <t>General and administrative expenses</t>
  </si>
  <si>
    <t>Depreciation and amortization expenses</t>
  </si>
  <si>
    <t>Acquisition-related contingent consideration, compensation and amortization expenses</t>
  </si>
  <si>
    <t>Preopening costs</t>
  </si>
  <si>
    <t>Total costs and expenses</t>
  </si>
  <si>
    <t>Income from operations</t>
  </si>
  <si>
    <t>Interest and other expense, net</t>
  </si>
  <si>
    <t>Income before income taxes</t>
  </si>
  <si>
    <t>Income tax provision</t>
  </si>
  <si>
    <t>Net income</t>
  </si>
  <si>
    <t>Basic</t>
  </si>
  <si>
    <t>Diluted</t>
  </si>
  <si>
    <t>Dec. 28, 2021</t>
  </si>
  <si>
    <t>Jan. 03, 2023</t>
  </si>
  <si>
    <t>Jan. 02, 2024</t>
  </si>
  <si>
    <t>Weighted-average common shares outstanding:</t>
  </si>
  <si>
    <t>Net income per common share:</t>
  </si>
  <si>
    <t>Net income available to common stockholders</t>
  </si>
  <si>
    <t>Undistributed earnings allocated to Series A preferred stock</t>
  </si>
  <si>
    <t>Dividends on Series A preferred stock</t>
  </si>
  <si>
    <t>Impairment of assets and lease termination expenses</t>
  </si>
  <si>
    <t>CONSOLIDATED STATEMENTS OF INCOME</t>
  </si>
  <si>
    <t>CONSOLIDATED STATEMENTS OF INCOME - USD ($) shares in Thousands, $ in Thousands</t>
  </si>
  <si>
    <t>Total Revenue</t>
  </si>
  <si>
    <t>2023
Act</t>
  </si>
  <si>
    <t>2022
Act</t>
  </si>
  <si>
    <t>2021
Act</t>
  </si>
  <si>
    <t>Total expenses</t>
  </si>
  <si>
    <t>2024
Act</t>
  </si>
  <si>
    <t>*tax credit</t>
  </si>
  <si>
    <t>6-month</t>
  </si>
  <si>
    <t>Depreciation</t>
  </si>
  <si>
    <t>Amortization</t>
  </si>
  <si>
    <t>Diluted weight average shares</t>
  </si>
  <si>
    <t>EPS</t>
  </si>
  <si>
    <t>2021
Actual</t>
  </si>
  <si>
    <t>2022
Actual</t>
  </si>
  <si>
    <t>2023
Actual</t>
  </si>
  <si>
    <t>2024
Actual</t>
  </si>
  <si>
    <t>*6-month</t>
  </si>
  <si>
    <t>FY25
Forecast</t>
  </si>
  <si>
    <t>FY26
Forecast</t>
  </si>
  <si>
    <t>FY27
Forecast</t>
  </si>
  <si>
    <t>FY28
Forecast</t>
  </si>
  <si>
    <t>FY29
Forecast</t>
  </si>
  <si>
    <t>Net Income to common stockholders</t>
  </si>
  <si>
    <t>Ratios &amp; assumptions</t>
  </si>
  <si>
    <t>Gross margin</t>
  </si>
  <si>
    <t>EBIT margin</t>
  </si>
  <si>
    <t>Effective tax rate</t>
  </si>
  <si>
    <t>(-) tax represents credit</t>
  </si>
  <si>
    <t>5-Year CAGR</t>
  </si>
  <si>
    <t>Diluted weighted average common shares outstanding</t>
  </si>
  <si>
    <t>Selected case</t>
  </si>
  <si>
    <t>Gross profit</t>
  </si>
  <si>
    <t>Current assets:</t>
  </si>
  <si>
    <t>Cash and cash equivalents</t>
  </si>
  <si>
    <t>Accounts and other receivables</t>
  </si>
  <si>
    <t>Income taxes receivable</t>
  </si>
  <si>
    <t>Inventories</t>
  </si>
  <si>
    <t>Prepaid expenses</t>
  </si>
  <si>
    <t>Total current assets</t>
  </si>
  <si>
    <t>Property and equipment, net</t>
  </si>
  <si>
    <t>Other assets:</t>
  </si>
  <si>
    <t>Intangible assets, net</t>
  </si>
  <si>
    <t>Operating lease assets</t>
  </si>
  <si>
    <t>Other</t>
  </si>
  <si>
    <t>Total other assets</t>
  </si>
  <si>
    <t>Total assets</t>
  </si>
  <si>
    <t>Current liabilities:</t>
  </si>
  <si>
    <t>Accounts payable</t>
  </si>
  <si>
    <t>Gift card liabilities</t>
  </si>
  <si>
    <t>Operating lease liabilities</t>
  </si>
  <si>
    <t>Other accrued expenses</t>
  </si>
  <si>
    <t>Total current liabilities</t>
  </si>
  <si>
    <t>Long-term debt</t>
  </si>
  <si>
    <t>Other noncurrent liabilities</t>
  </si>
  <si>
    <t>Total liabilities</t>
  </si>
  <si>
    <t>Stockholders' equity:</t>
  </si>
  <si>
    <t>Additional paid-in capital</t>
  </si>
  <si>
    <t>Accumulated other comprehensive loss</t>
  </si>
  <si>
    <t>Total stockholders' equity</t>
  </si>
  <si>
    <t>CONSOLIDATED BALANCE SHEETS - USD ($) $ in Thousands</t>
  </si>
  <si>
    <t>Commitments and contingencies (Note 13)</t>
  </si>
  <si>
    <t>Preferred stock, $.01 par value, 5,000,000 shares authorized; none issued and outstanding</t>
  </si>
  <si>
    <t>Common stock, $.01 par value, 250,000,000 shares authorized; 107,195,287 shares issued and 50,652,129 shares outstanding at January 2, 2024 and 106,323,117 shares issued and 51,173,597 shares outstanding at January 3, 2023</t>
  </si>
  <si>
    <t>Treasury stock inclusive of excise tax, 56,543,158 and 55,149,520 shares at cost at January 2, 2024 and January 3, 2023, respectively</t>
  </si>
  <si>
    <t>Total liabilities, Series A convertible preferred stock and stockholders' equity</t>
  </si>
  <si>
    <t>Accounts receivable</t>
  </si>
  <si>
    <t>Other current assets</t>
  </si>
  <si>
    <t>PP&amp;E, net</t>
  </si>
  <si>
    <t>Other long-term assets</t>
  </si>
  <si>
    <t>Other long-term liabilities</t>
  </si>
  <si>
    <t>Check</t>
  </si>
  <si>
    <t>Working Capital</t>
  </si>
  <si>
    <t>Cost of sales</t>
  </si>
  <si>
    <t>Working capital balances</t>
  </si>
  <si>
    <t>Accounts receivable, net</t>
  </si>
  <si>
    <t>excludes depreciation</t>
  </si>
  <si>
    <t>Accrued liabilities</t>
  </si>
  <si>
    <t>Total non-cash current assets</t>
  </si>
  <si>
    <t>Total non-debt current liabilities</t>
  </si>
  <si>
    <t>Net Working Capital / (Deficit)</t>
  </si>
  <si>
    <t>(Increase) / decrease in working capital</t>
  </si>
  <si>
    <t>Number of days in period</t>
  </si>
  <si>
    <t>Other current assets (as % of sales)</t>
  </si>
  <si>
    <t>Inventories (days outstanding)</t>
  </si>
  <si>
    <t>Accounts receivable, net (collection period in days)</t>
  </si>
  <si>
    <t>Accounts payable (days outstanding)</t>
  </si>
  <si>
    <t>Accrued liabilities (as % of COGS)</t>
  </si>
  <si>
    <t>(Other current assets/Revenues)</t>
  </si>
  <si>
    <t>(Accrued liabilities/COGS)</t>
  </si>
  <si>
    <t>(Inventories/COGS)*360</t>
  </si>
  <si>
    <t>(Operating lease liabilities/COGS)</t>
  </si>
  <si>
    <t>Capital expenditures as % of sales</t>
  </si>
  <si>
    <t>Capital expenditures</t>
  </si>
  <si>
    <t>Depreciation expense</t>
  </si>
  <si>
    <t>Depreciation as % of capex</t>
  </si>
  <si>
    <t>Depreciation as % of PP&amp;E, net</t>
  </si>
  <si>
    <t>Beginning PP&amp;E, net</t>
  </si>
  <si>
    <t>Ending PP&amp;E, net</t>
  </si>
  <si>
    <t>CONSOLIDATED STATEMENTS OF CASH FLOWS - USD ($) $ in Thousands</t>
  </si>
  <si>
    <t>Cash flows from operating activities:</t>
  </si>
  <si>
    <t>Adjustments to reconcile net income to cash provided by operating activities:</t>
  </si>
  <si>
    <t>Deferred income taxes</t>
  </si>
  <si>
    <t>Stock-based compensation</t>
  </si>
  <si>
    <t>Changes in assets and liabilities:</t>
  </si>
  <si>
    <t>Income taxes receivable/payable</t>
  </si>
  <si>
    <t>Operating lease assets/liabilities</t>
  </si>
  <si>
    <t>Cash provided by operating activities</t>
  </si>
  <si>
    <t>Cash flows from investing activities:</t>
  </si>
  <si>
    <t>Additions to property and equipment</t>
  </si>
  <si>
    <t>Additions to intangible assets</t>
  </si>
  <si>
    <t>Cash used in investing activities</t>
  </si>
  <si>
    <t>Cash flows from financing activities:</t>
  </si>
  <si>
    <t>Acquisition-related deferred consideration and compensation</t>
  </si>
  <si>
    <t>Borrowings on credit facility</t>
  </si>
  <si>
    <t>Repayments on credit facility</t>
  </si>
  <si>
    <t>Convertible debt issuance</t>
  </si>
  <si>
    <t>Convertible debt direct and incremental costs</t>
  </si>
  <si>
    <t>Series A preferred stock cash-settled conversion</t>
  </si>
  <si>
    <t>Series A preferred stock conversion direct and incremental costs</t>
  </si>
  <si>
    <t>Series A preferred stock dividend paid</t>
  </si>
  <si>
    <t>Common stock issuance</t>
  </si>
  <si>
    <t>Common stock issuance direct and incremental costs</t>
  </si>
  <si>
    <t>Proceeds from exercise of stock options</t>
  </si>
  <si>
    <t>Common stock dividends paid</t>
  </si>
  <si>
    <t>Treasury stock purchases</t>
  </si>
  <si>
    <t>Cash used in financing activities</t>
  </si>
  <si>
    <t>Foreign currency translation adjustment</t>
  </si>
  <si>
    <t>Net change in cash and cash equivalents</t>
  </si>
  <si>
    <t>Cash and cash equivalents at beginning of period</t>
  </si>
  <si>
    <t>Cash and cash equivalents at end of period</t>
  </si>
  <si>
    <t>Supplemental disclosures:</t>
  </si>
  <si>
    <t>Interest paid</t>
  </si>
  <si>
    <t>Income taxes paid</t>
  </si>
  <si>
    <t>Construction payable</t>
  </si>
  <si>
    <t>CONDENSED CONSOLIDATED STATEMENTS OF CASH FLOWS - USD ($) $ in Thousands</t>
  </si>
  <si>
    <t>6 Months Ended</t>
  </si>
  <si>
    <t>Jul. 04, 2023</t>
  </si>
  <si>
    <t>Impairment of assets and lease termination (income)/expense</t>
  </si>
  <si>
    <t>Payment of deferred consideration and compensation in excess of acquisition-date fair value</t>
  </si>
  <si>
    <t>average</t>
  </si>
  <si>
    <t>step function</t>
  </si>
  <si>
    <t>(Depreciation expense)</t>
  </si>
  <si>
    <t>(Asset sales and write-offs)</t>
  </si>
  <si>
    <t>inverse sign</t>
  </si>
  <si>
    <t>Assets $ in thousands</t>
  </si>
  <si>
    <t>Liabilities $ in thousands</t>
  </si>
  <si>
    <t>Indefinite life intangibles</t>
  </si>
  <si>
    <t xml:space="preserve">Other long-term assets </t>
  </si>
  <si>
    <t>Total Other long-term assets</t>
  </si>
  <si>
    <t>(Increase)/Decrease in other assets</t>
  </si>
  <si>
    <t>Total Other long-term liabilities</t>
  </si>
  <si>
    <t>Growth rate - Indefinite life intangibles</t>
  </si>
  <si>
    <t>Growth rate - Other long-term assets</t>
  </si>
  <si>
    <t>Growth rate - Other long-term liabilities</t>
  </si>
  <si>
    <t>Growth rate - Operating lease liabilities</t>
  </si>
  <si>
    <t>Increase/(Decrease) in long-term liabilities</t>
  </si>
  <si>
    <t>Change in other long-term assets and liabilities</t>
  </si>
  <si>
    <t>Equity Schedule</t>
  </si>
  <si>
    <t>Beginning equity balance</t>
  </si>
  <si>
    <t>Ending equity balance</t>
  </si>
  <si>
    <t>Repurchase of equity</t>
  </si>
  <si>
    <t>Dividends</t>
  </si>
  <si>
    <t>Share repurchase assumptions</t>
  </si>
  <si>
    <t>Current year EPS</t>
  </si>
  <si>
    <t>Assumed current year P/E multiple</t>
  </si>
  <si>
    <t>Projected share price</t>
  </si>
  <si>
    <t xml:space="preserve">Shares repurchased - </t>
  </si>
  <si>
    <t>$ amount repurchased</t>
  </si>
  <si>
    <t>Dividend payout ratio</t>
  </si>
  <si>
    <t>Dividend assumptions</t>
  </si>
  <si>
    <t>CONSOLIDATED STATEMENTS OF STOCKHOLDERS' EQUITY AND SERIES A CONVERTIBLE PREFERRED STOCK - USD ($) shares in Thousands, $ in Thousands</t>
  </si>
  <si>
    <t>Preferred stock Cumulative Effect, Period of Adoption, Adjustment [Member] Convertible Preferred Stock [Member]</t>
  </si>
  <si>
    <t>Preferred stock Cumulative effect of adopting ASU 2020-06, adjusted balance Convertible Preferred Stock [Member]</t>
  </si>
  <si>
    <t>Preferred stock Convertible Preferred Stock [Member]</t>
  </si>
  <si>
    <t>Common Stock Cumulative effect of adopting ASU 2020-06, adjusted balance</t>
  </si>
  <si>
    <t>Common Stock</t>
  </si>
  <si>
    <t>Additional Paid-in Capital Cumulative effect of adopting ASU 2020-06, adjusted balance</t>
  </si>
  <si>
    <t>Additional Paid-in Capital</t>
  </si>
  <si>
    <t>Retained Earnings Cumulative Effect, Period of Adoption, Adjustment [Member]</t>
  </si>
  <si>
    <t>Retained Earnings Cumulative effect of adopting ASU 2020-06, adjusted balance</t>
  </si>
  <si>
    <t>Retained Earnings</t>
  </si>
  <si>
    <t>Treasury Stock Cumulative effect of adopting ASU 2020-06, adjusted balance</t>
  </si>
  <si>
    <t>Treasury Stock</t>
  </si>
  <si>
    <t>Accumulated Other Comprehensive Loss Cumulative effect of adopting ASU 2020-06, adjusted balance</t>
  </si>
  <si>
    <t>Accumulated Other Comprehensive Loss</t>
  </si>
  <si>
    <t>Cumulative Effect, Period of Adoption, Adjustment [Member]</t>
  </si>
  <si>
    <t>Cumulative effect of adopting ASU 2020-06, adjusted balance</t>
  </si>
  <si>
    <t>Total</t>
  </si>
  <si>
    <t>Beginning balance at Dec. 29, 2020</t>
  </si>
  <si>
    <t>Beginning balance (in shares) at Dec. 29, 2020</t>
  </si>
  <si>
    <t>Increase (Decrease) in Stockholders' Equity</t>
  </si>
  <si>
    <t>Change in derivative, net of tax</t>
  </si>
  <si>
    <t>Cash dividends declared common stock, net of forfeitures, $1.08 per share</t>
  </si>
  <si>
    <t>Stock-based compensation (in shares)</t>
  </si>
  <si>
    <t>Common stock issued under stock-based compensation plans</t>
  </si>
  <si>
    <t>Common stock issued under stock-based compensation plans (in shares)</t>
  </si>
  <si>
    <t>Common stock issuance (in shares)</t>
  </si>
  <si>
    <t>Series A preferred stock cash-settled conversion (in shares)</t>
  </si>
  <si>
    <t>Series A preferred stock conversion to common stock</t>
  </si>
  <si>
    <t>Series A preferred stock conversion to common stock (in shares)</t>
  </si>
  <si>
    <t>Deemed dividends on Series A preferred stock</t>
  </si>
  <si>
    <t>Cash dividends declared Series A preferred stock, $25.35 per share</t>
  </si>
  <si>
    <t>Ending balance at Dec. 28, 2021</t>
  </si>
  <si>
    <t>Ending balance (in shares) at Dec. 28, 2021</t>
  </si>
  <si>
    <t>Ending balance at Jan. 03, 2023</t>
  </si>
  <si>
    <t>Ending balance (in shares) at Jan. 03, 2023</t>
  </si>
  <si>
    <t>Ending balance at Jan. 02, 2024</t>
  </si>
  <si>
    <t>Ending balance (in shares) at Jan. 02, 2024</t>
  </si>
  <si>
    <t>Foreign currency adjustment</t>
  </si>
  <si>
    <t>Common stock issues</t>
  </si>
  <si>
    <t>Beginning balance at Jan. 02, 2024</t>
  </si>
  <si>
    <t>Beginning balance (in shares) at Jan. 02, 2024</t>
  </si>
  <si>
    <t>Cash dividends declared common stock, net of forfeitures, $0.27 per share</t>
  </si>
  <si>
    <t>Treasury stock purchases, inclusive of excise tax</t>
  </si>
  <si>
    <t>Ending balance at Apr. 02, 2024</t>
  </si>
  <si>
    <t>Ending balance (in shares) at Apr. 02, 2024</t>
  </si>
  <si>
    <t>Treasury stock purchases, inclusive of excise tax (in shares)</t>
  </si>
  <si>
    <t>Ending balance at Jul. 02, 2024</t>
  </si>
  <si>
    <t>Ending balance (in shares) at Jul. 02, 2024</t>
  </si>
  <si>
    <t>Beginning balance at Apr. 02, 2024</t>
  </si>
  <si>
    <t>Beginning balance (in shares) at Apr. 02, 2024</t>
  </si>
  <si>
    <t>CUMULATIVE 6-month</t>
  </si>
  <si>
    <t>Shares issued</t>
  </si>
  <si>
    <t>Shares repurchased</t>
  </si>
  <si>
    <t>Average basic shares</t>
  </si>
  <si>
    <t>Effects of dilutive securities</t>
  </si>
  <si>
    <t>Average diluted shares</t>
  </si>
  <si>
    <t>Beginning basic balance (actual)</t>
  </si>
  <si>
    <t>Ending balance basic (actual)</t>
  </si>
  <si>
    <t>Shares Schedule</t>
  </si>
  <si>
    <t>Cash Flow Output</t>
  </si>
  <si>
    <t>Operating activities</t>
  </si>
  <si>
    <t>Financing activities</t>
  </si>
  <si>
    <t>Investing activities</t>
  </si>
  <si>
    <t>(Increase)/ Decrease in working capital</t>
  </si>
  <si>
    <t>Cash Flow from operating activities</t>
  </si>
  <si>
    <t>Capex</t>
  </si>
  <si>
    <t>Additions to definite life intangibles</t>
  </si>
  <si>
    <t>Cash Flow from investing activities</t>
  </si>
  <si>
    <t>Issuance / (repayment) of revolver</t>
  </si>
  <si>
    <t>Issuance of long-term debt</t>
  </si>
  <si>
    <t>(Repayment) of long-term debt</t>
  </si>
  <si>
    <t>Options proceeds</t>
  </si>
  <si>
    <t>Cash Flow from financing activities</t>
  </si>
  <si>
    <t>Cash Flow available for financing activities</t>
  </si>
  <si>
    <t>Ending cash balance</t>
  </si>
  <si>
    <t>Beginning cash balance</t>
  </si>
  <si>
    <t>Debt and Interest</t>
  </si>
  <si>
    <t>Cash flow available for financing activities</t>
  </si>
  <si>
    <t>Plus: beginning cash</t>
  </si>
  <si>
    <t>Less: minimum cash</t>
  </si>
  <si>
    <t>Cash available for debt repayment</t>
  </si>
  <si>
    <t>Long-term debt issuance</t>
  </si>
  <si>
    <t>Long-term debt (repayment)</t>
  </si>
  <si>
    <t>Excess cash available for revolver</t>
  </si>
  <si>
    <t>Revolver</t>
  </si>
  <si>
    <t>Begininning balance</t>
  </si>
  <si>
    <t>Ending balance</t>
  </si>
  <si>
    <t>Issuance</t>
  </si>
  <si>
    <t>Repayment</t>
  </si>
  <si>
    <t>Average balances</t>
  </si>
  <si>
    <t>Interest rate</t>
  </si>
  <si>
    <t>Interest expense</t>
  </si>
  <si>
    <t>Total interest expense</t>
  </si>
  <si>
    <t>Cash</t>
  </si>
  <si>
    <t>Stock-based compensation expense</t>
  </si>
  <si>
    <t>Stock based compensation expense ratio (revenue)</t>
  </si>
  <si>
    <t>SBC/Revenue</t>
  </si>
  <si>
    <t>Drivers</t>
  </si>
  <si>
    <t>Company</t>
  </si>
  <si>
    <t>Currency</t>
  </si>
  <si>
    <t>Domestic country</t>
  </si>
  <si>
    <t>10-YR</t>
  </si>
  <si>
    <t>Market risk premium</t>
  </si>
  <si>
    <t>Company beta</t>
  </si>
  <si>
    <t>Share price</t>
  </si>
  <si>
    <t>Bond yield</t>
  </si>
  <si>
    <t>Corporate tax rate</t>
  </si>
  <si>
    <t>Expected inflation</t>
  </si>
  <si>
    <t>Cheesecake Factory</t>
  </si>
  <si>
    <t>USD</t>
  </si>
  <si>
    <t>United States</t>
  </si>
  <si>
    <t>Net change in cash</t>
  </si>
  <si>
    <t>4.Valuation --&gt;</t>
  </si>
  <si>
    <t>https://finance.yahoo.com/quote/CAKE/</t>
  </si>
  <si>
    <t>https://www.finra.org/finra-data/fixed-income/bond?symbol=CAKE5201192&amp;bondType=CORP</t>
  </si>
  <si>
    <t>https://www.clevelandfed.org/indicators-and-data/inflation-expectations</t>
  </si>
  <si>
    <t>YOY growth %</t>
  </si>
  <si>
    <t>historical average</t>
  </si>
  <si>
    <t>YOY growth%</t>
  </si>
  <si>
    <t>Revenue growth rate - YOY growth %</t>
  </si>
  <si>
    <t>Interest and other expense, net - YOY growth %</t>
  </si>
  <si>
    <t>% of EBT</t>
  </si>
  <si>
    <t>Flat: assumes no debt will be incurred</t>
  </si>
  <si>
    <t>1.Sources --&gt;</t>
  </si>
  <si>
    <t>*six-month</t>
  </si>
  <si>
    <t>Total long-term assets</t>
  </si>
  <si>
    <t>Total long-term liabilities</t>
  </si>
  <si>
    <t>Preferred Stock</t>
  </si>
  <si>
    <t>Common stock</t>
  </si>
  <si>
    <t xml:space="preserve">Treasury </t>
  </si>
  <si>
    <t>Acccumulated other comprehensive loss</t>
  </si>
  <si>
    <t>lease portion that is expensed</t>
  </si>
  <si>
    <t>WC sheet</t>
  </si>
  <si>
    <t>Depreciation sheet</t>
  </si>
  <si>
    <t>(Days*Revenues)/360</t>
  </si>
  <si>
    <t>(Days*COGS)/360</t>
  </si>
  <si>
    <t>(Revenues*%)</t>
  </si>
  <si>
    <t>(COGS*%)</t>
  </si>
  <si>
    <t>WC Sheet</t>
  </si>
  <si>
    <t>0.Preliminary --&gt;</t>
  </si>
  <si>
    <t>increase given by parenthesis</t>
  </si>
  <si>
    <t>decrease given by parenthesis</t>
  </si>
  <si>
    <t>(Gift card liabilities/COGS)</t>
  </si>
  <si>
    <t>Depreciation &amp; amortization</t>
  </si>
  <si>
    <t>Payment of deferred consideration</t>
  </si>
  <si>
    <t>Impairment of assets/lease termination (income)/expense</t>
  </si>
  <si>
    <t>Cash flow from operating activities</t>
  </si>
  <si>
    <t>Cash flow from investing activities</t>
  </si>
  <si>
    <t>Reference</t>
  </si>
  <si>
    <t>CF source</t>
  </si>
  <si>
    <t>2.1.Schedules --&gt;</t>
  </si>
  <si>
    <t>Flat</t>
  </si>
  <si>
    <t>Equity sheet</t>
  </si>
  <si>
    <t>GC liabilities</t>
  </si>
  <si>
    <t>Other investments</t>
  </si>
  <si>
    <t>Other extraordinary income</t>
  </si>
  <si>
    <t>Interest expenses</t>
  </si>
  <si>
    <t>Delta Taxes vs. Operating taxes</t>
  </si>
  <si>
    <t>Delta Equity</t>
  </si>
  <si>
    <t>Net Cash Flow</t>
  </si>
  <si>
    <t>Tax rate</t>
  </si>
  <si>
    <t>Equity 2024 - equity 2023 - Net income 2024</t>
  </si>
  <si>
    <t>Opening Cash</t>
  </si>
  <si>
    <t>Closing Cash</t>
  </si>
  <si>
    <t>Delta Long-term debt liabilities</t>
  </si>
  <si>
    <t>Accounts receivables</t>
  </si>
  <si>
    <t>accounts payable</t>
  </si>
  <si>
    <t>operating lease liabilities - current</t>
  </si>
  <si>
    <t>other accrued expenses</t>
  </si>
  <si>
    <t>gift card liabilities</t>
  </si>
  <si>
    <t>includes income tax receivables and prepaid expenses</t>
  </si>
  <si>
    <t>accounts receivable</t>
  </si>
  <si>
    <t>inventory</t>
  </si>
  <si>
    <t>add back depreciation</t>
  </si>
  <si>
    <t>PP&amp;E plus depreciation</t>
  </si>
  <si>
    <t>includes Other long-term assets, Other long-term liabilities</t>
  </si>
  <si>
    <t>includes Intangible assets, net, Operating lease assets, and Operating lease liabilities</t>
  </si>
  <si>
    <t>1)</t>
  </si>
  <si>
    <t>5)</t>
  </si>
  <si>
    <t>4)</t>
  </si>
  <si>
    <t>2)</t>
  </si>
  <si>
    <t>3)</t>
  </si>
  <si>
    <t>Sum of 1) + 2) + 3) + 4) + 5)</t>
  </si>
  <si>
    <t>Opening cash + Net cash Flow</t>
  </si>
  <si>
    <t>BS Cash and Cash Equivalents item</t>
  </si>
  <si>
    <t>WACC</t>
  </si>
  <si>
    <t>Terminal value</t>
  </si>
  <si>
    <t>Present value of terminal value</t>
  </si>
  <si>
    <t>Enterprise value</t>
  </si>
  <si>
    <t>Less debt, pref. stock, minority interest</t>
  </si>
  <si>
    <t>Plus: cash equivalents</t>
  </si>
  <si>
    <t>Equity value</t>
  </si>
  <si>
    <t>Growth rate (g)</t>
  </si>
  <si>
    <t>Risk free rate</t>
  </si>
  <si>
    <t>Equity (k)</t>
  </si>
  <si>
    <t>Debt (d)</t>
  </si>
  <si>
    <t>Discount factor</t>
  </si>
  <si>
    <t>Present value UFCF</t>
  </si>
  <si>
    <t>Present value of UFCF</t>
  </si>
  <si>
    <t>Discounted Valuation</t>
  </si>
  <si>
    <t>-Financial liabilities</t>
  </si>
  <si>
    <t>+Cash and equivalents</t>
  </si>
  <si>
    <t>+Non-operating assets</t>
  </si>
  <si>
    <t>Equity value per share</t>
  </si>
  <si>
    <t>Diluted shares</t>
  </si>
  <si>
    <t>Unlevered Cash Flow</t>
  </si>
  <si>
    <t>CONDENSED CONSOLIDATED STATEMENTS OF STOCKHOLDERS' EQUITY - USD ($)</t>
  </si>
  <si>
    <t>shares in Thousands, $ in Thousands</t>
  </si>
  <si>
    <t>Accumulated Other Comprehensive Loss/(Income)</t>
  </si>
  <si>
    <t>Beginning balance at Jan. 03, 2023</t>
  </si>
  <si>
    <t>Beginning balance (in shares) at Jan. 03, 2023</t>
  </si>
  <si>
    <t>Ending balance at Apr. 04, 2023</t>
  </si>
  <si>
    <t>Ending balance (in shares) at Apr. 04, 2023</t>
  </si>
  <si>
    <t>Ending balance at Oct. 03, 2023</t>
  </si>
  <si>
    <t>Ending balance (in shares) at Oct. 03, 2023</t>
  </si>
  <si>
    <t>Beginning balance at Apr. 04, 2023</t>
  </si>
  <si>
    <t>Beginning balance (in shares) at Apr. 04, 2023</t>
  </si>
  <si>
    <t>Ending balance at Jul. 04, 2023</t>
  </si>
  <si>
    <t>Ending balance (in shares) at Jul. 04, 2023</t>
  </si>
  <si>
    <t>Ending balance at Oct. 01, 2024</t>
  </si>
  <si>
    <t>Ending balance (in shares) at Oct. 01, 2024</t>
  </si>
  <si>
    <t>CONDENSED CONSOLIDATED STATEMENTS OF STOCKHOLDERS' EQUITY (Parenthetical) - $ / shares</t>
  </si>
  <si>
    <t>3 Months Ended</t>
  </si>
  <si>
    <t>Oct. 01, 2024</t>
  </si>
  <si>
    <t>Apr. 02, 2024</t>
  </si>
  <si>
    <t>Oct. 03, 2023</t>
  </si>
  <si>
    <t>Apr. 04, 2023</t>
  </si>
  <si>
    <t>Increase (Decrease) in Temporary Equity [Roll Forward]</t>
  </si>
  <si>
    <t>Cash dividends declared common stock, net of forfeitures</t>
  </si>
  <si>
    <t>STATEMENTS OF STOCKHOLDERS' EQUITY - USD ($)</t>
  </si>
  <si>
    <t>CONSOLIDATED STATEMENTS OF STOCKHOLDERS' EQUITY AND SERIES A CONVERTIBLE PREFERRED STOCK - USD ($)</t>
  </si>
  <si>
    <t>Preferred stock</t>
  </si>
  <si>
    <t>Convertible Preferred Stock [Member]</t>
  </si>
  <si>
    <t>ONSOLIDATED STATEMENTS OF STOCKHOLDERS' EQUITY AND SERIES A CONVERTIBLE PREFERRED STOCK - USD ($)</t>
  </si>
  <si>
    <t>Series A Convertible Preferred stock</t>
  </si>
  <si>
    <t>Common Stock [Member]</t>
  </si>
  <si>
    <t>Cumulative effect of adopting ASU 2020-06</t>
  </si>
  <si>
    <t>Beginning balance at Dec. 31, 2019</t>
  </si>
  <si>
    <t>Beginning balance (in shares) at Dec. 31, 2019</t>
  </si>
  <si>
    <t>Net income/loss</t>
  </si>
  <si>
    <t>Series A preferred stock direct costs</t>
  </si>
  <si>
    <t>Series A preferred stock issuance</t>
  </si>
  <si>
    <t>Series A preferred stock issuance (in shares)</t>
  </si>
  <si>
    <t>Paid-in-kind Series A preferred stock dividend, including beneficial conversion feature</t>
  </si>
  <si>
    <t>Ending balance at Dec. 29, 2020</t>
  </si>
  <si>
    <t>Ending balance (in shares) at Dec. 29, 2020</t>
  </si>
  <si>
    <t>Treasury stock purchases (in shares)</t>
  </si>
  <si>
    <t>Treasury stock purchases -2021</t>
  </si>
  <si>
    <t>Treasury stock purchases -2022</t>
  </si>
  <si>
    <t>Treasury stock purchases, inclusive of excise tax - 2023-part1</t>
  </si>
  <si>
    <t>Treasury stock purchases, inclusive of excise tax 2023-part2</t>
  </si>
  <si>
    <t>Treasury stock purchases, inclusive of excise tax -2023-part3</t>
  </si>
  <si>
    <t>IMPLIED Treasury stock purchases,  2023 - part 4</t>
  </si>
  <si>
    <t>Treasury stock purchases, inclusive of excise tax-  2024-part 1</t>
  </si>
  <si>
    <t>Treasury stock purchases, inclusive of excise tax- 2024 - part 2</t>
  </si>
  <si>
    <t>Treasury stock purchases, inclusive of excise tax (in shares) 2024</t>
  </si>
  <si>
    <t>Treasury stock purchases, inclusive of excise tax - 2024- part 3</t>
  </si>
  <si>
    <t>Treasury stock purchases, inclusive of excise tax (in shares) - 2024</t>
  </si>
  <si>
    <t>assumes slowing repurchases</t>
  </si>
  <si>
    <t>current year P/E multiple</t>
  </si>
  <si>
    <t>assumes average payout ratio</t>
  </si>
  <si>
    <t>SBC assumptions</t>
  </si>
  <si>
    <t>FV of options</t>
  </si>
  <si>
    <t>Vesting period</t>
  </si>
  <si>
    <t>SBC expense (as % of revenues)</t>
  </si>
  <si>
    <t>Deemed dividends on Series A preferred stock  2021</t>
  </si>
  <si>
    <t>Cash dividends declared Series A preferred stock - 2021</t>
  </si>
  <si>
    <t>Cash dividends declared common stock, net of forfeitures -2021</t>
  </si>
  <si>
    <t>Cash dividends declared common stock, net of forfeitures - 2022</t>
  </si>
  <si>
    <t>Cash dividends</t>
  </si>
  <si>
    <t>Cash dividends declared common stock, net of forfeitures, $0.27 per share - 2023</t>
  </si>
  <si>
    <t>Cash dividends declared common stock, net of forfeitures, $0.27 per share - 2024 part 1</t>
  </si>
  <si>
    <t>Cash dividends declared common stock, net of forfeitures, $0.27 per share - part 2 2024</t>
  </si>
  <si>
    <t>Cash dividends declared common stock, net of forfeitures, $0.27 per share - 2024  part 3</t>
  </si>
  <si>
    <t>assumes flat rate</t>
  </si>
  <si>
    <t>QoQ growth rate</t>
  </si>
  <si>
    <t>average QoQ growth rate</t>
  </si>
  <si>
    <t>CF</t>
  </si>
  <si>
    <t>Other Long-Term Items</t>
  </si>
  <si>
    <t>https://www.wsj.com/market-data/quotes/bond/BX/TMUBMUSD10Y/historical-prices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</si>
</sst>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_-;\-* #,##0_-;_-* &quot;-&quot;_-;_-@_-"/>
    <numFmt numFmtId="165" formatCode="_(* #,##0.0_);_(* \(#,##0.0\);_(* &quot;-&quot;?_);@_)"/>
    <numFmt numFmtId="166" formatCode="_(* #,##0.0_);_(* \(#,##0.0\);_(* &quot;-&quot;?_);@_l"/>
    <numFmt numFmtId="167" formatCode="_(* #,##0_);_(* \(#,##0\);_(* &quot;-&quot;?_);@_)"/>
    <numFmt numFmtId="168" formatCode="0.0%"/>
    <numFmt numFmtId="169" formatCode="_(* #,##0_);_(* \(#,##0\);_(* &quot;-&quot;??_);_(@_)"/>
    <numFmt numFmtId="170" formatCode="_-* #,##0.00\ &quot;€&quot;_-;\-* #,##0.00\ &quot;€&quot;_-;_-* &quot;-&quot;??\ &quot;€&quot;_-;_-@_-"/>
    <numFmt numFmtId="171" formatCode="_-* #,##0.00\ _€_-;\-* #,##0.00\ _€_-;_-* &quot;-&quot;??\ _€_-;_-@_-"/>
    <numFmt numFmtId="172" formatCode="_-* #,##0\ _D_M_-;\-* #,##0\ _D_M_-;_-* &quot;-&quot;\ _D_M_-;_-@_-"/>
    <numFmt numFmtId="173" formatCode="_-* #,##0.00\ &quot;Kc&quot;_-;\-* #,##0.00\ &quot;Kc&quot;_-;_-* &quot;-&quot;??\ &quot;Kc&quot;_-;_-@_-"/>
    <numFmt numFmtId="174" formatCode="\(0\'\)"/>
    <numFmt numFmtId="175" formatCode="0.00_)"/>
    <numFmt numFmtId="176" formatCode="#,##0;\(#,##0\);&quot;-&quot;"/>
    <numFmt numFmtId="177" formatCode="#,##0_);\(#,##0\);&quot; - &quot;_);@_)"/>
    <numFmt numFmtId="178" formatCode="\ #,##0.0_);\(#,##0.0\);&quot; - &quot;_);@_)"/>
    <numFmt numFmtId="179" formatCode="_(* #,##0.00_);_(* \(#,##0.00\);_(* &quot;-&quot;?_);@_)"/>
    <numFmt numFmtId="180" formatCode="_(&quot;$ &quot;#,##0_);_(&quot;$ &quot;\(#,##0\)"/>
    <numFmt numFmtId="181" formatCode="_(&quot;$ &quot;#,##0.00_);_(&quot;$ &quot;\(#,##0.00\)"/>
    <numFmt numFmtId="182" formatCode="&quot;$&quot;#,##0.00"/>
    <numFmt numFmtId="183" formatCode="_(* #,##0.000_);_(* \(#,##0.000\);_(* &quot;-&quot;?_);@_)"/>
    <numFmt numFmtId="184" formatCode="_(* #,##0.0000_);_(* \(#,##0.0000\);_(* &quot;-&quot;?_);@_)"/>
    <numFmt numFmtId="185" formatCode="&quot;$&quot;#,##0.0"/>
    <numFmt numFmtId="186" formatCode="_(* #,##0.00000_);_(* \(#,##0.00000\);_(* &quot;-&quot;??_);_(@_)"/>
    <numFmt numFmtId="187" formatCode="0.0"/>
    <numFmt numFmtId="188" formatCode="_(* #,##0.0_);_(* \(#,##0.0\);_(* &quot;-&quot;??_);_(@_)"/>
    <numFmt numFmtId="189" formatCode="_(&quot;$&quot;* #,##0_);_(&quot;$&quot;* \(#,##0\);_(&quot;$&quot;* &quot;-&quot;??_);_(@_)"/>
    <numFmt numFmtId="190" formatCode="&quot;$&quot;#,##0"/>
    <numFmt numFmtId="191" formatCode="0.000%"/>
  </numFmts>
  <fonts count="107">
    <font>
      <sz val="11"/>
      <color theme="1"/>
      <name val="Calibri"/>
      <family val="2"/>
      <scheme val="minor"/>
    </font>
    <font>
      <sz val="9"/>
      <color theme="1"/>
      <name val="Arial"/>
      <family val="2"/>
    </font>
    <font>
      <b/>
      <sz val="12"/>
      <color rgb="FF002060"/>
      <name val="Arial"/>
      <family val="2"/>
    </font>
    <font>
      <b/>
      <sz val="9"/>
      <color theme="1"/>
      <name val="Arial"/>
      <family val="2"/>
    </font>
    <font>
      <b/>
      <sz val="9"/>
      <color theme="3"/>
      <name val="Calibri"/>
      <family val="2"/>
      <scheme val="minor"/>
    </font>
    <font>
      <b/>
      <sz val="9"/>
      <color rgb="FF002060"/>
      <name val="Arial"/>
      <family val="2"/>
    </font>
    <font>
      <sz val="11"/>
      <color theme="1"/>
      <name val="Calibri"/>
      <family val="2"/>
      <scheme val="minor"/>
    </font>
    <font>
      <i/>
      <sz val="8"/>
      <color theme="1"/>
      <name val="Arial"/>
      <family val="2"/>
    </font>
    <font>
      <b/>
      <sz val="9"/>
      <color theme="0"/>
      <name val="Arial"/>
      <family val="2"/>
    </font>
    <font>
      <sz val="9"/>
      <color rgb="FF002060"/>
      <name val="Arial"/>
      <family val="2"/>
    </font>
    <font>
      <sz val="10"/>
      <name val="Arial"/>
      <family val="2"/>
    </font>
    <font>
      <sz val="8"/>
      <name val="Arial"/>
      <family val="2"/>
    </font>
    <font>
      <sz val="10"/>
      <color indexed="10"/>
      <name val="Arial"/>
      <family val="2"/>
    </font>
    <font>
      <sz val="10"/>
      <name val="Helv"/>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CE"/>
      <charset val="238"/>
    </font>
    <font>
      <sz val="10"/>
      <name val="Helv"/>
    </font>
    <font>
      <sz val="11"/>
      <color indexed="60"/>
      <name val="Calibri"/>
      <family val="2"/>
    </font>
    <font>
      <b/>
      <i/>
      <sz val="16"/>
      <name val="Helv"/>
    </font>
    <font>
      <sz val="10"/>
      <name val="MS Sans Serif"/>
      <family val="2"/>
    </font>
    <font>
      <b/>
      <sz val="11"/>
      <color indexed="63"/>
      <name val="Calibri"/>
      <family val="2"/>
    </font>
    <font>
      <b/>
      <sz val="10"/>
      <name val="MS Sans Serif"/>
      <family val="2"/>
    </font>
    <font>
      <sz val="10"/>
      <color indexed="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b/>
      <sz val="18"/>
      <color indexed="56"/>
      <name val="Cambria"/>
      <family val="2"/>
    </font>
    <font>
      <b/>
      <sz val="11"/>
      <color indexed="8"/>
      <name val="Calibri"/>
      <family val="2"/>
    </font>
    <font>
      <b/>
      <sz val="9"/>
      <name val="Arial"/>
      <family val="2"/>
    </font>
    <font>
      <sz val="11"/>
      <color indexed="10"/>
      <name val="Calibri"/>
      <family val="2"/>
    </font>
    <font>
      <sz val="8"/>
      <name val="Verdana"/>
      <family val="2"/>
    </font>
    <font>
      <sz val="10"/>
      <name val="Garamond"/>
      <family val="1"/>
    </font>
    <font>
      <sz val="10"/>
      <color indexed="8"/>
      <name val="MS Sans Serif"/>
      <family val="2"/>
    </font>
    <font>
      <sz val="10"/>
      <name val="Verdana"/>
      <family val="2"/>
    </font>
    <font>
      <sz val="7"/>
      <color indexed="10"/>
      <name val="Arial"/>
      <family val="2"/>
    </font>
    <font>
      <sz val="12"/>
      <name val="Arial"/>
      <family val="2"/>
    </font>
    <font>
      <sz val="10"/>
      <name val="Arial Narrow"/>
      <family val="2"/>
    </font>
    <font>
      <b/>
      <sz val="14"/>
      <color indexed="25"/>
      <name val="Arial"/>
      <family val="2"/>
    </font>
    <font>
      <b/>
      <sz val="10"/>
      <color indexed="25"/>
      <name val="Arial Narrow"/>
      <family val="2"/>
    </font>
    <font>
      <i/>
      <sz val="10"/>
      <color indexed="25"/>
      <name val="Arial Narrow"/>
      <family val="2"/>
    </font>
    <font>
      <sz val="8"/>
      <color indexed="25"/>
      <name val="Arial Narrow"/>
      <family val="2"/>
    </font>
    <font>
      <sz val="10"/>
      <name val="Tahoma"/>
      <family val="2"/>
    </font>
    <font>
      <sz val="12"/>
      <name val="Arial Narrow"/>
      <family val="2"/>
    </font>
    <font>
      <b/>
      <sz val="12"/>
      <color theme="1"/>
      <name val="Tahoma                        "/>
    </font>
    <font>
      <sz val="8"/>
      <color theme="1"/>
      <name val="Tahoma                        "/>
    </font>
    <font>
      <b/>
      <sz val="8"/>
      <color theme="1"/>
      <name val="Tahoma                        "/>
    </font>
    <font>
      <b/>
      <sz val="10"/>
      <color theme="1"/>
      <name val="Tahoma                        "/>
    </font>
    <font>
      <u/>
      <sz val="11"/>
      <color theme="10"/>
      <name val="Calibri"/>
      <family val="2"/>
      <scheme val="minor"/>
    </font>
    <font>
      <b/>
      <sz val="40"/>
      <color rgb="FF002060"/>
      <name val="Arial"/>
      <family val="2"/>
    </font>
    <font>
      <sz val="9"/>
      <color theme="0"/>
      <name val="Arial"/>
      <family val="2"/>
    </font>
    <font>
      <b/>
      <sz val="11"/>
      <name val="Calibri"/>
      <family val="2"/>
    </font>
    <font>
      <sz val="11"/>
      <name val="Calibri"/>
      <family val="2"/>
    </font>
    <font>
      <sz val="8"/>
      <color theme="1"/>
      <name val="Aptos"/>
      <family val="2"/>
    </font>
    <font>
      <sz val="9"/>
      <color theme="1"/>
      <name val="Aptos"/>
      <family val="2"/>
    </font>
    <font>
      <b/>
      <sz val="11"/>
      <color theme="1"/>
      <name val="Calibri"/>
      <family val="2"/>
      <scheme val="minor"/>
    </font>
    <font>
      <sz val="9"/>
      <color rgb="FFFF0000"/>
      <name val="Arial"/>
      <family val="2"/>
    </font>
    <font>
      <sz val="7"/>
      <color rgb="FFFF0000"/>
      <name val="Arial"/>
      <family val="2"/>
    </font>
    <font>
      <b/>
      <sz val="18"/>
      <name val="Calibri"/>
      <family val="2"/>
    </font>
    <font>
      <b/>
      <sz val="20"/>
      <name val="Calibri"/>
      <family val="2"/>
    </font>
    <font>
      <b/>
      <sz val="24"/>
      <name val="Calibri"/>
      <family val="2"/>
    </font>
    <font>
      <i/>
      <sz val="9"/>
      <color theme="1"/>
      <name val="Arial"/>
      <family val="2"/>
    </font>
    <font>
      <b/>
      <sz val="8"/>
      <name val="Calibri"/>
      <family val="2"/>
    </font>
    <font>
      <sz val="8"/>
      <name val="Calibri"/>
      <family val="2"/>
    </font>
    <font>
      <sz val="8"/>
      <color theme="1"/>
      <name val="Calibri"/>
      <family val="2"/>
      <scheme val="minor"/>
    </font>
    <font>
      <b/>
      <sz val="8"/>
      <color theme="1"/>
      <name val="Calibri"/>
      <family val="2"/>
      <scheme val="minor"/>
    </font>
    <font>
      <b/>
      <sz val="11"/>
      <color theme="0"/>
      <name val="Calibri"/>
      <family val="2"/>
      <scheme val="minor"/>
    </font>
    <font>
      <i/>
      <sz val="8"/>
      <color theme="1"/>
      <name val="Calibri"/>
      <family val="2"/>
      <scheme val="minor"/>
    </font>
    <font>
      <b/>
      <i/>
      <sz val="9"/>
      <color theme="1"/>
      <name val="Arial"/>
      <family val="2"/>
    </font>
    <font>
      <b/>
      <i/>
      <sz val="11"/>
      <name val="Calibri"/>
      <family val="2"/>
    </font>
    <font>
      <b/>
      <sz val="10"/>
      <color theme="1"/>
      <name val="Arial"/>
      <family val="2"/>
    </font>
    <font>
      <b/>
      <sz val="11"/>
      <color theme="1"/>
      <name val="Arial"/>
      <family val="2"/>
    </font>
    <font>
      <b/>
      <sz val="14"/>
      <name val="Calibri"/>
      <family val="2"/>
    </font>
    <font>
      <b/>
      <sz val="16"/>
      <color rgb="FF002060"/>
      <name val="Calibri"/>
      <family val="2"/>
      <scheme val="minor"/>
    </font>
    <font>
      <i/>
      <sz val="8"/>
      <color rgb="FFFF0000"/>
      <name val="Arial"/>
      <family val="2"/>
    </font>
    <font>
      <sz val="8"/>
      <color theme="1"/>
      <name val="Arial"/>
      <family val="2"/>
    </font>
    <font>
      <b/>
      <sz val="16"/>
      <name val="Calibri"/>
      <family val="2"/>
    </font>
    <font>
      <b/>
      <sz val="14"/>
      <color theme="1"/>
      <name val="Calibri"/>
      <family val="2"/>
      <scheme val="minor"/>
    </font>
    <font>
      <sz val="14"/>
      <name val="Calibri"/>
      <family val="2"/>
    </font>
    <font>
      <sz val="14"/>
      <color theme="1"/>
      <name val="Calibri"/>
      <family val="2"/>
      <scheme val="minor"/>
    </font>
    <font>
      <sz val="8"/>
      <color theme="1"/>
      <name val="Times New Roman"/>
      <family val="1"/>
    </font>
    <font>
      <b/>
      <sz val="8"/>
      <color rgb="FF000000"/>
      <name val="Arial"/>
      <family val="2"/>
    </font>
    <font>
      <sz val="8"/>
      <color rgb="FF000000"/>
      <name val="Arial"/>
      <family val="2"/>
    </font>
    <font>
      <b/>
      <sz val="8"/>
      <color theme="1"/>
      <name val="Arial"/>
      <family val="2"/>
    </font>
    <font>
      <u/>
      <sz val="11"/>
      <color theme="1"/>
      <name val="Calibri"/>
      <family val="2"/>
      <scheme val="minor"/>
    </font>
    <font>
      <sz val="18"/>
      <color theme="1"/>
      <name val="Calibri"/>
      <family val="2"/>
      <scheme val="minor"/>
    </font>
    <font>
      <sz val="11"/>
      <color theme="0"/>
      <name val="Calibri"/>
      <family val="2"/>
      <scheme val="minor"/>
    </font>
    <font>
      <sz val="7"/>
      <color theme="1"/>
      <name val="Arial"/>
      <family val="2"/>
    </font>
    <font>
      <sz val="6"/>
      <color theme="1"/>
      <name val="Arial"/>
      <family val="2"/>
    </font>
    <font>
      <b/>
      <sz val="7"/>
      <color rgb="FF002060"/>
      <name val="Arial"/>
      <family val="2"/>
    </font>
    <font>
      <b/>
      <sz val="7"/>
      <color theme="1"/>
      <name val="Arial"/>
      <family val="2"/>
    </font>
    <font>
      <sz val="7"/>
      <color theme="1"/>
      <name val="Calibri"/>
      <family val="2"/>
      <scheme val="minor"/>
    </font>
    <font>
      <sz val="8"/>
      <color theme="0"/>
      <name val="Calibri"/>
      <family val="2"/>
      <scheme val="minor"/>
    </font>
    <font>
      <i/>
      <sz val="8"/>
      <color theme="0"/>
      <name val="Calibri"/>
      <family val="2"/>
      <scheme val="minor"/>
    </font>
    <font>
      <u/>
      <sz val="11"/>
      <color theme="0"/>
      <name val="Calibri"/>
      <family val="2"/>
      <scheme val="minor"/>
    </font>
  </fonts>
  <fills count="5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6"/>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rgb="FFFFFF00"/>
        <bgColor indexed="64"/>
      </patternFill>
    </fill>
    <fill>
      <patternFill patternType="solid">
        <fgColor theme="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FF"/>
        <bgColor indexed="64"/>
      </patternFill>
    </fill>
    <fill>
      <patternFill patternType="solid">
        <fgColor rgb="FFAACCFF"/>
        <bgColor indexed="64"/>
      </patternFill>
    </fill>
    <fill>
      <patternFill patternType="solid">
        <fgColor rgb="FFF0F0F0"/>
        <bgColor indexed="64"/>
      </patternFill>
    </fill>
    <fill>
      <patternFill patternType="solid">
        <fgColor rgb="FFDDEEFF"/>
        <bgColor indexed="64"/>
      </patternFill>
    </fill>
    <fill>
      <patternFill patternType="solid">
        <fgColor rgb="FF00B0F0"/>
        <bgColor indexed="64"/>
      </patternFill>
    </fill>
    <fill>
      <patternFill patternType="solid">
        <fgColor theme="6" tint="0.39997558519241921"/>
        <bgColor indexed="64"/>
      </patternFill>
    </fill>
    <fill>
      <patternFill patternType="solid">
        <fgColor rgb="FF92D050"/>
        <bgColor indexed="64"/>
      </patternFill>
    </fill>
  </fills>
  <borders count="46">
    <border>
      <left/>
      <right/>
      <top/>
      <bottom/>
      <diagonal/>
    </border>
    <border>
      <left/>
      <right/>
      <top/>
      <bottom style="medium">
        <color theme="4"/>
      </bottom>
      <diagonal/>
    </border>
    <border>
      <left/>
      <right/>
      <top/>
      <bottom style="thin">
        <color indexed="64"/>
      </bottom>
      <diagonal/>
    </border>
    <border>
      <left/>
      <right/>
      <top style="thin">
        <color indexed="64"/>
      </top>
      <bottom style="medium">
        <color indexed="64"/>
      </bottom>
      <diagonal/>
    </border>
    <border>
      <left/>
      <right/>
      <top/>
      <bottom style="medium">
        <color rgb="FF002060"/>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right/>
      <top style="thin">
        <color indexed="25"/>
      </top>
      <bottom style="thin">
        <color indexed="25"/>
      </bottom>
      <diagonal/>
    </border>
    <border>
      <left/>
      <right/>
      <top style="thin">
        <color indexed="64"/>
      </top>
      <bottom/>
      <diagonal/>
    </border>
    <border>
      <left/>
      <right/>
      <top style="thin">
        <color rgb="FF002060"/>
      </top>
      <bottom style="medium">
        <color rgb="FF00206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medium">
        <color auto="1"/>
      </top>
      <bottom/>
      <diagonal/>
    </border>
    <border>
      <left/>
      <right/>
      <top style="thin">
        <color rgb="FF00206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AACCFF"/>
      </left>
      <right/>
      <top style="medium">
        <color rgb="FFAACCFF"/>
      </top>
      <bottom/>
      <diagonal/>
    </border>
    <border>
      <left/>
      <right/>
      <top style="medium">
        <color rgb="FFAACCFF"/>
      </top>
      <bottom/>
      <diagonal/>
    </border>
    <border>
      <left/>
      <right style="medium">
        <color rgb="FFAACCFF"/>
      </right>
      <top style="medium">
        <color rgb="FFAACCFF"/>
      </top>
      <bottom/>
      <diagonal/>
    </border>
    <border>
      <left style="medium">
        <color rgb="FFAACCFF"/>
      </left>
      <right/>
      <top/>
      <bottom/>
      <diagonal/>
    </border>
    <border>
      <left/>
      <right style="medium">
        <color rgb="FFAACCFF"/>
      </right>
      <top/>
      <bottom/>
      <diagonal/>
    </border>
    <border>
      <left style="medium">
        <color rgb="FFAACCFF"/>
      </left>
      <right/>
      <top/>
      <bottom style="medium">
        <color rgb="FFAACCFF"/>
      </bottom>
      <diagonal/>
    </border>
    <border>
      <left/>
      <right/>
      <top/>
      <bottom style="medium">
        <color rgb="FFAACCFF"/>
      </bottom>
      <diagonal/>
    </border>
    <border>
      <left/>
      <right style="medium">
        <color rgb="FFAACCFF"/>
      </right>
      <top/>
      <bottom style="medium">
        <color rgb="FFAACCFF"/>
      </bottom>
      <diagonal/>
    </border>
    <border>
      <left style="thin">
        <color indexed="64"/>
      </left>
      <right style="thin">
        <color indexed="64"/>
      </right>
      <top style="medium">
        <color rgb="FFAACCFF"/>
      </top>
      <bottom/>
      <diagonal/>
    </border>
    <border>
      <left style="thin">
        <color indexed="64"/>
      </left>
      <right style="thin">
        <color indexed="64"/>
      </right>
      <top/>
      <bottom/>
      <diagonal/>
    </border>
    <border>
      <left style="thin">
        <color indexed="64"/>
      </left>
      <right style="thin">
        <color indexed="64"/>
      </right>
      <top/>
      <bottom style="medium">
        <color rgb="FFAACCFF"/>
      </bottom>
      <diagonal/>
    </border>
    <border>
      <left/>
      <right style="thin">
        <color indexed="64"/>
      </right>
      <top/>
      <bottom/>
      <diagonal/>
    </border>
    <border>
      <left/>
      <right style="thin">
        <color indexed="64"/>
      </right>
      <top/>
      <bottom style="medium">
        <color rgb="FFAACCFF"/>
      </bottom>
      <diagonal/>
    </border>
    <border>
      <left/>
      <right style="thick">
        <color theme="1"/>
      </right>
      <top/>
      <bottom/>
      <diagonal/>
    </border>
    <border>
      <left/>
      <right style="thick">
        <color theme="1"/>
      </right>
      <top/>
      <bottom style="medium">
        <color rgb="FFAACCFF"/>
      </bottom>
      <diagonal/>
    </border>
    <border>
      <left/>
      <right style="medium">
        <color rgb="FFAACCFF"/>
      </right>
      <top style="thin">
        <color indexed="64"/>
      </top>
      <bottom style="thin">
        <color indexed="64"/>
      </bottom>
      <diagonal/>
    </border>
    <border>
      <left/>
      <right style="thin">
        <color indexed="64"/>
      </right>
      <top style="medium">
        <color rgb="FFAACCFF"/>
      </top>
      <bottom/>
      <diagonal/>
    </border>
  </borders>
  <cellStyleXfs count="167">
    <xf numFmtId="0" fontId="0" fillId="0" borderId="0"/>
    <xf numFmtId="0" fontId="4" fillId="0" borderId="1" applyFill="0" applyProtection="0">
      <alignment horizontal="right" wrapText="1"/>
    </xf>
    <xf numFmtId="9" fontId="6" fillId="0" borderId="0" applyFont="0" applyFill="0" applyBorder="0" applyAlignment="0" applyProtection="0"/>
    <xf numFmtId="43" fontId="6" fillId="0" borderId="0" applyFont="0" applyFill="0" applyBorder="0" applyAlignment="0" applyProtection="0"/>
    <xf numFmtId="0" fontId="10" fillId="0" borderId="0"/>
    <xf numFmtId="0" fontId="10" fillId="0" borderId="0"/>
    <xf numFmtId="0" fontId="13" fillId="0" borderId="0"/>
    <xf numFmtId="0" fontId="10" fillId="0" borderId="0"/>
    <xf numFmtId="0" fontId="13" fillId="0" borderId="0"/>
    <xf numFmtId="0" fontId="13" fillId="0" borderId="0"/>
    <xf numFmtId="0" fontId="13" fillId="0" borderId="0"/>
    <xf numFmtId="0" fontId="13" fillId="0" borderId="0"/>
    <xf numFmtId="0" fontId="10"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5" borderId="5"/>
    <xf numFmtId="0" fontId="13" fillId="0" borderId="0"/>
    <xf numFmtId="0" fontId="10" fillId="0" borderId="0"/>
    <xf numFmtId="0" fontId="10" fillId="0" borderId="0"/>
    <xf numFmtId="0" fontId="13" fillId="0" borderId="0"/>
    <xf numFmtId="0" fontId="13" fillId="0" borderId="0"/>
    <xf numFmtId="0" fontId="14" fillId="0" borderId="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3" borderId="0" applyNumberFormat="0" applyBorder="0" applyAlignment="0" applyProtection="0"/>
    <xf numFmtId="0" fontId="10" fillId="0" borderId="0"/>
    <xf numFmtId="0" fontId="17" fillId="7" borderId="0" applyNumberFormat="0" applyBorder="0" applyAlignment="0" applyProtection="0"/>
    <xf numFmtId="0" fontId="18" fillId="24" borderId="6" applyNumberFormat="0" applyAlignment="0" applyProtection="0"/>
    <xf numFmtId="0" fontId="19" fillId="25" borderId="7" applyNumberFormat="0" applyAlignment="0" applyProtection="0"/>
    <xf numFmtId="49" fontId="11" fillId="0" borderId="0">
      <alignment horizontal="left" vertical="top" wrapText="1"/>
    </xf>
    <xf numFmtId="170" fontId="10" fillId="0" borderId="0" applyFont="0" applyFill="0" applyBorder="0" applyAlignment="0" applyProtection="0"/>
    <xf numFmtId="0" fontId="20" fillId="0" borderId="0" applyNumberFormat="0" applyFill="0" applyBorder="0" applyAlignment="0" applyProtection="0"/>
    <xf numFmtId="0" fontId="21" fillId="8" borderId="0" applyNumberFormat="0" applyBorder="0" applyAlignment="0" applyProtection="0"/>
    <xf numFmtId="38" fontId="11" fillId="26" borderId="0" applyNumberFormat="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11" borderId="6" applyNumberFormat="0" applyAlignment="0" applyProtection="0"/>
    <xf numFmtId="10" fontId="11" fillId="5" borderId="11" applyNumberFormat="0" applyBorder="0" applyAlignment="0" applyProtection="0"/>
    <xf numFmtId="0" fontId="26" fillId="0" borderId="12" applyNumberFormat="0" applyFill="0" applyAlignment="0" applyProtection="0"/>
    <xf numFmtId="173" fontId="27" fillId="0" borderId="0" applyFont="0" applyFill="0" applyBorder="0" applyAlignment="0" applyProtection="0"/>
    <xf numFmtId="172" fontId="10" fillId="0" borderId="0" applyFont="0" applyFill="0" applyBorder="0" applyAlignment="0" applyProtection="0"/>
    <xf numFmtId="4" fontId="28" fillId="0" borderId="0" applyFont="0" applyFill="0" applyBorder="0" applyAlignment="0" applyProtection="0"/>
    <xf numFmtId="42" fontId="10" fillId="0" borderId="0" applyFont="0" applyFill="0" applyBorder="0" applyAlignment="0" applyProtection="0"/>
    <xf numFmtId="174" fontId="10" fillId="0" borderId="0" applyFont="0" applyFill="0" applyBorder="0" applyAlignment="0" applyProtection="0"/>
    <xf numFmtId="0" fontId="29" fillId="27" borderId="0" applyNumberFormat="0" applyBorder="0" applyAlignment="0" applyProtection="0"/>
    <xf numFmtId="175" fontId="30" fillId="0" borderId="0"/>
    <xf numFmtId="0" fontId="27" fillId="0" borderId="0"/>
    <xf numFmtId="0" fontId="15" fillId="28" borderId="13" applyNumberFormat="0" applyFont="0" applyAlignment="0" applyProtection="0"/>
    <xf numFmtId="0" fontId="10" fillId="0" borderId="0" applyFont="0" applyFill="0" applyBorder="0" applyAlignment="0" applyProtection="0"/>
    <xf numFmtId="0" fontId="10" fillId="0" borderId="0" applyFont="0" applyFill="0" applyBorder="0" applyAlignment="0" applyProtection="0"/>
    <xf numFmtId="0" fontId="32" fillId="24" borderId="14" applyNumberFormat="0" applyAlignment="0" applyProtection="0"/>
    <xf numFmtId="9" fontId="10" fillId="0" borderId="0" applyFont="0" applyFill="0" applyBorder="0" applyAlignment="0" applyProtection="0"/>
    <xf numFmtId="10" fontId="10" fillId="0" borderId="0" applyFont="0" applyFill="0" applyBorder="0" applyAlignment="0" applyProtection="0"/>
    <xf numFmtId="9" fontId="15" fillId="0" borderId="0" applyFont="0" applyFill="0" applyBorder="0" applyAlignment="0" applyProtection="0"/>
    <xf numFmtId="0" fontId="31" fillId="0" borderId="0" applyNumberFormat="0" applyFont="0" applyFill="0" applyBorder="0" applyAlignment="0" applyProtection="0">
      <alignment horizontal="left"/>
    </xf>
    <xf numFmtId="15" fontId="31" fillId="0" borderId="0" applyFont="0" applyFill="0" applyBorder="0" applyAlignment="0" applyProtection="0"/>
    <xf numFmtId="4" fontId="31" fillId="0" borderId="0" applyFont="0" applyFill="0" applyBorder="0" applyAlignment="0" applyProtection="0"/>
    <xf numFmtId="0" fontId="33" fillId="0" borderId="15">
      <alignment horizontal="center"/>
    </xf>
    <xf numFmtId="3" fontId="31" fillId="0" borderId="0" applyFont="0" applyFill="0" applyBorder="0" applyAlignment="0" applyProtection="0"/>
    <xf numFmtId="0" fontId="31" fillId="29" borderId="0" applyNumberFormat="0" applyFont="0" applyBorder="0" applyAlignment="0" applyProtection="0"/>
    <xf numFmtId="3" fontId="43" fillId="30" borderId="0" applyFont="0" applyFill="0" applyBorder="0" applyAlignment="0" applyProtection="0"/>
    <xf numFmtId="4" fontId="34" fillId="31" borderId="14" applyNumberFormat="0" applyProtection="0">
      <alignment vertical="center"/>
    </xf>
    <xf numFmtId="4" fontId="35" fillId="31" borderId="14" applyNumberFormat="0" applyProtection="0">
      <alignment vertical="center"/>
    </xf>
    <xf numFmtId="4" fontId="34" fillId="31" borderId="14" applyNumberFormat="0" applyProtection="0">
      <alignment horizontal="left" vertical="center" indent="1"/>
    </xf>
    <xf numFmtId="4" fontId="34" fillId="31" borderId="14" applyNumberFormat="0" applyProtection="0">
      <alignment horizontal="left" vertical="center" indent="1"/>
    </xf>
    <xf numFmtId="0" fontId="10" fillId="32" borderId="14" applyNumberFormat="0" applyProtection="0">
      <alignment horizontal="left" vertical="center" indent="1"/>
    </xf>
    <xf numFmtId="4" fontId="34" fillId="33" borderId="14" applyNumberFormat="0" applyProtection="0">
      <alignment horizontal="right" vertical="center"/>
    </xf>
    <xf numFmtId="4" fontId="34" fillId="34" borderId="14" applyNumberFormat="0" applyProtection="0">
      <alignment horizontal="right" vertical="center"/>
    </xf>
    <xf numFmtId="4" fontId="34" fillId="35" borderId="14" applyNumberFormat="0" applyProtection="0">
      <alignment horizontal="right" vertical="center"/>
    </xf>
    <xf numFmtId="4" fontId="34" fillId="36" borderId="14" applyNumberFormat="0" applyProtection="0">
      <alignment horizontal="right" vertical="center"/>
    </xf>
    <xf numFmtId="4" fontId="34" fillId="37" borderId="14" applyNumberFormat="0" applyProtection="0">
      <alignment horizontal="right" vertical="center"/>
    </xf>
    <xf numFmtId="4" fontId="34" fillId="38" borderId="14" applyNumberFormat="0" applyProtection="0">
      <alignment horizontal="right" vertical="center"/>
    </xf>
    <xf numFmtId="4" fontId="34" fillId="39" borderId="14" applyNumberFormat="0" applyProtection="0">
      <alignment horizontal="right" vertical="center"/>
    </xf>
    <xf numFmtId="4" fontId="34" fillId="40" borderId="14" applyNumberFormat="0" applyProtection="0">
      <alignment horizontal="right" vertical="center"/>
    </xf>
    <xf numFmtId="4" fontId="34" fillId="41" borderId="14" applyNumberFormat="0" applyProtection="0">
      <alignment horizontal="right" vertical="center"/>
    </xf>
    <xf numFmtId="4" fontId="36" fillId="42" borderId="14" applyNumberFormat="0" applyProtection="0">
      <alignment horizontal="left" vertical="center" indent="1"/>
    </xf>
    <xf numFmtId="4" fontId="34" fillId="43" borderId="16" applyNumberFormat="0" applyProtection="0">
      <alignment horizontal="left" vertical="center" indent="1"/>
    </xf>
    <xf numFmtId="4" fontId="37" fillId="44" borderId="0" applyNumberFormat="0" applyProtection="0">
      <alignment horizontal="left" vertical="center" indent="1"/>
    </xf>
    <xf numFmtId="0" fontId="10" fillId="32" borderId="14" applyNumberFormat="0" applyProtection="0">
      <alignment horizontal="left" vertical="center" indent="1"/>
    </xf>
    <xf numFmtId="4" fontId="34" fillId="43" borderId="14" applyNumberFormat="0" applyProtection="0">
      <alignment horizontal="left" vertical="center" indent="1"/>
    </xf>
    <xf numFmtId="4" fontId="34" fillId="45" borderId="14" applyNumberFormat="0" applyProtection="0">
      <alignment horizontal="left" vertical="center" indent="1"/>
    </xf>
    <xf numFmtId="0" fontId="10" fillId="45" borderId="14" applyNumberFormat="0" applyProtection="0">
      <alignment horizontal="left" vertical="center" indent="1"/>
    </xf>
    <xf numFmtId="0" fontId="10" fillId="45" borderId="14" applyNumberFormat="0" applyProtection="0">
      <alignment horizontal="left" vertical="center" indent="1"/>
    </xf>
    <xf numFmtId="0" fontId="10" fillId="46" borderId="14" applyNumberFormat="0" applyProtection="0">
      <alignment horizontal="left" vertical="center" indent="1"/>
    </xf>
    <xf numFmtId="0" fontId="10" fillId="46" borderId="14" applyNumberFormat="0" applyProtection="0">
      <alignment horizontal="left" vertical="center" indent="1"/>
    </xf>
    <xf numFmtId="0" fontId="10" fillId="26" borderId="14" applyNumberFormat="0" applyProtection="0">
      <alignment horizontal="left" vertical="center" indent="1"/>
    </xf>
    <xf numFmtId="0" fontId="10" fillId="26" borderId="14" applyNumberFormat="0" applyProtection="0">
      <alignment horizontal="left" vertical="center" indent="1"/>
    </xf>
    <xf numFmtId="0" fontId="10" fillId="32" borderId="14" applyNumberFormat="0" applyProtection="0">
      <alignment horizontal="left" vertical="center" indent="1"/>
    </xf>
    <xf numFmtId="0" fontId="10" fillId="32" borderId="14" applyNumberFormat="0" applyProtection="0">
      <alignment horizontal="left" vertical="center" indent="1"/>
    </xf>
    <xf numFmtId="4" fontId="34" fillId="5" borderId="14" applyNumberFormat="0" applyProtection="0">
      <alignment vertical="center"/>
    </xf>
    <xf numFmtId="4" fontId="35" fillId="5" borderId="14" applyNumberFormat="0" applyProtection="0">
      <alignment vertical="center"/>
    </xf>
    <xf numFmtId="4" fontId="34" fillId="5" borderId="14" applyNumberFormat="0" applyProtection="0">
      <alignment horizontal="left" vertical="center" indent="1"/>
    </xf>
    <xf numFmtId="4" fontId="34" fillId="5" borderId="14" applyNumberFormat="0" applyProtection="0">
      <alignment horizontal="left" vertical="center" indent="1"/>
    </xf>
    <xf numFmtId="4" fontId="34" fillId="43" borderId="14" applyNumberFormat="0" applyProtection="0">
      <alignment horizontal="right" vertical="center"/>
    </xf>
    <xf numFmtId="4" fontId="35" fillId="43" borderId="14" applyNumberFormat="0" applyProtection="0">
      <alignment horizontal="right" vertical="center"/>
    </xf>
    <xf numFmtId="0" fontId="10" fillId="32" borderId="14" applyNumberFormat="0" applyProtection="0">
      <alignment horizontal="left" vertical="center" indent="1"/>
    </xf>
    <xf numFmtId="0" fontId="10" fillId="32" borderId="14" applyNumberFormat="0" applyProtection="0">
      <alignment horizontal="left" vertical="center" indent="1"/>
    </xf>
    <xf numFmtId="0" fontId="38" fillId="0" borderId="0"/>
    <xf numFmtId="4" fontId="12" fillId="43" borderId="14" applyNumberFormat="0" applyProtection="0">
      <alignment horizontal="right" vertical="center"/>
    </xf>
    <xf numFmtId="0" fontId="10" fillId="0" borderId="0"/>
    <xf numFmtId="0" fontId="39" fillId="0" borderId="0" applyNumberFormat="0" applyFill="0" applyBorder="0" applyAlignment="0" applyProtection="0"/>
    <xf numFmtId="0" fontId="40" fillId="0" borderId="17" applyNumberFormat="0" applyFill="0" applyAlignment="0" applyProtection="0"/>
    <xf numFmtId="3" fontId="41" fillId="0" borderId="2" applyNumberFormat="0"/>
    <xf numFmtId="0" fontId="42" fillId="0" borderId="0" applyNumberFormat="0" applyFill="0" applyBorder="0" applyAlignment="0" applyProtection="0"/>
    <xf numFmtId="0" fontId="10" fillId="0" borderId="0" applyNumberFormat="0" applyFill="0" applyBorder="0" applyAlignment="0" applyProtection="0"/>
    <xf numFmtId="0" fontId="6" fillId="0" borderId="0"/>
    <xf numFmtId="0" fontId="44" fillId="0" borderId="0"/>
    <xf numFmtId="9" fontId="6" fillId="0" borderId="0" applyFont="0" applyFill="0" applyBorder="0" applyAlignment="0" applyProtection="0"/>
    <xf numFmtId="0" fontId="45" fillId="0" borderId="0" applyNumberFormat="0" applyFont="0" applyFill="0" applyBorder="0" applyAlignment="0" applyProtection="0"/>
    <xf numFmtId="0" fontId="46" fillId="0" borderId="0"/>
    <xf numFmtId="0" fontId="47" fillId="0" borderId="0"/>
    <xf numFmtId="176" fontId="48" fillId="0" borderId="0"/>
    <xf numFmtId="176" fontId="10" fillId="0" borderId="0"/>
    <xf numFmtId="176" fontId="50" fillId="0" borderId="0"/>
    <xf numFmtId="0" fontId="51" fillId="0" borderId="0">
      <alignment horizontal="left"/>
    </xf>
    <xf numFmtId="164" fontId="49" fillId="0" borderId="18" applyFill="0" applyBorder="0" applyProtection="0">
      <alignment horizontal="right" vertical="top"/>
    </xf>
    <xf numFmtId="176" fontId="52" fillId="0" borderId="18">
      <alignment horizontal="left"/>
    </xf>
    <xf numFmtId="0" fontId="51" fillId="0" borderId="18">
      <alignment horizontal="right" wrapText="1"/>
    </xf>
    <xf numFmtId="0" fontId="49" fillId="0" borderId="0" applyFill="0" applyBorder="0">
      <alignment horizontal="left" vertical="top" wrapText="1"/>
    </xf>
    <xf numFmtId="177" fontId="49" fillId="0" borderId="0" applyFill="0" applyBorder="0">
      <alignment horizontal="right" vertical="top"/>
    </xf>
    <xf numFmtId="178" fontId="49" fillId="0" borderId="0" applyFill="0" applyBorder="0">
      <alignment horizontal="right" vertical="top"/>
    </xf>
    <xf numFmtId="49" fontId="49" fillId="0" borderId="0" applyNumberFormat="0" applyFill="0" applyBorder="0" applyProtection="0">
      <alignment horizontal="center" vertical="top"/>
    </xf>
    <xf numFmtId="176" fontId="53" fillId="0" borderId="0">
      <alignment horizontal="left" vertical="top"/>
    </xf>
    <xf numFmtId="0" fontId="54" fillId="0" borderId="0"/>
    <xf numFmtId="0" fontId="6" fillId="0" borderId="0"/>
    <xf numFmtId="0" fontId="55"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0" fontId="6" fillId="0" borderId="0"/>
    <xf numFmtId="0" fontId="56" fillId="0" borderId="0"/>
    <xf numFmtId="0" fontId="57" fillId="0" borderId="0"/>
    <xf numFmtId="0" fontId="58" fillId="0" borderId="0"/>
    <xf numFmtId="0" fontId="59" fillId="0" borderId="0"/>
    <xf numFmtId="0" fontId="59" fillId="0" borderId="0"/>
    <xf numFmtId="0" fontId="56" fillId="0" borderId="0"/>
    <xf numFmtId="0" fontId="57" fillId="0" borderId="0"/>
    <xf numFmtId="0" fontId="58" fillId="0" borderId="0"/>
    <xf numFmtId="0" fontId="60" fillId="0" borderId="0" applyNumberFormat="0" applyFill="0" applyBorder="0" applyAlignment="0" applyProtection="0"/>
    <xf numFmtId="44" fontId="6" fillId="0" borderId="0" applyFont="0" applyFill="0" applyBorder="0" applyAlignment="0" applyProtection="0"/>
  </cellStyleXfs>
  <cellXfs count="487">
    <xf numFmtId="0" fontId="0" fillId="0" borderId="0" xfId="0"/>
    <xf numFmtId="0" fontId="1" fillId="2" borderId="0" xfId="0" applyFont="1" applyFill="1"/>
    <xf numFmtId="0" fontId="2" fillId="2" borderId="0" xfId="0" applyFont="1" applyFill="1"/>
    <xf numFmtId="165" fontId="2" fillId="2" borderId="0" xfId="0" applyNumberFormat="1" applyFont="1" applyFill="1"/>
    <xf numFmtId="165" fontId="1" fillId="2" borderId="0" xfId="0" applyNumberFormat="1" applyFont="1" applyFill="1"/>
    <xf numFmtId="165" fontId="3" fillId="2" borderId="2" xfId="0" applyNumberFormat="1" applyFont="1" applyFill="1" applyBorder="1"/>
    <xf numFmtId="165" fontId="3" fillId="2" borderId="2" xfId="0" applyNumberFormat="1" applyFont="1" applyFill="1" applyBorder="1" applyAlignment="1">
      <alignment horizontal="right" wrapText="1"/>
    </xf>
    <xf numFmtId="165" fontId="3" fillId="2" borderId="3" xfId="0" applyNumberFormat="1" applyFont="1" applyFill="1" applyBorder="1"/>
    <xf numFmtId="166" fontId="1" fillId="2" borderId="0" xfId="0" applyNumberFormat="1" applyFont="1" applyFill="1"/>
    <xf numFmtId="166" fontId="2" fillId="2" borderId="0" xfId="0" applyNumberFormat="1" applyFont="1" applyFill="1"/>
    <xf numFmtId="167" fontId="1" fillId="2" borderId="0" xfId="0" applyNumberFormat="1" applyFont="1" applyFill="1"/>
    <xf numFmtId="167" fontId="3" fillId="2" borderId="3" xfId="0" applyNumberFormat="1" applyFont="1" applyFill="1" applyBorder="1"/>
    <xf numFmtId="165" fontId="1" fillId="2" borderId="3" xfId="0" applyNumberFormat="1" applyFont="1" applyFill="1" applyBorder="1"/>
    <xf numFmtId="165" fontId="5" fillId="2" borderId="4" xfId="0" applyNumberFormat="1" applyFont="1" applyFill="1" applyBorder="1"/>
    <xf numFmtId="165" fontId="5" fillId="2" borderId="4" xfId="0" applyNumberFormat="1" applyFont="1" applyFill="1" applyBorder="1" applyAlignment="1">
      <alignment horizontal="right" wrapText="1"/>
    </xf>
    <xf numFmtId="165" fontId="5" fillId="3" borderId="4" xfId="0" applyNumberFormat="1" applyFont="1" applyFill="1" applyBorder="1" applyAlignment="1">
      <alignment horizontal="right" wrapText="1"/>
    </xf>
    <xf numFmtId="165" fontId="1" fillId="3" borderId="0" xfId="0" applyNumberFormat="1" applyFont="1" applyFill="1"/>
    <xf numFmtId="165" fontId="5" fillId="2" borderId="0" xfId="0" applyNumberFormat="1" applyFont="1" applyFill="1" applyAlignment="1">
      <alignment horizontal="right" wrapText="1"/>
    </xf>
    <xf numFmtId="165" fontId="5" fillId="2" borderId="4" xfId="0" applyNumberFormat="1" applyFont="1" applyFill="1" applyBorder="1" applyAlignment="1">
      <alignment wrapText="1"/>
    </xf>
    <xf numFmtId="165" fontId="5" fillId="2" borderId="0" xfId="0" applyNumberFormat="1" applyFont="1" applyFill="1"/>
    <xf numFmtId="168" fontId="1" fillId="2" borderId="0" xfId="2" applyNumberFormat="1" applyFont="1" applyFill="1"/>
    <xf numFmtId="167" fontId="1" fillId="3" borderId="0" xfId="0" applyNumberFormat="1" applyFont="1" applyFill="1"/>
    <xf numFmtId="167" fontId="9" fillId="2" borderId="0" xfId="0" applyNumberFormat="1" applyFont="1" applyFill="1"/>
    <xf numFmtId="167" fontId="1" fillId="2" borderId="3" xfId="0" applyNumberFormat="1" applyFont="1" applyFill="1" applyBorder="1"/>
    <xf numFmtId="165" fontId="3" fillId="2" borderId="19" xfId="0" applyNumberFormat="1" applyFont="1" applyFill="1" applyBorder="1"/>
    <xf numFmtId="167" fontId="3" fillId="2" borderId="19" xfId="0" applyNumberFormat="1" applyFont="1" applyFill="1" applyBorder="1"/>
    <xf numFmtId="167" fontId="5" fillId="2" borderId="0" xfId="0" applyNumberFormat="1" applyFont="1" applyFill="1"/>
    <xf numFmtId="169" fontId="1" fillId="2" borderId="0" xfId="3" applyNumberFormat="1" applyFont="1" applyFill="1"/>
    <xf numFmtId="179" fontId="1" fillId="2" borderId="0" xfId="0" applyNumberFormat="1" applyFont="1" applyFill="1"/>
    <xf numFmtId="165" fontId="8" fillId="4" borderId="0" xfId="0" applyNumberFormat="1" applyFont="1" applyFill="1"/>
    <xf numFmtId="167" fontId="8" fillId="4" borderId="0" xfId="0" applyNumberFormat="1" applyFont="1" applyFill="1"/>
    <xf numFmtId="165" fontId="5" fillId="2" borderId="19" xfId="0" applyNumberFormat="1" applyFont="1" applyFill="1" applyBorder="1"/>
    <xf numFmtId="167" fontId="5" fillId="2" borderId="19" xfId="0" applyNumberFormat="1" applyFont="1" applyFill="1" applyBorder="1"/>
    <xf numFmtId="167" fontId="1" fillId="3" borderId="19" xfId="0" applyNumberFormat="1" applyFont="1" applyFill="1" applyBorder="1"/>
    <xf numFmtId="165" fontId="5" fillId="2" borderId="20" xfId="0" applyNumberFormat="1" applyFont="1" applyFill="1" applyBorder="1"/>
    <xf numFmtId="167" fontId="5" fillId="2" borderId="20" xfId="0" applyNumberFormat="1" applyFont="1" applyFill="1" applyBorder="1"/>
    <xf numFmtId="167" fontId="1" fillId="2" borderId="20" xfId="0" applyNumberFormat="1" applyFont="1" applyFill="1" applyBorder="1"/>
    <xf numFmtId="167" fontId="5" fillId="3" borderId="20" xfId="0" applyNumberFormat="1" applyFont="1" applyFill="1" applyBorder="1"/>
    <xf numFmtId="0" fontId="61" fillId="2" borderId="0" xfId="0" applyFont="1" applyFill="1"/>
    <xf numFmtId="165" fontId="1" fillId="2" borderId="0" xfId="0" applyNumberFormat="1" applyFont="1" applyFill="1" applyAlignment="1">
      <alignment horizontal="left" vertical="center"/>
    </xf>
    <xf numFmtId="49" fontId="1" fillId="2" borderId="0" xfId="0" applyNumberFormat="1" applyFont="1" applyFill="1"/>
    <xf numFmtId="49" fontId="5" fillId="2" borderId="19" xfId="0" applyNumberFormat="1" applyFont="1" applyFill="1" applyBorder="1"/>
    <xf numFmtId="166" fontId="1" fillId="2" borderId="19" xfId="0" applyNumberFormat="1" applyFont="1" applyFill="1" applyBorder="1"/>
    <xf numFmtId="49" fontId="5" fillId="0" borderId="0" xfId="0" applyNumberFormat="1" applyFont="1"/>
    <xf numFmtId="49" fontId="5" fillId="2" borderId="0" xfId="0" applyNumberFormat="1" applyFont="1" applyFill="1"/>
    <xf numFmtId="49" fontId="8" fillId="4" borderId="0" xfId="0" applyNumberFormat="1" applyFont="1" applyFill="1"/>
    <xf numFmtId="166" fontId="8" fillId="4" borderId="0" xfId="0" applyNumberFormat="1" applyFont="1" applyFill="1"/>
    <xf numFmtId="0" fontId="63" fillId="0" borderId="0" xfId="0" applyFont="1" applyAlignment="1">
      <alignment horizontal="center" vertical="center" wrapText="1"/>
    </xf>
    <xf numFmtId="0" fontId="64" fillId="0" borderId="0" xfId="0" applyFont="1" applyAlignment="1">
      <alignment horizontal="center" vertical="center" wrapText="1"/>
    </xf>
    <xf numFmtId="0" fontId="63" fillId="0" borderId="0" xfId="0" applyFont="1" applyAlignment="1">
      <alignment vertical="top" wrapText="1"/>
    </xf>
    <xf numFmtId="0" fontId="64" fillId="0" borderId="0" xfId="0" applyFont="1" applyAlignment="1">
      <alignment vertical="top" wrapText="1"/>
    </xf>
    <xf numFmtId="180" fontId="64" fillId="0" borderId="0" xfId="0" applyNumberFormat="1" applyFont="1" applyAlignment="1">
      <alignment horizontal="right" vertical="top"/>
    </xf>
    <xf numFmtId="37" fontId="64" fillId="0" borderId="0" xfId="0" applyNumberFormat="1" applyFont="1" applyAlignment="1">
      <alignment horizontal="right" vertical="top"/>
    </xf>
    <xf numFmtId="181" fontId="64" fillId="0" borderId="0" xfId="0" applyNumberFormat="1" applyFont="1" applyAlignment="1">
      <alignment horizontal="right" vertical="top"/>
    </xf>
    <xf numFmtId="169" fontId="0" fillId="0" borderId="0" xfId="3" applyNumberFormat="1" applyFont="1"/>
    <xf numFmtId="0" fontId="64" fillId="0" borderId="0" xfId="0" applyFont="1" applyAlignment="1">
      <alignment vertical="center" wrapText="1"/>
    </xf>
    <xf numFmtId="182" fontId="0" fillId="0" borderId="0" xfId="166" applyNumberFormat="1" applyFont="1"/>
    <xf numFmtId="165" fontId="3" fillId="2" borderId="0" xfId="0" applyNumberFormat="1" applyFont="1" applyFill="1"/>
    <xf numFmtId="167" fontId="3" fillId="2" borderId="0" xfId="0" applyNumberFormat="1" applyFont="1" applyFill="1"/>
    <xf numFmtId="165" fontId="65" fillId="2" borderId="0" xfId="0" applyNumberFormat="1" applyFont="1" applyFill="1"/>
    <xf numFmtId="165" fontId="66" fillId="2" borderId="0" xfId="0" applyNumberFormat="1" applyFont="1" applyFill="1" applyAlignment="1">
      <alignment horizontal="right"/>
    </xf>
    <xf numFmtId="165" fontId="1" fillId="2" borderId="0" xfId="0" applyNumberFormat="1" applyFont="1" applyFill="1" applyAlignment="1">
      <alignment horizontal="right"/>
    </xf>
    <xf numFmtId="165" fontId="7" fillId="2" borderId="0" xfId="0" applyNumberFormat="1" applyFont="1" applyFill="1" applyAlignment="1">
      <alignment horizontal="right"/>
    </xf>
    <xf numFmtId="179" fontId="3" fillId="2" borderId="3" xfId="0" applyNumberFormat="1" applyFont="1" applyFill="1" applyBorder="1"/>
    <xf numFmtId="183" fontId="3" fillId="2" borderId="3" xfId="0" applyNumberFormat="1" applyFont="1" applyFill="1" applyBorder="1"/>
    <xf numFmtId="165" fontId="1" fillId="2" borderId="0" xfId="0" applyNumberFormat="1" applyFont="1" applyFill="1" applyAlignment="1">
      <alignment horizontal="left"/>
    </xf>
    <xf numFmtId="179" fontId="8" fillId="4" borderId="0" xfId="0" applyNumberFormat="1" applyFont="1" applyFill="1"/>
    <xf numFmtId="165" fontId="1" fillId="2" borderId="0" xfId="0" applyNumberFormat="1" applyFont="1" applyFill="1" applyAlignment="1">
      <alignment horizontal="left" indent="1"/>
    </xf>
    <xf numFmtId="168" fontId="1" fillId="2" borderId="0" xfId="0" applyNumberFormat="1" applyFont="1" applyFill="1"/>
    <xf numFmtId="168" fontId="1" fillId="3" borderId="0" xfId="2" applyNumberFormat="1" applyFont="1" applyFill="1"/>
    <xf numFmtId="10" fontId="1" fillId="2" borderId="0" xfId="2" applyNumberFormat="1" applyFont="1" applyFill="1"/>
    <xf numFmtId="183" fontId="1" fillId="2" borderId="0" xfId="0" applyNumberFormat="1" applyFont="1" applyFill="1"/>
    <xf numFmtId="165" fontId="5" fillId="2" borderId="0" xfId="0" applyNumberFormat="1" applyFont="1" applyFill="1" applyAlignment="1">
      <alignment wrapText="1"/>
    </xf>
    <xf numFmtId="43" fontId="1" fillId="2" borderId="0" xfId="3" applyFont="1" applyFill="1"/>
    <xf numFmtId="0" fontId="1" fillId="2" borderId="0" xfId="3" applyNumberFormat="1" applyFont="1" applyFill="1" applyAlignment="1">
      <alignment horizontal="center"/>
    </xf>
    <xf numFmtId="0" fontId="8" fillId="4" borderId="0" xfId="3" applyNumberFormat="1" applyFont="1" applyFill="1" applyAlignment="1">
      <alignment horizontal="center"/>
    </xf>
    <xf numFmtId="165" fontId="1" fillId="2" borderId="19" xfId="0" applyNumberFormat="1" applyFont="1" applyFill="1" applyBorder="1"/>
    <xf numFmtId="165" fontId="1" fillId="2" borderId="4" xfId="0" applyNumberFormat="1" applyFont="1" applyFill="1" applyBorder="1"/>
    <xf numFmtId="165" fontId="1" fillId="2" borderId="2" xfId="0" applyNumberFormat="1" applyFont="1" applyFill="1" applyBorder="1"/>
    <xf numFmtId="10" fontId="1" fillId="2" borderId="21" xfId="2" applyNumberFormat="1" applyFont="1" applyFill="1" applyBorder="1"/>
    <xf numFmtId="10" fontId="1" fillId="2" borderId="22" xfId="2" applyNumberFormat="1" applyFont="1" applyFill="1" applyBorder="1"/>
    <xf numFmtId="10" fontId="1" fillId="2" borderId="23" xfId="2" applyNumberFormat="1" applyFont="1" applyFill="1" applyBorder="1"/>
    <xf numFmtId="167" fontId="3" fillId="3" borderId="19" xfId="0" applyNumberFormat="1" applyFont="1" applyFill="1" applyBorder="1"/>
    <xf numFmtId="167" fontId="5" fillId="3" borderId="19" xfId="0" applyNumberFormat="1" applyFont="1" applyFill="1" applyBorder="1"/>
    <xf numFmtId="184" fontId="1" fillId="2" borderId="0" xfId="0" applyNumberFormat="1" applyFont="1" applyFill="1"/>
    <xf numFmtId="169" fontId="64" fillId="0" borderId="0" xfId="3" applyNumberFormat="1" applyFont="1" applyAlignment="1">
      <alignment vertical="top" wrapText="1"/>
    </xf>
    <xf numFmtId="169" fontId="0" fillId="0" borderId="0" xfId="3" applyNumberFormat="1" applyFont="1" applyAlignment="1">
      <alignment vertical="top"/>
    </xf>
    <xf numFmtId="165" fontId="3" fillId="2" borderId="0" xfId="0" applyNumberFormat="1" applyFont="1" applyFill="1" applyAlignment="1">
      <alignment horizontal="left"/>
    </xf>
    <xf numFmtId="165" fontId="3" fillId="2" borderId="0" xfId="0" applyNumberFormat="1" applyFont="1" applyFill="1" applyAlignment="1">
      <alignment horizontal="left" indent="1"/>
    </xf>
    <xf numFmtId="167" fontId="3" fillId="3" borderId="0" xfId="0" applyNumberFormat="1" applyFont="1" applyFill="1"/>
    <xf numFmtId="169" fontId="63" fillId="0" borderId="0" xfId="3" applyNumberFormat="1" applyFont="1" applyAlignment="1">
      <alignment vertical="top" wrapText="1"/>
    </xf>
    <xf numFmtId="37" fontId="63" fillId="0" borderId="0" xfId="0" applyNumberFormat="1" applyFont="1" applyAlignment="1">
      <alignment horizontal="right" vertical="top"/>
    </xf>
    <xf numFmtId="169" fontId="67" fillId="0" borderId="0" xfId="3" applyNumberFormat="1" applyFont="1"/>
    <xf numFmtId="165" fontId="68" fillId="2" borderId="0" xfId="0" applyNumberFormat="1" applyFont="1" applyFill="1"/>
    <xf numFmtId="165" fontId="69" fillId="2" borderId="0" xfId="0" applyNumberFormat="1" applyFont="1" applyFill="1"/>
    <xf numFmtId="165" fontId="1" fillId="0" borderId="0" xfId="0" applyNumberFormat="1" applyFont="1" applyAlignment="1">
      <alignment horizontal="left"/>
    </xf>
    <xf numFmtId="167" fontId="1" fillId="2" borderId="2" xfId="0" applyNumberFormat="1" applyFont="1" applyFill="1" applyBorder="1"/>
    <xf numFmtId="167" fontId="1" fillId="3" borderId="2" xfId="0" applyNumberFormat="1" applyFont="1" applyFill="1" applyBorder="1"/>
    <xf numFmtId="165" fontId="1" fillId="2" borderId="24" xfId="0" applyNumberFormat="1" applyFont="1" applyFill="1" applyBorder="1" applyAlignment="1">
      <alignment horizontal="left"/>
    </xf>
    <xf numFmtId="167" fontId="1" fillId="2" borderId="24" xfId="0" applyNumberFormat="1" applyFont="1" applyFill="1" applyBorder="1"/>
    <xf numFmtId="165" fontId="1" fillId="2" borderId="24" xfId="0" applyNumberFormat="1" applyFont="1" applyFill="1" applyBorder="1"/>
    <xf numFmtId="167" fontId="1" fillId="3" borderId="24" xfId="0" applyNumberFormat="1" applyFont="1" applyFill="1" applyBorder="1"/>
    <xf numFmtId="0" fontId="70" fillId="0" borderId="0" xfId="0" applyFont="1" applyAlignment="1">
      <alignment vertical="top" wrapText="1"/>
    </xf>
    <xf numFmtId="0" fontId="71" fillId="0" borderId="0" xfId="0" applyFont="1" applyAlignment="1">
      <alignment vertical="top" wrapText="1"/>
    </xf>
    <xf numFmtId="0" fontId="72" fillId="0" borderId="0" xfId="0" applyFont="1" applyAlignment="1">
      <alignment vertical="top" wrapText="1"/>
    </xf>
    <xf numFmtId="37" fontId="64" fillId="47" borderId="0" xfId="0" applyNumberFormat="1" applyFont="1" applyFill="1" applyAlignment="1">
      <alignment horizontal="right" vertical="top"/>
    </xf>
    <xf numFmtId="169" fontId="0" fillId="47" borderId="0" xfId="3" applyNumberFormat="1" applyFont="1" applyFill="1"/>
    <xf numFmtId="0" fontId="0" fillId="47" borderId="0" xfId="0" applyFill="1"/>
    <xf numFmtId="169" fontId="0" fillId="0" borderId="0" xfId="0" applyNumberFormat="1"/>
    <xf numFmtId="168" fontId="73" fillId="2" borderId="0" xfId="2" applyNumberFormat="1" applyFont="1" applyFill="1"/>
    <xf numFmtId="10" fontId="3" fillId="2" borderId="0" xfId="2" applyNumberFormat="1" applyFont="1" applyFill="1"/>
    <xf numFmtId="165" fontId="73" fillId="2" borderId="0" xfId="0" applyNumberFormat="1" applyFont="1" applyFill="1" applyAlignment="1">
      <alignment horizontal="left" indent="1"/>
    </xf>
    <xf numFmtId="0" fontId="0" fillId="2" borderId="0" xfId="0" applyFill="1"/>
    <xf numFmtId="168" fontId="73" fillId="3" borderId="0" xfId="2" applyNumberFormat="1" applyFont="1" applyFill="1"/>
    <xf numFmtId="165" fontId="1" fillId="0" borderId="0" xfId="0" applyNumberFormat="1" applyFont="1" applyAlignment="1">
      <alignment horizontal="left" indent="1"/>
    </xf>
    <xf numFmtId="167" fontId="73" fillId="2" borderId="0" xfId="0" applyNumberFormat="1" applyFont="1" applyFill="1"/>
    <xf numFmtId="165" fontId="73" fillId="0" borderId="0" xfId="0" applyNumberFormat="1" applyFont="1" applyAlignment="1">
      <alignment horizontal="left" indent="1"/>
    </xf>
    <xf numFmtId="185" fontId="67" fillId="2" borderId="0" xfId="0" applyNumberFormat="1" applyFont="1" applyFill="1"/>
    <xf numFmtId="185" fontId="3" fillId="3" borderId="0" xfId="0" applyNumberFormat="1" applyFont="1" applyFill="1"/>
    <xf numFmtId="169" fontId="1" fillId="2" borderId="19" xfId="3" applyNumberFormat="1" applyFont="1" applyFill="1" applyBorder="1"/>
    <xf numFmtId="169" fontId="1" fillId="3" borderId="19" xfId="3" applyNumberFormat="1" applyFont="1" applyFill="1" applyBorder="1"/>
    <xf numFmtId="167" fontId="1" fillId="2" borderId="25" xfId="0" applyNumberFormat="1" applyFont="1" applyFill="1" applyBorder="1"/>
    <xf numFmtId="165" fontId="1" fillId="2" borderId="25" xfId="0" applyNumberFormat="1" applyFont="1" applyFill="1" applyBorder="1"/>
    <xf numFmtId="167" fontId="1" fillId="3" borderId="25" xfId="0" applyNumberFormat="1" applyFont="1" applyFill="1" applyBorder="1"/>
    <xf numFmtId="165" fontId="5" fillId="3" borderId="0" xfId="0" applyNumberFormat="1" applyFont="1" applyFill="1" applyAlignment="1">
      <alignment horizontal="right" wrapText="1"/>
    </xf>
    <xf numFmtId="165" fontId="1" fillId="2" borderId="0" xfId="0" applyNumberFormat="1" applyFont="1" applyFill="1" applyAlignment="1">
      <alignment horizontal="left" indent="2"/>
    </xf>
    <xf numFmtId="183" fontId="3" fillId="2" borderId="0" xfId="0" applyNumberFormat="1" applyFont="1" applyFill="1"/>
    <xf numFmtId="186" fontId="3" fillId="2" borderId="0" xfId="3" applyNumberFormat="1" applyFont="1" applyFill="1"/>
    <xf numFmtId="186" fontId="3" fillId="3" borderId="0" xfId="3" applyNumberFormat="1" applyFont="1" applyFill="1"/>
    <xf numFmtId="183" fontId="1" fillId="3" borderId="0" xfId="0" applyNumberFormat="1" applyFont="1" applyFill="1"/>
    <xf numFmtId="183" fontId="1" fillId="2" borderId="0" xfId="3" applyNumberFormat="1" applyFont="1" applyFill="1"/>
    <xf numFmtId="167" fontId="1" fillId="2" borderId="19" xfId="0" applyNumberFormat="1" applyFont="1" applyFill="1" applyBorder="1"/>
    <xf numFmtId="169" fontId="67" fillId="0" borderId="0" xfId="0" applyNumberFormat="1" applyFont="1"/>
    <xf numFmtId="167" fontId="5" fillId="3" borderId="0" xfId="0" applyNumberFormat="1" applyFont="1" applyFill="1" applyAlignment="1">
      <alignment horizontal="right" wrapText="1"/>
    </xf>
    <xf numFmtId="0" fontId="78" fillId="48" borderId="0" xfId="0" applyFont="1" applyFill="1" applyAlignment="1">
      <alignment horizontal="center"/>
    </xf>
    <xf numFmtId="0" fontId="75" fillId="2" borderId="0" xfId="0" applyFont="1" applyFill="1" applyAlignment="1">
      <alignment vertical="top" wrapText="1"/>
    </xf>
    <xf numFmtId="180" fontId="64" fillId="2" borderId="0" xfId="0" applyNumberFormat="1" applyFont="1" applyFill="1" applyAlignment="1">
      <alignment horizontal="right" vertical="top"/>
    </xf>
    <xf numFmtId="0" fontId="64" fillId="2" borderId="0" xfId="0" applyFont="1" applyFill="1" applyAlignment="1">
      <alignment vertical="top" wrapText="1"/>
    </xf>
    <xf numFmtId="37" fontId="64" fillId="2" borderId="0" xfId="0" applyNumberFormat="1" applyFont="1" applyFill="1" applyAlignment="1">
      <alignment horizontal="right" vertical="top"/>
    </xf>
    <xf numFmtId="0" fontId="74" fillId="2" borderId="0" xfId="0" applyFont="1" applyFill="1" applyAlignment="1">
      <alignment vertical="top" wrapText="1"/>
    </xf>
    <xf numFmtId="37" fontId="63" fillId="2" borderId="0" xfId="0" applyNumberFormat="1" applyFont="1" applyFill="1" applyAlignment="1">
      <alignment horizontal="right" vertical="top"/>
    </xf>
    <xf numFmtId="37" fontId="0" fillId="2" borderId="0" xfId="0" applyNumberFormat="1" applyFill="1"/>
    <xf numFmtId="37" fontId="64" fillId="2" borderId="0" xfId="0" applyNumberFormat="1" applyFont="1" applyFill="1" applyAlignment="1">
      <alignment vertical="top" wrapText="1"/>
    </xf>
    <xf numFmtId="180" fontId="63" fillId="2" borderId="0" xfId="0" applyNumberFormat="1" applyFont="1" applyFill="1" applyAlignment="1">
      <alignment horizontal="right" vertical="top"/>
    </xf>
    <xf numFmtId="0" fontId="63" fillId="2" borderId="0" xfId="0" applyFont="1" applyFill="1" applyAlignment="1">
      <alignment vertical="top" wrapText="1"/>
    </xf>
    <xf numFmtId="0" fontId="76" fillId="2" borderId="0" xfId="0" applyFont="1" applyFill="1"/>
    <xf numFmtId="169" fontId="0" fillId="2" borderId="0" xfId="3" applyNumberFormat="1" applyFont="1" applyFill="1"/>
    <xf numFmtId="0" fontId="77" fillId="2" borderId="0" xfId="0" applyFont="1" applyFill="1"/>
    <xf numFmtId="0" fontId="67" fillId="2" borderId="0" xfId="0" applyFont="1" applyFill="1"/>
    <xf numFmtId="0" fontId="60" fillId="2" borderId="0" xfId="165" applyFill="1"/>
    <xf numFmtId="14" fontId="79" fillId="2" borderId="0" xfId="0" applyNumberFormat="1" applyFont="1" applyFill="1"/>
    <xf numFmtId="9" fontId="0" fillId="2" borderId="0" xfId="0" applyNumberFormat="1" applyFill="1"/>
    <xf numFmtId="10" fontId="0" fillId="2" borderId="0" xfId="0" applyNumberFormat="1" applyFill="1"/>
    <xf numFmtId="2" fontId="0" fillId="2" borderId="0" xfId="0" applyNumberFormat="1" applyFill="1"/>
    <xf numFmtId="165" fontId="41" fillId="2" borderId="19" xfId="0" applyNumberFormat="1" applyFont="1" applyFill="1" applyBorder="1"/>
    <xf numFmtId="9" fontId="1" fillId="2" borderId="0" xfId="2" applyFont="1" applyFill="1"/>
    <xf numFmtId="165" fontId="62" fillId="2" borderId="0" xfId="0" applyNumberFormat="1" applyFont="1" applyFill="1"/>
    <xf numFmtId="165" fontId="62" fillId="2" borderId="19" xfId="0" applyNumberFormat="1" applyFont="1" applyFill="1" applyBorder="1"/>
    <xf numFmtId="167" fontId="62" fillId="2" borderId="0" xfId="0" applyNumberFormat="1" applyFont="1" applyFill="1"/>
    <xf numFmtId="167" fontId="5" fillId="4" borderId="0" xfId="0" applyNumberFormat="1" applyFont="1" applyFill="1"/>
    <xf numFmtId="167" fontId="9" fillId="4" borderId="0" xfId="0" applyNumberFormat="1" applyFont="1" applyFill="1"/>
    <xf numFmtId="167" fontId="3" fillId="2" borderId="0" xfId="0" applyNumberFormat="1" applyFont="1" applyFill="1" applyAlignment="1">
      <alignment horizontal="left" indent="1"/>
    </xf>
    <xf numFmtId="165" fontId="1" fillId="2" borderId="26" xfId="0" applyNumberFormat="1" applyFont="1" applyFill="1" applyBorder="1"/>
    <xf numFmtId="165" fontId="1" fillId="2" borderId="27" xfId="0" applyNumberFormat="1" applyFont="1" applyFill="1" applyBorder="1"/>
    <xf numFmtId="165" fontId="1" fillId="2" borderId="28" xfId="0" applyNumberFormat="1" applyFont="1" applyFill="1" applyBorder="1"/>
    <xf numFmtId="168" fontId="1" fillId="2" borderId="26" xfId="2" applyNumberFormat="1" applyFont="1" applyFill="1" applyBorder="1"/>
    <xf numFmtId="168" fontId="1" fillId="2" borderId="27" xfId="2" applyNumberFormat="1" applyFont="1" applyFill="1" applyBorder="1"/>
    <xf numFmtId="168" fontId="1" fillId="2" borderId="28" xfId="2" applyNumberFormat="1" applyFont="1" applyFill="1" applyBorder="1"/>
    <xf numFmtId="167" fontId="62" fillId="4" borderId="0" xfId="0" applyNumberFormat="1" applyFont="1" applyFill="1"/>
    <xf numFmtId="10" fontId="1" fillId="2" borderId="26" xfId="2" applyNumberFormat="1" applyFont="1" applyFill="1" applyBorder="1"/>
    <xf numFmtId="10" fontId="1" fillId="2" borderId="27" xfId="2" applyNumberFormat="1" applyFont="1" applyFill="1" applyBorder="1"/>
    <xf numFmtId="10" fontId="1" fillId="2" borderId="28" xfId="2" applyNumberFormat="1" applyFont="1" applyFill="1" applyBorder="1"/>
    <xf numFmtId="10" fontId="1" fillId="2" borderId="0" xfId="2" applyNumberFormat="1" applyFont="1" applyFill="1" applyBorder="1"/>
    <xf numFmtId="165" fontId="73" fillId="2" borderId="0" xfId="0" applyNumberFormat="1" applyFont="1" applyFill="1"/>
    <xf numFmtId="167" fontId="80" fillId="2" borderId="0" xfId="0" applyNumberFormat="1" applyFont="1" applyFill="1"/>
    <xf numFmtId="187" fontId="73" fillId="3" borderId="0" xfId="3" applyNumberFormat="1" applyFont="1" applyFill="1"/>
    <xf numFmtId="0" fontId="81" fillId="0" borderId="0" xfId="0" applyFont="1" applyAlignment="1">
      <alignment vertical="top" wrapText="1"/>
    </xf>
    <xf numFmtId="165" fontId="82" fillId="2" borderId="0" xfId="0" applyNumberFormat="1" applyFont="1" applyFill="1"/>
    <xf numFmtId="165" fontId="83" fillId="2" borderId="0" xfId="0" applyNumberFormat="1" applyFont="1" applyFill="1" applyAlignment="1">
      <alignment horizontal="left"/>
    </xf>
    <xf numFmtId="165" fontId="83" fillId="2" borderId="0" xfId="0" applyNumberFormat="1" applyFont="1" applyFill="1"/>
    <xf numFmtId="0" fontId="84" fillId="0" borderId="0" xfId="0" applyFont="1" applyAlignment="1">
      <alignment vertical="top" wrapText="1"/>
    </xf>
    <xf numFmtId="167" fontId="3" fillId="49" borderId="0" xfId="0" applyNumberFormat="1" applyFont="1" applyFill="1"/>
    <xf numFmtId="167" fontId="1" fillId="49" borderId="0" xfId="0" applyNumberFormat="1" applyFont="1" applyFill="1"/>
    <xf numFmtId="165" fontId="83" fillId="2" borderId="3" xfId="0" applyNumberFormat="1" applyFont="1" applyFill="1" applyBorder="1"/>
    <xf numFmtId="167" fontId="83" fillId="2" borderId="3" xfId="0" applyNumberFormat="1" applyFont="1" applyFill="1" applyBorder="1"/>
    <xf numFmtId="167" fontId="1" fillId="2" borderId="0" xfId="0" applyNumberFormat="1" applyFont="1" applyFill="1" applyAlignment="1">
      <alignment vertical="center"/>
    </xf>
    <xf numFmtId="165" fontId="1" fillId="2" borderId="0" xfId="0" applyNumberFormat="1" applyFont="1" applyFill="1" applyAlignment="1">
      <alignment horizontal="left" vertical="center" indent="1"/>
    </xf>
    <xf numFmtId="165" fontId="83" fillId="2" borderId="3" xfId="0" applyNumberFormat="1" applyFont="1" applyFill="1" applyBorder="1" applyAlignment="1">
      <alignment vertical="center"/>
    </xf>
    <xf numFmtId="167" fontId="83" fillId="2" borderId="3" xfId="0" applyNumberFormat="1" applyFont="1" applyFill="1" applyBorder="1" applyAlignment="1">
      <alignment vertical="center"/>
    </xf>
    <xf numFmtId="165" fontId="1" fillId="2" borderId="0" xfId="0" applyNumberFormat="1" applyFont="1" applyFill="1" applyAlignment="1">
      <alignment vertical="center"/>
    </xf>
    <xf numFmtId="0" fontId="85" fillId="2" borderId="0" xfId="0" applyFont="1" applyFill="1"/>
    <xf numFmtId="188" fontId="5" fillId="2" borderId="0" xfId="3" applyNumberFormat="1" applyFont="1" applyFill="1" applyBorder="1"/>
    <xf numFmtId="188" fontId="5" fillId="2" borderId="19" xfId="3" applyNumberFormat="1" applyFont="1" applyFill="1" applyBorder="1"/>
    <xf numFmtId="188" fontId="8" fillId="4" borderId="0" xfId="3" applyNumberFormat="1" applyFont="1" applyFill="1"/>
    <xf numFmtId="49" fontId="8" fillId="4" borderId="0" xfId="0" applyNumberFormat="1" applyFont="1" applyFill="1" applyAlignment="1">
      <alignment vertical="center"/>
    </xf>
    <xf numFmtId="166" fontId="1" fillId="2" borderId="0" xfId="0" applyNumberFormat="1" applyFont="1" applyFill="1" applyAlignment="1">
      <alignment vertical="center"/>
    </xf>
    <xf numFmtId="165" fontId="73" fillId="2" borderId="0" xfId="0" applyNumberFormat="1" applyFont="1" applyFill="1" applyAlignment="1">
      <alignment horizontal="right"/>
    </xf>
    <xf numFmtId="166" fontId="68" fillId="2" borderId="0" xfId="0" applyNumberFormat="1" applyFont="1" applyFill="1"/>
    <xf numFmtId="166" fontId="86" fillId="2" borderId="0" xfId="0" applyNumberFormat="1" applyFont="1" applyFill="1"/>
    <xf numFmtId="10" fontId="0" fillId="2" borderId="0" xfId="2" applyNumberFormat="1" applyFont="1" applyFill="1"/>
    <xf numFmtId="10" fontId="8" fillId="4" borderId="0" xfId="2" applyNumberFormat="1" applyFont="1" applyFill="1"/>
    <xf numFmtId="165" fontId="8" fillId="2" borderId="0" xfId="0" applyNumberFormat="1" applyFont="1" applyFill="1"/>
    <xf numFmtId="188" fontId="1" fillId="2" borderId="0" xfId="3" applyNumberFormat="1" applyFont="1" applyFill="1"/>
    <xf numFmtId="43" fontId="7" fillId="2" borderId="0" xfId="3" applyFont="1" applyFill="1"/>
    <xf numFmtId="165" fontId="1" fillId="2" borderId="0" xfId="0" quotePrefix="1" applyNumberFormat="1" applyFont="1" applyFill="1" applyAlignment="1">
      <alignment horizontal="left" indent="1"/>
    </xf>
    <xf numFmtId="182" fontId="5" fillId="2" borderId="0" xfId="0" applyNumberFormat="1" applyFont="1" applyFill="1"/>
    <xf numFmtId="165" fontId="5" fillId="2" borderId="24" xfId="0" applyNumberFormat="1" applyFont="1" applyFill="1" applyBorder="1"/>
    <xf numFmtId="165" fontId="87" fillId="2" borderId="0" xfId="0" applyNumberFormat="1" applyFont="1" applyFill="1" applyAlignment="1">
      <alignment horizontal="left" indent="1"/>
    </xf>
    <xf numFmtId="0" fontId="74" fillId="0" borderId="0" xfId="0" applyFont="1" applyAlignment="1">
      <alignment horizontal="center" vertical="center" wrapText="1"/>
    </xf>
    <xf numFmtId="0" fontId="88" fillId="2" borderId="0" xfId="0" applyFont="1" applyFill="1" applyAlignment="1">
      <alignment vertical="top" wrapText="1"/>
    </xf>
    <xf numFmtId="0" fontId="84" fillId="2" borderId="0" xfId="0" applyFont="1" applyFill="1" applyAlignment="1">
      <alignment vertical="top" wrapText="1"/>
    </xf>
    <xf numFmtId="0" fontId="88" fillId="3" borderId="0" xfId="0" applyFont="1" applyFill="1" applyAlignment="1">
      <alignment vertical="top" wrapText="1"/>
    </xf>
    <xf numFmtId="0" fontId="64" fillId="3" borderId="0" xfId="0" applyFont="1" applyFill="1" applyAlignment="1">
      <alignment vertical="top" wrapText="1"/>
    </xf>
    <xf numFmtId="180" fontId="64" fillId="3" borderId="0" xfId="0" applyNumberFormat="1" applyFont="1" applyFill="1" applyAlignment="1">
      <alignment horizontal="right" vertical="top"/>
    </xf>
    <xf numFmtId="37" fontId="64" fillId="3" borderId="0" xfId="0" applyNumberFormat="1" applyFont="1" applyFill="1" applyAlignment="1">
      <alignment horizontal="right" vertical="top"/>
    </xf>
    <xf numFmtId="37" fontId="63" fillId="3" borderId="0" xfId="0" applyNumberFormat="1" applyFont="1" applyFill="1" applyAlignment="1">
      <alignment horizontal="right" vertical="top"/>
    </xf>
    <xf numFmtId="180" fontId="0" fillId="3" borderId="0" xfId="0" applyNumberFormat="1" applyFill="1"/>
    <xf numFmtId="37" fontId="0" fillId="3" borderId="0" xfId="0" applyNumberFormat="1" applyFill="1"/>
    <xf numFmtId="0" fontId="0" fillId="3" borderId="0" xfId="0" applyFill="1"/>
    <xf numFmtId="0" fontId="84" fillId="50" borderId="0" xfId="0" applyFont="1" applyFill="1" applyAlignment="1">
      <alignment vertical="top" wrapText="1"/>
    </xf>
    <xf numFmtId="0" fontId="64" fillId="50" borderId="0" xfId="0" applyFont="1" applyFill="1" applyAlignment="1">
      <alignment vertical="top" wrapText="1"/>
    </xf>
    <xf numFmtId="37" fontId="64" fillId="50" borderId="0" xfId="0" applyNumberFormat="1" applyFont="1" applyFill="1" applyAlignment="1">
      <alignment horizontal="right" vertical="top"/>
    </xf>
    <xf numFmtId="0" fontId="63" fillId="50" borderId="0" xfId="0" applyFont="1" applyFill="1" applyAlignment="1">
      <alignment vertical="top" wrapText="1"/>
    </xf>
    <xf numFmtId="0" fontId="0" fillId="50" borderId="0" xfId="0" applyFill="1"/>
    <xf numFmtId="180" fontId="84" fillId="2" borderId="0" xfId="0" applyNumberFormat="1" applyFont="1" applyFill="1" applyAlignment="1">
      <alignment horizontal="right" vertical="top"/>
    </xf>
    <xf numFmtId="0" fontId="89" fillId="2" borderId="0" xfId="0" applyFont="1" applyFill="1"/>
    <xf numFmtId="180" fontId="84" fillId="50" borderId="0" xfId="0" applyNumberFormat="1" applyFont="1" applyFill="1" applyAlignment="1">
      <alignment horizontal="right" vertical="top"/>
    </xf>
    <xf numFmtId="37" fontId="84" fillId="50" borderId="0" xfId="0" applyNumberFormat="1" applyFont="1" applyFill="1" applyAlignment="1">
      <alignment horizontal="right" vertical="top"/>
    </xf>
    <xf numFmtId="0" fontId="89" fillId="50" borderId="0" xfId="0" applyFont="1" applyFill="1"/>
    <xf numFmtId="37" fontId="63" fillId="50" borderId="0" xfId="0" applyNumberFormat="1" applyFont="1" applyFill="1" applyAlignment="1">
      <alignment horizontal="right" vertical="top"/>
    </xf>
    <xf numFmtId="0" fontId="67" fillId="50" borderId="0" xfId="0" applyFont="1" applyFill="1"/>
    <xf numFmtId="180" fontId="63" fillId="50" borderId="0" xfId="0" applyNumberFormat="1" applyFont="1" applyFill="1" applyAlignment="1">
      <alignment horizontal="right" vertical="top"/>
    </xf>
    <xf numFmtId="37" fontId="0" fillId="50" borderId="0" xfId="0" applyNumberFormat="1" applyFill="1"/>
    <xf numFmtId="0" fontId="90" fillId="50" borderId="0" xfId="0" applyFont="1" applyFill="1" applyAlignment="1">
      <alignment vertical="top" wrapText="1"/>
    </xf>
    <xf numFmtId="37" fontId="90" fillId="50" borderId="0" xfId="0" applyNumberFormat="1" applyFont="1" applyFill="1" applyAlignment="1">
      <alignment horizontal="right" vertical="top"/>
    </xf>
    <xf numFmtId="0" fontId="91" fillId="50" borderId="0" xfId="0" applyFont="1" applyFill="1"/>
    <xf numFmtId="37" fontId="67" fillId="50" borderId="0" xfId="0" applyNumberFormat="1" applyFont="1" applyFill="1"/>
    <xf numFmtId="0" fontId="63" fillId="50" borderId="0" xfId="0" applyFont="1" applyFill="1" applyAlignment="1">
      <alignment horizontal="center" vertical="center" wrapText="1"/>
    </xf>
    <xf numFmtId="0" fontId="92" fillId="0" borderId="0" xfId="0" applyFont="1" applyAlignment="1">
      <alignment vertical="center"/>
    </xf>
    <xf numFmtId="3" fontId="92" fillId="0" borderId="0" xfId="0" applyNumberFormat="1" applyFont="1" applyAlignment="1">
      <alignment horizontal="right" vertical="center"/>
    </xf>
    <xf numFmtId="0" fontId="92" fillId="0" borderId="0" xfId="0" applyFont="1" applyAlignment="1">
      <alignment horizontal="right" vertical="center"/>
    </xf>
    <xf numFmtId="0" fontId="94" fillId="54" borderId="33" xfId="0" applyFont="1" applyFill="1" applyBorder="1" applyAlignment="1">
      <alignment horizontal="left" vertical="center" wrapText="1"/>
    </xf>
    <xf numFmtId="0" fontId="93" fillId="52" borderId="30" xfId="0" applyFont="1" applyFill="1" applyBorder="1" applyAlignment="1">
      <alignment horizontal="center" vertical="center" wrapText="1"/>
    </xf>
    <xf numFmtId="188" fontId="94" fillId="54" borderId="0" xfId="3" applyNumberFormat="1" applyFont="1" applyFill="1" applyAlignment="1">
      <alignment horizontal="left" vertical="center" wrapText="1"/>
    </xf>
    <xf numFmtId="188" fontId="94" fillId="51" borderId="0" xfId="3" applyNumberFormat="1" applyFont="1" applyFill="1" applyAlignment="1">
      <alignment horizontal="left" vertical="center" wrapText="1"/>
    </xf>
    <xf numFmtId="188" fontId="94" fillId="54" borderId="0" xfId="3" applyNumberFormat="1" applyFont="1" applyFill="1" applyAlignment="1">
      <alignment horizontal="right" vertical="center" indent="2"/>
    </xf>
    <xf numFmtId="188" fontId="0" fillId="0" borderId="0" xfId="3" applyNumberFormat="1" applyFont="1"/>
    <xf numFmtId="188" fontId="94" fillId="53" borderId="0" xfId="3" applyNumberFormat="1" applyFont="1" applyFill="1" applyAlignment="1">
      <alignment horizontal="right" vertical="center" indent="2"/>
    </xf>
    <xf numFmtId="188" fontId="94" fillId="51" borderId="0" xfId="3" applyNumberFormat="1" applyFont="1" applyFill="1" applyAlignment="1">
      <alignment horizontal="right" vertical="center" indent="2"/>
    </xf>
    <xf numFmtId="188" fontId="94" fillId="53" borderId="35" xfId="3" applyNumberFormat="1" applyFont="1" applyFill="1" applyBorder="1" applyAlignment="1">
      <alignment horizontal="right" vertical="center" indent="2"/>
    </xf>
    <xf numFmtId="188" fontId="94" fillId="53" borderId="38" xfId="3" applyNumberFormat="1" applyFont="1" applyFill="1" applyBorder="1" applyAlignment="1">
      <alignment horizontal="right" vertical="center" indent="2"/>
    </xf>
    <xf numFmtId="188" fontId="94" fillId="53" borderId="38" xfId="3" applyNumberFormat="1" applyFont="1" applyFill="1" applyBorder="1" applyAlignment="1">
      <alignment horizontal="left" vertical="center" wrapText="1"/>
    </xf>
    <xf numFmtId="188" fontId="94" fillId="54" borderId="38" xfId="3" applyNumberFormat="1" applyFont="1" applyFill="1" applyBorder="1" applyAlignment="1">
      <alignment horizontal="left" vertical="center" wrapText="1"/>
    </xf>
    <xf numFmtId="188" fontId="94" fillId="51" borderId="38" xfId="3" applyNumberFormat="1" applyFont="1" applyFill="1" applyBorder="1" applyAlignment="1">
      <alignment horizontal="left" vertical="center" wrapText="1"/>
    </xf>
    <xf numFmtId="188" fontId="94" fillId="54" borderId="38" xfId="3" applyNumberFormat="1" applyFont="1" applyFill="1" applyBorder="1" applyAlignment="1">
      <alignment horizontal="right" vertical="center" indent="2"/>
    </xf>
    <xf numFmtId="188" fontId="94" fillId="51" borderId="38" xfId="3" applyNumberFormat="1" applyFont="1" applyFill="1" applyBorder="1" applyAlignment="1">
      <alignment horizontal="right" vertical="center" indent="2"/>
    </xf>
    <xf numFmtId="188" fontId="94" fillId="53" borderId="39" xfId="3" applyNumberFormat="1" applyFont="1" applyFill="1" applyBorder="1" applyAlignment="1">
      <alignment horizontal="left" vertical="center" wrapText="1"/>
    </xf>
    <xf numFmtId="188" fontId="0" fillId="0" borderId="38" xfId="3" applyNumberFormat="1" applyFont="1" applyBorder="1"/>
    <xf numFmtId="188" fontId="94" fillId="51" borderId="38" xfId="3" applyNumberFormat="1" applyFont="1" applyFill="1" applyBorder="1" applyAlignment="1">
      <alignment horizontal="right" vertical="center"/>
    </xf>
    <xf numFmtId="188" fontId="94" fillId="54" borderId="38" xfId="3" applyNumberFormat="1" applyFont="1" applyFill="1" applyBorder="1" applyAlignment="1">
      <alignment horizontal="right" vertical="center"/>
    </xf>
    <xf numFmtId="188" fontId="94" fillId="53" borderId="38" xfId="3" applyNumberFormat="1" applyFont="1" applyFill="1" applyBorder="1" applyAlignment="1">
      <alignment horizontal="right" vertical="center"/>
    </xf>
    <xf numFmtId="0" fontId="95" fillId="52" borderId="29" xfId="0" applyFont="1" applyFill="1" applyBorder="1" applyAlignment="1">
      <alignment horizontal="center" vertical="center"/>
    </xf>
    <xf numFmtId="0" fontId="95" fillId="52" borderId="32" xfId="0" applyFont="1" applyFill="1" applyBorder="1" applyAlignment="1">
      <alignment horizontal="center" vertical="center"/>
    </xf>
    <xf numFmtId="0" fontId="96" fillId="54" borderId="32" xfId="165" applyFont="1" applyFill="1" applyBorder="1" applyAlignment="1">
      <alignment horizontal="left" vertical="top"/>
    </xf>
    <xf numFmtId="0" fontId="93" fillId="52" borderId="33" xfId="0" applyFont="1" applyFill="1" applyBorder="1" applyAlignment="1">
      <alignment horizontal="center" vertical="center" wrapText="1"/>
    </xf>
    <xf numFmtId="8" fontId="94" fillId="51" borderId="36" xfId="0" applyNumberFormat="1" applyFont="1" applyFill="1" applyBorder="1" applyAlignment="1">
      <alignment horizontal="right" vertical="center" indent="2"/>
    </xf>
    <xf numFmtId="0" fontId="96" fillId="51" borderId="34" xfId="165" applyFont="1" applyFill="1" applyBorder="1" applyAlignment="1">
      <alignment horizontal="left" vertical="top"/>
    </xf>
    <xf numFmtId="0" fontId="93" fillId="52" borderId="40" xfId="0" applyFont="1" applyFill="1" applyBorder="1" applyAlignment="1">
      <alignment horizontal="center" vertical="center" wrapText="1"/>
    </xf>
    <xf numFmtId="0" fontId="94" fillId="54" borderId="40" xfId="0" applyFont="1" applyFill="1" applyBorder="1" applyAlignment="1">
      <alignment horizontal="left" vertical="center" wrapText="1"/>
    </xf>
    <xf numFmtId="8" fontId="94" fillId="51" borderId="41" xfId="0" applyNumberFormat="1" applyFont="1" applyFill="1" applyBorder="1" applyAlignment="1">
      <alignment horizontal="right" vertical="center" indent="2"/>
    </xf>
    <xf numFmtId="0" fontId="0" fillId="0" borderId="40" xfId="0" applyBorder="1"/>
    <xf numFmtId="0" fontId="93" fillId="52" borderId="42" xfId="0" applyFont="1" applyFill="1" applyBorder="1" applyAlignment="1">
      <alignment horizontal="center" vertical="center" wrapText="1"/>
    </xf>
    <xf numFmtId="0" fontId="94" fillId="54" borderId="42" xfId="0" applyFont="1" applyFill="1" applyBorder="1" applyAlignment="1">
      <alignment horizontal="left" vertical="center" wrapText="1"/>
    </xf>
    <xf numFmtId="8" fontId="94" fillId="51" borderId="43" xfId="0" applyNumberFormat="1" applyFont="1" applyFill="1" applyBorder="1" applyAlignment="1">
      <alignment horizontal="right" vertical="center" indent="2"/>
    </xf>
    <xf numFmtId="0" fontId="0" fillId="0" borderId="42" xfId="0" applyBorder="1"/>
    <xf numFmtId="188" fontId="94" fillId="47" borderId="38" xfId="3" applyNumberFormat="1" applyFont="1" applyFill="1" applyBorder="1" applyAlignment="1">
      <alignment horizontal="right" vertical="center"/>
    </xf>
    <xf numFmtId="188" fontId="94" fillId="53" borderId="27" xfId="3" applyNumberFormat="1" applyFont="1" applyFill="1" applyBorder="1" applyAlignment="1">
      <alignment horizontal="right" vertical="center" indent="2"/>
    </xf>
    <xf numFmtId="188" fontId="94" fillId="53" borderId="11" xfId="3" applyNumberFormat="1" applyFont="1" applyFill="1" applyBorder="1" applyAlignment="1">
      <alignment horizontal="left" vertical="center" wrapText="1"/>
    </xf>
    <xf numFmtId="169" fontId="94" fillId="53" borderId="33" xfId="3" applyNumberFormat="1" applyFont="1" applyFill="1" applyBorder="1" applyAlignment="1">
      <alignment horizontal="right" vertical="center" indent="2"/>
    </xf>
    <xf numFmtId="169" fontId="94" fillId="53" borderId="33" xfId="3" applyNumberFormat="1" applyFont="1" applyFill="1" applyBorder="1" applyAlignment="1">
      <alignment horizontal="left" vertical="center" wrapText="1"/>
    </xf>
    <xf numFmtId="169" fontId="94" fillId="54" borderId="33" xfId="3" applyNumberFormat="1" applyFont="1" applyFill="1" applyBorder="1" applyAlignment="1">
      <alignment horizontal="left" vertical="center" wrapText="1"/>
    </xf>
    <xf numFmtId="169" fontId="94" fillId="51" borderId="33" xfId="3" applyNumberFormat="1" applyFont="1" applyFill="1" applyBorder="1" applyAlignment="1">
      <alignment horizontal="right" vertical="center" indent="2"/>
    </xf>
    <xf numFmtId="169" fontId="94" fillId="54" borderId="33" xfId="3" applyNumberFormat="1" applyFont="1" applyFill="1" applyBorder="1" applyAlignment="1">
      <alignment horizontal="right" vertical="center" indent="2"/>
    </xf>
    <xf numFmtId="169" fontId="94" fillId="51" borderId="33" xfId="3" applyNumberFormat="1" applyFont="1" applyFill="1" applyBorder="1" applyAlignment="1">
      <alignment horizontal="right" vertical="center"/>
    </xf>
    <xf numFmtId="169" fontId="94" fillId="51" borderId="33" xfId="3" applyNumberFormat="1" applyFont="1" applyFill="1" applyBorder="1" applyAlignment="1">
      <alignment horizontal="left" vertical="center" wrapText="1"/>
    </xf>
    <xf numFmtId="169" fontId="94" fillId="54" borderId="33" xfId="3" applyNumberFormat="1" applyFont="1" applyFill="1" applyBorder="1" applyAlignment="1">
      <alignment horizontal="right" vertical="center"/>
    </xf>
    <xf numFmtId="169" fontId="94" fillId="53" borderId="44" xfId="3" applyNumberFormat="1" applyFont="1" applyFill="1" applyBorder="1" applyAlignment="1">
      <alignment horizontal="left" vertical="center" wrapText="1"/>
    </xf>
    <xf numFmtId="169" fontId="94" fillId="55" borderId="33" xfId="3" applyNumberFormat="1" applyFont="1" applyFill="1" applyBorder="1" applyAlignment="1">
      <alignment horizontal="right" vertical="center" indent="2"/>
    </xf>
    <xf numFmtId="169" fontId="94" fillId="53" borderId="36" xfId="3" applyNumberFormat="1" applyFont="1" applyFill="1" applyBorder="1" applyAlignment="1">
      <alignment horizontal="left" vertical="center" wrapText="1"/>
    </xf>
    <xf numFmtId="0" fontId="0" fillId="52" borderId="0" xfId="0" applyFill="1" applyAlignment="1">
      <alignment horizontal="center" vertical="center" wrapText="1"/>
    </xf>
    <xf numFmtId="0" fontId="93" fillId="52" borderId="0" xfId="0" applyFont="1" applyFill="1" applyAlignment="1">
      <alignment horizontal="center" vertical="center" wrapText="1"/>
    </xf>
    <xf numFmtId="0" fontId="94" fillId="53" borderId="0" xfId="0" applyFont="1" applyFill="1" applyAlignment="1">
      <alignment horizontal="left" vertical="center" wrapText="1"/>
    </xf>
    <xf numFmtId="0" fontId="94" fillId="54" borderId="0" xfId="0" applyFont="1" applyFill="1" applyAlignment="1">
      <alignment horizontal="left" vertical="center" wrapText="1"/>
    </xf>
    <xf numFmtId="0" fontId="94" fillId="51" borderId="0" xfId="0" applyFont="1" applyFill="1" applyAlignment="1">
      <alignment horizontal="left" vertical="center" wrapText="1"/>
    </xf>
    <xf numFmtId="0" fontId="94" fillId="54" borderId="0" xfId="0" applyFont="1" applyFill="1" applyAlignment="1">
      <alignment horizontal="right" vertical="center" indent="2"/>
    </xf>
    <xf numFmtId="3" fontId="94" fillId="51" borderId="0" xfId="0" applyNumberFormat="1" applyFont="1" applyFill="1" applyAlignment="1">
      <alignment horizontal="right" vertical="center"/>
    </xf>
    <xf numFmtId="6" fontId="94" fillId="54" borderId="0" xfId="0" applyNumberFormat="1" applyFont="1" applyFill="1" applyAlignment="1">
      <alignment horizontal="right" vertical="center" indent="2"/>
    </xf>
    <xf numFmtId="3" fontId="94" fillId="54" borderId="0" xfId="0" applyNumberFormat="1" applyFont="1" applyFill="1" applyAlignment="1">
      <alignment horizontal="right" vertical="center" indent="2"/>
    </xf>
    <xf numFmtId="0" fontId="94" fillId="53" borderId="0" xfId="0" applyFont="1" applyFill="1" applyAlignment="1">
      <alignment horizontal="right" vertical="center"/>
    </xf>
    <xf numFmtId="0" fontId="94" fillId="51" borderId="0" xfId="0" applyFont="1" applyFill="1" applyAlignment="1">
      <alignment horizontal="right" vertical="center"/>
    </xf>
    <xf numFmtId="6" fontId="94" fillId="51" borderId="0" xfId="0" applyNumberFormat="1" applyFont="1" applyFill="1" applyAlignment="1">
      <alignment horizontal="right" vertical="center" indent="2"/>
    </xf>
    <xf numFmtId="0" fontId="94" fillId="54" borderId="0" xfId="0" applyFont="1" applyFill="1" applyAlignment="1">
      <alignment horizontal="right" vertical="center"/>
    </xf>
    <xf numFmtId="0" fontId="93" fillId="52" borderId="37" xfId="0" applyFont="1" applyFill="1" applyBorder="1" applyAlignment="1">
      <alignment horizontal="center" vertical="center" wrapText="1"/>
    </xf>
    <xf numFmtId="0" fontId="93" fillId="52" borderId="38" xfId="0" applyFont="1" applyFill="1" applyBorder="1" applyAlignment="1">
      <alignment horizontal="center" vertical="center" wrapText="1"/>
    </xf>
    <xf numFmtId="0" fontId="93" fillId="52" borderId="45" xfId="0" applyFont="1" applyFill="1" applyBorder="1" applyAlignment="1">
      <alignment horizontal="center" vertical="center" wrapText="1"/>
    </xf>
    <xf numFmtId="0" fontId="94" fillId="53" borderId="40" xfId="0" applyFont="1" applyFill="1" applyBorder="1" applyAlignment="1">
      <alignment horizontal="left" vertical="center" wrapText="1"/>
    </xf>
    <xf numFmtId="0" fontId="94" fillId="51" borderId="40" xfId="0" applyFont="1" applyFill="1" applyBorder="1" applyAlignment="1">
      <alignment horizontal="left" vertical="center" wrapText="1"/>
    </xf>
    <xf numFmtId="169" fontId="94" fillId="53" borderId="38" xfId="3" applyNumberFormat="1" applyFont="1" applyFill="1" applyBorder="1" applyAlignment="1">
      <alignment horizontal="right" vertical="center" indent="2"/>
    </xf>
    <xf numFmtId="169" fontId="94" fillId="53" borderId="40" xfId="3" applyNumberFormat="1" applyFont="1" applyFill="1" applyBorder="1" applyAlignment="1">
      <alignment horizontal="right" vertical="center" indent="2"/>
    </xf>
    <xf numFmtId="169" fontId="94" fillId="53" borderId="40" xfId="3" applyNumberFormat="1" applyFont="1" applyFill="1" applyBorder="1" applyAlignment="1">
      <alignment horizontal="right" vertical="center"/>
    </xf>
    <xf numFmtId="169" fontId="94" fillId="53" borderId="40" xfId="3" applyNumberFormat="1" applyFont="1" applyFill="1" applyBorder="1" applyAlignment="1">
      <alignment horizontal="left" vertical="center" wrapText="1"/>
    </xf>
    <xf numFmtId="169" fontId="94" fillId="54" borderId="38" xfId="3" applyNumberFormat="1" applyFont="1" applyFill="1" applyBorder="1" applyAlignment="1">
      <alignment horizontal="left" vertical="center" wrapText="1"/>
    </xf>
    <xf numFmtId="169" fontId="94" fillId="54" borderId="40" xfId="3" applyNumberFormat="1" applyFont="1" applyFill="1" applyBorder="1" applyAlignment="1">
      <alignment horizontal="left" vertical="center" wrapText="1"/>
    </xf>
    <xf numFmtId="169" fontId="94" fillId="51" borderId="38" xfId="3" applyNumberFormat="1" applyFont="1" applyFill="1" applyBorder="1" applyAlignment="1">
      <alignment horizontal="left" vertical="center" wrapText="1"/>
    </xf>
    <xf numFmtId="169" fontId="94" fillId="51" borderId="40" xfId="3" applyNumberFormat="1" applyFont="1" applyFill="1" applyBorder="1" applyAlignment="1">
      <alignment horizontal="left" vertical="center" wrapText="1"/>
    </xf>
    <xf numFmtId="169" fontId="94" fillId="51" borderId="40" xfId="3" applyNumberFormat="1" applyFont="1" applyFill="1" applyBorder="1" applyAlignment="1">
      <alignment horizontal="right" vertical="center"/>
    </xf>
    <xf numFmtId="169" fontId="94" fillId="54" borderId="38" xfId="3" applyNumberFormat="1" applyFont="1" applyFill="1" applyBorder="1" applyAlignment="1">
      <alignment horizontal="right" vertical="center" indent="2"/>
    </xf>
    <xf numFmtId="169" fontId="94" fillId="51" borderId="38" xfId="3" applyNumberFormat="1" applyFont="1" applyFill="1" applyBorder="1" applyAlignment="1">
      <alignment horizontal="right" vertical="center" indent="2"/>
    </xf>
    <xf numFmtId="169" fontId="0" fillId="0" borderId="38" xfId="3" applyNumberFormat="1" applyFont="1" applyBorder="1"/>
    <xf numFmtId="169" fontId="0" fillId="0" borderId="40" xfId="3" applyNumberFormat="1" applyFont="1" applyBorder="1"/>
    <xf numFmtId="169" fontId="94" fillId="53" borderId="38" xfId="3" applyNumberFormat="1" applyFont="1" applyFill="1" applyBorder="1" applyAlignment="1">
      <alignment vertical="center"/>
    </xf>
    <xf numFmtId="169" fontId="94" fillId="53" borderId="40" xfId="3" applyNumberFormat="1" applyFont="1" applyFill="1" applyBorder="1" applyAlignment="1">
      <alignment vertical="center"/>
    </xf>
    <xf numFmtId="169" fontId="94" fillId="53" borderId="33" xfId="3" applyNumberFormat="1" applyFont="1" applyFill="1" applyBorder="1" applyAlignment="1">
      <alignment vertical="center"/>
    </xf>
    <xf numFmtId="169" fontId="94" fillId="53" borderId="40" xfId="3" applyNumberFormat="1" applyFont="1" applyFill="1" applyBorder="1" applyAlignment="1">
      <alignment vertical="center" wrapText="1"/>
    </xf>
    <xf numFmtId="169" fontId="94" fillId="53" borderId="33" xfId="3" applyNumberFormat="1" applyFont="1" applyFill="1" applyBorder="1" applyAlignment="1">
      <alignment vertical="center" wrapText="1"/>
    </xf>
    <xf numFmtId="169" fontId="94" fillId="54" borderId="38" xfId="3" applyNumberFormat="1" applyFont="1" applyFill="1" applyBorder="1" applyAlignment="1">
      <alignment vertical="center" wrapText="1"/>
    </xf>
    <xf numFmtId="169" fontId="94" fillId="54" borderId="40" xfId="3" applyNumberFormat="1" applyFont="1" applyFill="1" applyBorder="1" applyAlignment="1">
      <alignment vertical="center" wrapText="1"/>
    </xf>
    <xf numFmtId="169" fontId="94" fillId="54" borderId="33" xfId="3" applyNumberFormat="1" applyFont="1" applyFill="1" applyBorder="1" applyAlignment="1">
      <alignment vertical="center" wrapText="1"/>
    </xf>
    <xf numFmtId="169" fontId="94" fillId="51" borderId="38" xfId="3" applyNumberFormat="1" applyFont="1" applyFill="1" applyBorder="1" applyAlignment="1">
      <alignment vertical="center" wrapText="1"/>
    </xf>
    <xf numFmtId="169" fontId="94" fillId="51" borderId="40" xfId="3" applyNumberFormat="1" applyFont="1" applyFill="1" applyBorder="1" applyAlignment="1">
      <alignment vertical="center" wrapText="1"/>
    </xf>
    <xf numFmtId="169" fontId="94" fillId="51" borderId="40" xfId="3" applyNumberFormat="1" applyFont="1" applyFill="1" applyBorder="1" applyAlignment="1">
      <alignment vertical="center"/>
    </xf>
    <xf numFmtId="169" fontId="94" fillId="51" borderId="33" xfId="3" applyNumberFormat="1" applyFont="1" applyFill="1" applyBorder="1" applyAlignment="1">
      <alignment vertical="center"/>
    </xf>
    <xf numFmtId="169" fontId="94" fillId="54" borderId="40" xfId="3" applyNumberFormat="1" applyFont="1" applyFill="1" applyBorder="1" applyAlignment="1">
      <alignment vertical="center"/>
    </xf>
    <xf numFmtId="169" fontId="94" fillId="54" borderId="33" xfId="3" applyNumberFormat="1" applyFont="1" applyFill="1" applyBorder="1" applyAlignment="1">
      <alignment vertical="center"/>
    </xf>
    <xf numFmtId="169" fontId="94" fillId="54" borderId="38" xfId="3" applyNumberFormat="1" applyFont="1" applyFill="1" applyBorder="1" applyAlignment="1">
      <alignment vertical="center"/>
    </xf>
    <xf numFmtId="169" fontId="94" fillId="51" borderId="38" xfId="3" applyNumberFormat="1" applyFont="1" applyFill="1" applyBorder="1" applyAlignment="1">
      <alignment vertical="center"/>
    </xf>
    <xf numFmtId="169" fontId="94" fillId="51" borderId="33" xfId="3" applyNumberFormat="1" applyFont="1" applyFill="1" applyBorder="1" applyAlignment="1">
      <alignment vertical="center" wrapText="1"/>
    </xf>
    <xf numFmtId="169" fontId="94" fillId="53" borderId="39" xfId="3" applyNumberFormat="1" applyFont="1" applyFill="1" applyBorder="1" applyAlignment="1">
      <alignment vertical="center"/>
    </xf>
    <xf numFmtId="169" fontId="94" fillId="53" borderId="41" xfId="3" applyNumberFormat="1" applyFont="1" applyFill="1" applyBorder="1" applyAlignment="1">
      <alignment vertical="center" wrapText="1"/>
    </xf>
    <xf numFmtId="169" fontId="94" fillId="53" borderId="36" xfId="3" applyNumberFormat="1" applyFont="1" applyFill="1" applyBorder="1" applyAlignment="1">
      <alignment vertical="center" wrapText="1"/>
    </xf>
    <xf numFmtId="169" fontId="0" fillId="0" borderId="38" xfId="3" applyNumberFormat="1" applyFont="1" applyBorder="1" applyAlignment="1"/>
    <xf numFmtId="169" fontId="0" fillId="0" borderId="40" xfId="3" applyNumberFormat="1" applyFont="1" applyBorder="1" applyAlignment="1"/>
    <xf numFmtId="169" fontId="0" fillId="0" borderId="0" xfId="3" applyNumberFormat="1" applyFont="1" applyAlignment="1"/>
    <xf numFmtId="0" fontId="0" fillId="2" borderId="32" xfId="165" applyFont="1" applyFill="1" applyBorder="1" applyAlignment="1">
      <alignment horizontal="left" vertical="top"/>
    </xf>
    <xf numFmtId="169" fontId="94" fillId="2" borderId="38" xfId="3" applyNumberFormat="1" applyFont="1" applyFill="1" applyBorder="1" applyAlignment="1">
      <alignment vertical="center"/>
    </xf>
    <xf numFmtId="169" fontId="94" fillId="2" borderId="40" xfId="3" applyNumberFormat="1" applyFont="1" applyFill="1" applyBorder="1" applyAlignment="1">
      <alignment vertical="center" wrapText="1"/>
    </xf>
    <xf numFmtId="169" fontId="94" fillId="2" borderId="33" xfId="3" applyNumberFormat="1" applyFont="1" applyFill="1" applyBorder="1" applyAlignment="1">
      <alignment vertical="center" wrapText="1"/>
    </xf>
    <xf numFmtId="0" fontId="97" fillId="2" borderId="32" xfId="165" applyFont="1" applyFill="1" applyBorder="1" applyAlignment="1">
      <alignment horizontal="left" vertical="top"/>
    </xf>
    <xf numFmtId="169" fontId="94" fillId="47" borderId="33" xfId="3" applyNumberFormat="1" applyFont="1" applyFill="1" applyBorder="1" applyAlignment="1">
      <alignment vertical="center"/>
    </xf>
    <xf numFmtId="169" fontId="94" fillId="47" borderId="38" xfId="3" applyNumberFormat="1" applyFont="1" applyFill="1" applyBorder="1" applyAlignment="1">
      <alignment vertical="center" wrapText="1"/>
    </xf>
    <xf numFmtId="169" fontId="94" fillId="47" borderId="40" xfId="3" applyNumberFormat="1" applyFont="1" applyFill="1" applyBorder="1" applyAlignment="1">
      <alignment vertical="center" wrapText="1"/>
    </xf>
    <xf numFmtId="169" fontId="94" fillId="47" borderId="40" xfId="3" applyNumberFormat="1" applyFont="1" applyFill="1" applyBorder="1" applyAlignment="1">
      <alignment vertical="center"/>
    </xf>
    <xf numFmtId="169" fontId="94" fillId="0" borderId="38" xfId="3" applyNumberFormat="1" applyFont="1" applyFill="1" applyBorder="1" applyAlignment="1">
      <alignment vertical="center" wrapText="1"/>
    </xf>
    <xf numFmtId="169" fontId="94" fillId="0" borderId="40" xfId="3" applyNumberFormat="1" applyFont="1" applyFill="1" applyBorder="1" applyAlignment="1">
      <alignment vertical="center" wrapText="1"/>
    </xf>
    <xf numFmtId="169" fontId="94" fillId="0" borderId="33" xfId="3" applyNumberFormat="1" applyFont="1" applyFill="1" applyBorder="1" applyAlignment="1">
      <alignment vertical="center"/>
    </xf>
    <xf numFmtId="0" fontId="0" fillId="52" borderId="32" xfId="0" applyFill="1" applyBorder="1" applyAlignment="1">
      <alignment horizontal="center" vertical="center"/>
    </xf>
    <xf numFmtId="0" fontId="0" fillId="52" borderId="38" xfId="0" applyFill="1" applyBorder="1" applyAlignment="1">
      <alignment horizontal="center" vertical="center" wrapText="1"/>
    </xf>
    <xf numFmtId="169" fontId="94" fillId="53" borderId="0" xfId="3" applyNumberFormat="1" applyFont="1" applyFill="1" applyAlignment="1">
      <alignment horizontal="right" vertical="center" indent="2"/>
    </xf>
    <xf numFmtId="169" fontId="94" fillId="53" borderId="0" xfId="3" applyNumberFormat="1" applyFont="1" applyFill="1" applyAlignment="1">
      <alignment horizontal="right" vertical="center"/>
    </xf>
    <xf numFmtId="169" fontId="94" fillId="53" borderId="0" xfId="3" applyNumberFormat="1" applyFont="1" applyFill="1" applyAlignment="1">
      <alignment horizontal="left" vertical="center" wrapText="1"/>
    </xf>
    <xf numFmtId="169" fontId="94" fillId="54" borderId="0" xfId="3" applyNumberFormat="1" applyFont="1" applyFill="1" applyAlignment="1">
      <alignment horizontal="left" vertical="center" wrapText="1"/>
    </xf>
    <xf numFmtId="169" fontId="94" fillId="51" borderId="0" xfId="3" applyNumberFormat="1" applyFont="1" applyFill="1" applyAlignment="1">
      <alignment horizontal="left" vertical="center" wrapText="1"/>
    </xf>
    <xf numFmtId="169" fontId="94" fillId="51" borderId="0" xfId="3" applyNumberFormat="1" applyFont="1" applyFill="1" applyAlignment="1">
      <alignment horizontal="right" vertical="center" indent="2"/>
    </xf>
    <xf numFmtId="169" fontId="94" fillId="51" borderId="0" xfId="3" applyNumberFormat="1" applyFont="1" applyFill="1" applyAlignment="1">
      <alignment horizontal="right" vertical="center"/>
    </xf>
    <xf numFmtId="169" fontId="94" fillId="54" borderId="38" xfId="3" applyNumberFormat="1" applyFont="1" applyFill="1" applyBorder="1" applyAlignment="1">
      <alignment horizontal="right" vertical="center"/>
    </xf>
    <xf numFmtId="169" fontId="94" fillId="54" borderId="0" xfId="3" applyNumberFormat="1" applyFont="1" applyFill="1" applyAlignment="1">
      <alignment horizontal="right" vertical="center"/>
    </xf>
    <xf numFmtId="169" fontId="94" fillId="51" borderId="38" xfId="3" applyNumberFormat="1" applyFont="1" applyFill="1" applyBorder="1" applyAlignment="1">
      <alignment horizontal="right" vertical="center"/>
    </xf>
    <xf numFmtId="169" fontId="94" fillId="53" borderId="38" xfId="3" applyNumberFormat="1" applyFont="1" applyFill="1" applyBorder="1" applyAlignment="1">
      <alignment horizontal="left" vertical="center" wrapText="1"/>
    </xf>
    <xf numFmtId="169" fontId="94" fillId="53" borderId="38" xfId="3" applyNumberFormat="1" applyFont="1" applyFill="1" applyBorder="1" applyAlignment="1">
      <alignment horizontal="right" vertical="center"/>
    </xf>
    <xf numFmtId="0" fontId="0" fillId="52" borderId="40" xfId="0" applyFill="1" applyBorder="1" applyAlignment="1">
      <alignment horizontal="center" vertical="center" wrapText="1"/>
    </xf>
    <xf numFmtId="169" fontId="93" fillId="53" borderId="40" xfId="3" applyNumberFormat="1" applyFont="1" applyFill="1" applyBorder="1" applyAlignment="1">
      <alignment horizontal="left" vertical="center" wrapText="1"/>
    </xf>
    <xf numFmtId="169" fontId="93" fillId="53" borderId="38" xfId="3" applyNumberFormat="1" applyFont="1" applyFill="1" applyBorder="1" applyAlignment="1">
      <alignment horizontal="left" vertical="center" wrapText="1"/>
    </xf>
    <xf numFmtId="169" fontId="93" fillId="53" borderId="38" xfId="3" applyNumberFormat="1" applyFont="1" applyFill="1" applyBorder="1" applyAlignment="1">
      <alignment horizontal="right" vertical="center" indent="2"/>
    </xf>
    <xf numFmtId="169" fontId="93" fillId="53" borderId="38" xfId="3" applyNumberFormat="1" applyFont="1" applyFill="1" applyBorder="1" applyAlignment="1">
      <alignment horizontal="right" vertical="center"/>
    </xf>
    <xf numFmtId="169" fontId="93" fillId="53" borderId="33" xfId="3" applyNumberFormat="1" applyFont="1" applyFill="1" applyBorder="1" applyAlignment="1">
      <alignment horizontal="right" vertical="center" indent="2"/>
    </xf>
    <xf numFmtId="0" fontId="67" fillId="0" borderId="0" xfId="0" applyFont="1"/>
    <xf numFmtId="169" fontId="93" fillId="53" borderId="33" xfId="3" applyNumberFormat="1" applyFont="1" applyFill="1" applyBorder="1" applyAlignment="1">
      <alignment horizontal="left" vertical="center" wrapText="1"/>
    </xf>
    <xf numFmtId="169" fontId="93" fillId="53" borderId="41" xfId="3" applyNumberFormat="1" applyFont="1" applyFill="1" applyBorder="1" applyAlignment="1">
      <alignment horizontal="left" vertical="center" wrapText="1"/>
    </xf>
    <xf numFmtId="169" fontId="93" fillId="53" borderId="39" xfId="3" applyNumberFormat="1" applyFont="1" applyFill="1" applyBorder="1" applyAlignment="1">
      <alignment horizontal="left" vertical="center" wrapText="1"/>
    </xf>
    <xf numFmtId="169" fontId="93" fillId="53" borderId="39" xfId="3" applyNumberFormat="1" applyFont="1" applyFill="1" applyBorder="1" applyAlignment="1">
      <alignment horizontal="right" vertical="center" indent="2"/>
    </xf>
    <xf numFmtId="169" fontId="93" fillId="53" borderId="36" xfId="3" applyNumberFormat="1" applyFont="1" applyFill="1" applyBorder="1" applyAlignment="1">
      <alignment horizontal="left" vertical="center" wrapText="1"/>
    </xf>
    <xf numFmtId="169" fontId="94" fillId="47" borderId="38" xfId="3" applyNumberFormat="1" applyFont="1" applyFill="1" applyBorder="1" applyAlignment="1">
      <alignment horizontal="right" vertical="center"/>
    </xf>
    <xf numFmtId="169" fontId="94" fillId="47" borderId="40" xfId="3" applyNumberFormat="1" applyFont="1" applyFill="1" applyBorder="1" applyAlignment="1">
      <alignment horizontal="left" vertical="center" wrapText="1"/>
    </xf>
    <xf numFmtId="169" fontId="94" fillId="47" borderId="38" xfId="3" applyNumberFormat="1" applyFont="1" applyFill="1" applyBorder="1" applyAlignment="1">
      <alignment horizontal="left" vertical="center" wrapText="1"/>
    </xf>
    <xf numFmtId="6" fontId="94" fillId="51" borderId="0" xfId="0" applyNumberFormat="1" applyFont="1" applyFill="1" applyAlignment="1">
      <alignment horizontal="right" vertical="center"/>
    </xf>
    <xf numFmtId="0" fontId="94" fillId="51" borderId="35" xfId="0" applyFont="1" applyFill="1" applyBorder="1" applyAlignment="1">
      <alignment horizontal="left" vertical="center" wrapText="1"/>
    </xf>
    <xf numFmtId="6" fontId="94" fillId="51" borderId="35" xfId="0" applyNumberFormat="1" applyFont="1" applyFill="1" applyBorder="1" applyAlignment="1">
      <alignment horizontal="right" vertical="center"/>
    </xf>
    <xf numFmtId="0" fontId="93" fillId="52" borderId="29" xfId="0" applyFont="1" applyFill="1" applyBorder="1" applyAlignment="1">
      <alignment horizontal="center" vertical="center"/>
    </xf>
    <xf numFmtId="0" fontId="93" fillId="52" borderId="32" xfId="0" applyFont="1" applyFill="1" applyBorder="1" applyAlignment="1">
      <alignment horizontal="center" vertical="center"/>
    </xf>
    <xf numFmtId="6" fontId="94" fillId="51" borderId="40" xfId="0" applyNumberFormat="1" applyFont="1" applyFill="1" applyBorder="1" applyAlignment="1">
      <alignment horizontal="right" vertical="center"/>
    </xf>
    <xf numFmtId="0" fontId="94" fillId="51" borderId="41" xfId="0" applyFont="1" applyFill="1" applyBorder="1" applyAlignment="1">
      <alignment horizontal="left" vertical="center" wrapText="1"/>
    </xf>
    <xf numFmtId="0" fontId="94" fillId="47" borderId="40" xfId="0" applyFont="1" applyFill="1" applyBorder="1" applyAlignment="1">
      <alignment horizontal="left" vertical="center" wrapText="1"/>
    </xf>
    <xf numFmtId="0" fontId="94" fillId="47" borderId="0" xfId="0" applyFont="1" applyFill="1" applyAlignment="1">
      <alignment horizontal="left" vertical="center" wrapText="1"/>
    </xf>
    <xf numFmtId="169" fontId="93" fillId="52" borderId="45" xfId="3" applyNumberFormat="1" applyFont="1" applyFill="1" applyBorder="1" applyAlignment="1">
      <alignment horizontal="center" vertical="center" wrapText="1"/>
    </xf>
    <xf numFmtId="169" fontId="93" fillId="52" borderId="40" xfId="3" applyNumberFormat="1" applyFont="1" applyFill="1" applyBorder="1" applyAlignment="1">
      <alignment horizontal="center" vertical="center" wrapText="1"/>
    </xf>
    <xf numFmtId="169" fontId="94" fillId="51" borderId="41" xfId="3" applyNumberFormat="1" applyFont="1" applyFill="1" applyBorder="1" applyAlignment="1">
      <alignment horizontal="left" vertical="center" wrapText="1"/>
    </xf>
    <xf numFmtId="189" fontId="1" fillId="2" borderId="0" xfId="166" applyNumberFormat="1" applyFont="1" applyFill="1" applyAlignment="1">
      <alignment horizontal="right"/>
    </xf>
    <xf numFmtId="188" fontId="93" fillId="47" borderId="38" xfId="3" applyNumberFormat="1" applyFont="1" applyFill="1" applyBorder="1" applyAlignment="1">
      <alignment horizontal="left" vertical="center" wrapText="1"/>
    </xf>
    <xf numFmtId="0" fontId="67" fillId="47" borderId="0" xfId="0" applyFont="1" applyFill="1"/>
    <xf numFmtId="0" fontId="0" fillId="55" borderId="0" xfId="0" applyFill="1"/>
    <xf numFmtId="182" fontId="1" fillId="2" borderId="0" xfId="166" applyNumberFormat="1" applyFont="1" applyFill="1"/>
    <xf numFmtId="182" fontId="1" fillId="2" borderId="0" xfId="0" applyNumberFormat="1" applyFont="1" applyFill="1"/>
    <xf numFmtId="190" fontId="1" fillId="2" borderId="0" xfId="0" applyNumberFormat="1" applyFont="1" applyFill="1"/>
    <xf numFmtId="167" fontId="73" fillId="2" borderId="26" xfId="0" applyNumberFormat="1" applyFont="1" applyFill="1" applyBorder="1"/>
    <xf numFmtId="167" fontId="73" fillId="2" borderId="27" xfId="0" applyNumberFormat="1" applyFont="1" applyFill="1" applyBorder="1"/>
    <xf numFmtId="167" fontId="73" fillId="2" borderId="28" xfId="0" applyNumberFormat="1" applyFont="1" applyFill="1" applyBorder="1"/>
    <xf numFmtId="179" fontId="73" fillId="2" borderId="26" xfId="0" applyNumberFormat="1" applyFont="1" applyFill="1" applyBorder="1"/>
    <xf numFmtId="179" fontId="73" fillId="2" borderId="27" xfId="0" applyNumberFormat="1" applyFont="1" applyFill="1" applyBorder="1"/>
    <xf numFmtId="179" fontId="73" fillId="2" borderId="28" xfId="0" applyNumberFormat="1" applyFont="1" applyFill="1" applyBorder="1"/>
    <xf numFmtId="10" fontId="73" fillId="2" borderId="26" xfId="2" applyNumberFormat="1" applyFont="1" applyFill="1" applyBorder="1"/>
    <xf numFmtId="10" fontId="73" fillId="2" borderId="27" xfId="2" applyNumberFormat="1" applyFont="1" applyFill="1" applyBorder="1"/>
    <xf numFmtId="10" fontId="73" fillId="2" borderId="28" xfId="2" applyNumberFormat="1" applyFont="1" applyFill="1" applyBorder="1"/>
    <xf numFmtId="0" fontId="0" fillId="56" borderId="0" xfId="0" applyFill="1"/>
    <xf numFmtId="169" fontId="94" fillId="56" borderId="0" xfId="3" applyNumberFormat="1" applyFont="1" applyFill="1" applyAlignment="1">
      <alignment horizontal="right" vertical="center"/>
    </xf>
    <xf numFmtId="169" fontId="94" fillId="56" borderId="0" xfId="3" applyNumberFormat="1" applyFont="1" applyFill="1" applyAlignment="1">
      <alignment horizontal="right" vertical="center" indent="2"/>
    </xf>
    <xf numFmtId="169" fontId="94" fillId="47" borderId="0" xfId="3" applyNumberFormat="1" applyFont="1" applyFill="1" applyAlignment="1">
      <alignment horizontal="left" vertical="center" wrapText="1"/>
    </xf>
    <xf numFmtId="169" fontId="94" fillId="51" borderId="35" xfId="3" applyNumberFormat="1" applyFont="1" applyFill="1" applyBorder="1" applyAlignment="1">
      <alignment horizontal="right" vertical="center" indent="2"/>
    </xf>
    <xf numFmtId="188" fontId="94" fillId="57" borderId="38" xfId="3" applyNumberFormat="1" applyFont="1" applyFill="1" applyBorder="1" applyAlignment="1">
      <alignment horizontal="right" vertical="center"/>
    </xf>
    <xf numFmtId="188" fontId="94" fillId="2" borderId="0" xfId="3" applyNumberFormat="1" applyFont="1" applyFill="1" applyAlignment="1">
      <alignment horizontal="right" vertical="center" indent="2"/>
    </xf>
    <xf numFmtId="188" fontId="94" fillId="2" borderId="38" xfId="3" applyNumberFormat="1" applyFont="1" applyFill="1" applyBorder="1" applyAlignment="1">
      <alignment horizontal="right" vertical="center" indent="2"/>
    </xf>
    <xf numFmtId="188" fontId="94" fillId="2" borderId="38" xfId="3" applyNumberFormat="1" applyFont="1" applyFill="1" applyBorder="1" applyAlignment="1">
      <alignment horizontal="right" vertical="center"/>
    </xf>
    <xf numFmtId="169" fontId="94" fillId="2" borderId="33" xfId="3" applyNumberFormat="1" applyFont="1" applyFill="1" applyBorder="1" applyAlignment="1">
      <alignment horizontal="right" vertical="center" indent="2"/>
    </xf>
    <xf numFmtId="0" fontId="0" fillId="2" borderId="40" xfId="0" applyFill="1" applyBorder="1"/>
    <xf numFmtId="0" fontId="0" fillId="2" borderId="42" xfId="0" applyFill="1" applyBorder="1"/>
    <xf numFmtId="190" fontId="1" fillId="2" borderId="0" xfId="166" applyNumberFormat="1" applyFont="1" applyFill="1"/>
    <xf numFmtId="190" fontId="1" fillId="2" borderId="0" xfId="3" applyNumberFormat="1" applyFont="1" applyFill="1"/>
    <xf numFmtId="10" fontId="73" fillId="2" borderId="0" xfId="2" applyNumberFormat="1" applyFont="1" applyFill="1" applyBorder="1"/>
    <xf numFmtId="165" fontId="3" fillId="2" borderId="19" xfId="0" applyNumberFormat="1" applyFont="1" applyFill="1" applyBorder="1" applyAlignment="1">
      <alignment vertical="center"/>
    </xf>
    <xf numFmtId="167" fontId="3" fillId="2" borderId="19" xfId="0" applyNumberFormat="1" applyFont="1" applyFill="1" applyBorder="1" applyAlignment="1">
      <alignment vertical="center"/>
    </xf>
    <xf numFmtId="165" fontId="1" fillId="2" borderId="19" xfId="0" applyNumberFormat="1" applyFont="1" applyFill="1" applyBorder="1" applyAlignment="1">
      <alignment vertical="center"/>
    </xf>
    <xf numFmtId="167" fontId="1" fillId="3" borderId="0" xfId="0" applyNumberFormat="1" applyFont="1" applyFill="1" applyAlignment="1">
      <alignment vertical="center"/>
    </xf>
    <xf numFmtId="9" fontId="1" fillId="3" borderId="0" xfId="2" applyFont="1" applyFill="1"/>
    <xf numFmtId="10" fontId="1" fillId="3" borderId="0" xfId="2" applyNumberFormat="1" applyFont="1" applyFill="1"/>
    <xf numFmtId="169" fontId="1" fillId="3" borderId="0" xfId="3" applyNumberFormat="1" applyFont="1" applyFill="1"/>
    <xf numFmtId="169" fontId="73" fillId="3" borderId="0" xfId="3" applyNumberFormat="1" applyFont="1" applyFill="1"/>
    <xf numFmtId="169" fontId="1" fillId="3" borderId="0" xfId="0" applyNumberFormat="1" applyFont="1" applyFill="1"/>
    <xf numFmtId="191" fontId="1" fillId="2" borderId="0" xfId="2" applyNumberFormat="1" applyFont="1" applyFill="1"/>
    <xf numFmtId="165" fontId="99" fillId="2" borderId="0" xfId="0" applyNumberFormat="1" applyFont="1" applyFill="1"/>
    <xf numFmtId="165" fontId="100" fillId="2" borderId="0" xfId="0" applyNumberFormat="1" applyFont="1" applyFill="1"/>
    <xf numFmtId="166" fontId="9" fillId="2" borderId="0" xfId="0" applyNumberFormat="1" applyFont="1" applyFill="1"/>
    <xf numFmtId="165" fontId="9" fillId="2" borderId="0" xfId="0" applyNumberFormat="1" applyFont="1" applyFill="1"/>
    <xf numFmtId="166" fontId="100" fillId="2" borderId="0" xfId="0" applyNumberFormat="1" applyFont="1" applyFill="1"/>
    <xf numFmtId="167" fontId="100" fillId="2" borderId="0" xfId="0" applyNumberFormat="1" applyFont="1" applyFill="1"/>
    <xf numFmtId="165" fontId="101" fillId="2" borderId="4" xfId="0" applyNumberFormat="1" applyFont="1" applyFill="1" applyBorder="1" applyAlignment="1">
      <alignment wrapText="1"/>
    </xf>
    <xf numFmtId="165" fontId="99" fillId="2" borderId="0" xfId="0" applyNumberFormat="1" applyFont="1" applyFill="1" applyAlignment="1">
      <alignment horizontal="left"/>
    </xf>
    <xf numFmtId="165" fontId="101" fillId="2" borderId="4" xfId="0" applyNumberFormat="1" applyFont="1" applyFill="1" applyBorder="1" applyAlignment="1">
      <alignment horizontal="left" wrapText="1"/>
    </xf>
    <xf numFmtId="10" fontId="99" fillId="2" borderId="0" xfId="2" applyNumberFormat="1" applyFont="1" applyFill="1" applyAlignment="1">
      <alignment horizontal="left"/>
    </xf>
    <xf numFmtId="10" fontId="99" fillId="2" borderId="0" xfId="2" applyNumberFormat="1" applyFont="1" applyFill="1"/>
    <xf numFmtId="184" fontId="99" fillId="2" borderId="0" xfId="0" applyNumberFormat="1" applyFont="1" applyFill="1"/>
    <xf numFmtId="165" fontId="101" fillId="2" borderId="0" xfId="0" applyNumberFormat="1" applyFont="1" applyFill="1" applyAlignment="1">
      <alignment wrapText="1"/>
    </xf>
    <xf numFmtId="165" fontId="102" fillId="2" borderId="0" xfId="0" applyNumberFormat="1" applyFont="1" applyFill="1"/>
    <xf numFmtId="0" fontId="103" fillId="2" borderId="0" xfId="0" applyFont="1" applyFill="1"/>
    <xf numFmtId="165" fontId="99" fillId="2" borderId="0" xfId="0" applyNumberFormat="1" applyFont="1" applyFill="1" applyAlignment="1">
      <alignment horizontal="left" indent="1"/>
    </xf>
    <xf numFmtId="165" fontId="99" fillId="2" borderId="0" xfId="0" applyNumberFormat="1" applyFont="1" applyFill="1" applyAlignment="1">
      <alignment vertical="center"/>
    </xf>
    <xf numFmtId="0" fontId="104" fillId="2" borderId="0" xfId="0" applyFont="1" applyFill="1"/>
    <xf numFmtId="0" fontId="105" fillId="2" borderId="0" xfId="0" applyFont="1" applyFill="1"/>
    <xf numFmtId="0" fontId="106" fillId="2" borderId="0" xfId="165" applyFont="1" applyFill="1"/>
    <xf numFmtId="0" fontId="98" fillId="2" borderId="0" xfId="0" applyFont="1" applyFill="1"/>
    <xf numFmtId="0" fontId="63" fillId="0" borderId="0" xfId="0" applyFont="1" applyAlignment="1">
      <alignment horizontal="center" vertical="center" wrapText="1"/>
    </xf>
    <xf numFmtId="0" fontId="0" fillId="0" borderId="0" xfId="0"/>
    <xf numFmtId="0" fontId="93" fillId="52" borderId="30" xfId="0" applyFont="1" applyFill="1" applyBorder="1" applyAlignment="1">
      <alignment horizontal="center" vertical="center" wrapText="1"/>
    </xf>
    <xf numFmtId="0" fontId="93" fillId="52" borderId="0" xfId="0" applyFont="1" applyFill="1" applyAlignment="1">
      <alignment horizontal="center" vertical="center" wrapText="1"/>
    </xf>
    <xf numFmtId="169" fontId="93" fillId="52" borderId="30" xfId="3" applyNumberFormat="1" applyFont="1" applyFill="1" applyBorder="1" applyAlignment="1">
      <alignment horizontal="center" vertical="center" wrapText="1"/>
    </xf>
    <xf numFmtId="169" fontId="93" fillId="52" borderId="0" xfId="3" applyNumberFormat="1" applyFont="1" applyFill="1" applyBorder="1" applyAlignment="1">
      <alignment horizontal="center" vertical="center" wrapText="1"/>
    </xf>
    <xf numFmtId="0" fontId="95" fillId="52" borderId="29" xfId="0" applyFont="1" applyFill="1" applyBorder="1" applyAlignment="1">
      <alignment horizontal="center" vertical="center"/>
    </xf>
    <xf numFmtId="0" fontId="95" fillId="52" borderId="32" xfId="0" applyFont="1" applyFill="1" applyBorder="1" applyAlignment="1">
      <alignment horizontal="center" vertical="center"/>
    </xf>
    <xf numFmtId="0" fontId="93" fillId="52" borderId="31" xfId="0" applyFont="1" applyFill="1" applyBorder="1" applyAlignment="1">
      <alignment horizontal="center" vertical="center" wrapText="1"/>
    </xf>
    <xf numFmtId="188" fontId="93" fillId="52" borderId="30" xfId="3" applyNumberFormat="1" applyFont="1" applyFill="1" applyBorder="1" applyAlignment="1">
      <alignment horizontal="center" vertical="center" wrapText="1"/>
    </xf>
    <xf numFmtId="188" fontId="93" fillId="52" borderId="0" xfId="3" applyNumberFormat="1" applyFont="1" applyFill="1" applyBorder="1" applyAlignment="1">
      <alignment horizontal="center" vertical="center" wrapText="1"/>
    </xf>
    <xf numFmtId="188" fontId="93" fillId="52" borderId="37" xfId="3" applyNumberFormat="1" applyFont="1" applyFill="1" applyBorder="1" applyAlignment="1">
      <alignment horizontal="center" vertical="center" wrapText="1"/>
    </xf>
    <xf numFmtId="188" fontId="93" fillId="52" borderId="38" xfId="3" applyNumberFormat="1" applyFont="1" applyFill="1" applyBorder="1" applyAlignment="1">
      <alignment horizontal="center" vertical="center" wrapText="1"/>
    </xf>
    <xf numFmtId="169" fontId="93" fillId="52" borderId="31" xfId="3" applyNumberFormat="1" applyFont="1" applyFill="1" applyBorder="1" applyAlignment="1">
      <alignment horizontal="center" vertical="center" wrapText="1"/>
    </xf>
    <xf numFmtId="169" fontId="93" fillId="52" borderId="33" xfId="3" applyNumberFormat="1" applyFont="1" applyFill="1" applyBorder="1" applyAlignment="1">
      <alignment horizontal="center" vertical="center" wrapText="1"/>
    </xf>
    <xf numFmtId="0" fontId="64" fillId="0" borderId="0" xfId="0" applyFont="1" applyAlignment="1">
      <alignment horizontal="center" vertical="center" wrapText="1"/>
    </xf>
    <xf numFmtId="0" fontId="0" fillId="0" borderId="30" xfId="0" applyBorder="1" applyAlignment="1">
      <alignment vertical="top" wrapText="1"/>
    </xf>
    <xf numFmtId="0" fontId="0" fillId="0" borderId="0" xfId="0" applyAlignment="1">
      <alignment vertical="top" wrapText="1"/>
    </xf>
    <xf numFmtId="169" fontId="93" fillId="52" borderId="37" xfId="3" applyNumberFormat="1" applyFont="1" applyFill="1" applyBorder="1" applyAlignment="1">
      <alignment vertical="center" wrapText="1"/>
    </xf>
    <xf numFmtId="169" fontId="93" fillId="52" borderId="38" xfId="3" applyNumberFormat="1" applyFont="1" applyFill="1" applyBorder="1" applyAlignment="1">
      <alignment vertical="center" wrapText="1"/>
    </xf>
    <xf numFmtId="169" fontId="93" fillId="52" borderId="45" xfId="3" applyNumberFormat="1" applyFont="1" applyFill="1" applyBorder="1" applyAlignment="1">
      <alignment vertical="center" wrapText="1"/>
    </xf>
    <xf numFmtId="169" fontId="93" fillId="52" borderId="40" xfId="3" applyNumberFormat="1" applyFont="1" applyFill="1" applyBorder="1" applyAlignment="1">
      <alignment vertical="center" wrapText="1"/>
    </xf>
    <xf numFmtId="169" fontId="93" fillId="52" borderId="31" xfId="3" applyNumberFormat="1" applyFont="1" applyFill="1" applyBorder="1" applyAlignment="1">
      <alignment vertical="center" wrapText="1"/>
    </xf>
    <xf numFmtId="169" fontId="93" fillId="52" borderId="33" xfId="3" applyNumberFormat="1" applyFont="1" applyFill="1" applyBorder="1" applyAlignment="1">
      <alignment vertical="center" wrapText="1"/>
    </xf>
    <xf numFmtId="0" fontId="93" fillId="52" borderId="45" xfId="0" applyFont="1" applyFill="1" applyBorder="1" applyAlignment="1">
      <alignment horizontal="center" vertical="center" wrapText="1"/>
    </xf>
    <xf numFmtId="0" fontId="93" fillId="52" borderId="40" xfId="0" applyFont="1" applyFill="1" applyBorder="1" applyAlignment="1">
      <alignment horizontal="center" vertical="center" wrapText="1"/>
    </xf>
    <xf numFmtId="0" fontId="93" fillId="52" borderId="33" xfId="0" applyFont="1" applyFill="1" applyBorder="1" applyAlignment="1">
      <alignment horizontal="center" vertical="center" wrapText="1"/>
    </xf>
    <xf numFmtId="0" fontId="93" fillId="52" borderId="37" xfId="0" applyFont="1" applyFill="1" applyBorder="1" applyAlignment="1">
      <alignment horizontal="center" vertical="center" wrapText="1"/>
    </xf>
    <xf numFmtId="0" fontId="93" fillId="52" borderId="38" xfId="0" applyFont="1" applyFill="1" applyBorder="1" applyAlignment="1">
      <alignment horizontal="center" vertical="center" wrapText="1"/>
    </xf>
  </cellXfs>
  <cellStyles count="167">
    <cellStyle name="%" xfId="135" xr:uid="{00000000-0005-0000-0000-000000000000}"/>
    <cellStyle name="_x0002_._x0011__x0002_._x001b__x0002_ _x0015_%_x0018__x0001_" xfId="5" xr:uid="{00000000-0005-0000-0000-000001000000}"/>
    <cellStyle name="_060510 Goal Setting CNV" xfId="6" xr:uid="{00000000-0005-0000-0000-000002000000}"/>
    <cellStyle name="_2008-08-18 WC SRL" xfId="7" xr:uid="{00000000-0005-0000-0000-000003000000}"/>
    <cellStyle name="_2008-10-06 Goodwill Test KPMG incl PL 19 (2)" xfId="8" xr:uid="{00000000-0005-0000-0000-000004000000}"/>
    <cellStyle name="_2008-10-06 Goodwill Test KPMG incl PL 19 (3)" xfId="9" xr:uid="{00000000-0005-0000-0000-000005000000}"/>
    <cellStyle name="_2009-03-17 Version für 53-19" xfId="10" xr:uid="{00000000-0005-0000-0000-000006000000}"/>
    <cellStyle name="_Access Bluebook 2007 DCL V7" xfId="11" xr:uid="{00000000-0005-0000-0000-000007000000}"/>
    <cellStyle name="_AL_cost_outlook_070405_Bluebook2007" xfId="12" xr:uid="{00000000-0005-0000-0000-000008000000}"/>
    <cellStyle name="_BB_08_BG_COM" xfId="13" xr:uid="{00000000-0005-0000-0000-000009000000}"/>
    <cellStyle name="_Bluebook-2005-PL-Projections-COM-SR2" xfId="14" xr:uid="{00000000-0005-0000-0000-00000A000000}"/>
    <cellStyle name="_COM Cash Flow Bluebook 2008" xfId="15" xr:uid="{00000000-0005-0000-0000-00000B000000}"/>
    <cellStyle name="_Cordless_Bizcase_070524" xfId="16" xr:uid="{00000000-0005-0000-0000-00000C000000}"/>
    <cellStyle name="_Cordless_Bizcase_Bluebook (2)" xfId="17" xr:uid="{00000000-0005-0000-0000-00000D000000}"/>
    <cellStyle name="_Cordless_Bizcase_Master" xfId="18" xr:uid="{00000000-0005-0000-0000-00000E000000}"/>
    <cellStyle name="_Data" xfId="19" xr:uid="{00000000-0005-0000-0000-00000F000000}"/>
    <cellStyle name="_Foundry Wafer Price Database - BU" xfId="20" xr:uid="{00000000-0005-0000-0000-000010000000}"/>
    <cellStyle name="_Segment_DCL_FRFC_2007_03" xfId="21" xr:uid="{00000000-0005-0000-0000-000011000000}"/>
    <cellStyle name="_SR_CSP_Segments" xfId="22" xr:uid="{00000000-0005-0000-0000-000012000000}"/>
    <cellStyle name="_Wireless_MPP_FRFC0810_V3" xfId="23" xr:uid="{00000000-0005-0000-0000-000013000000}"/>
    <cellStyle name="_WLS_MPP_BB2008_vs_VRFC0904_bw (2)" xfId="24" xr:uid="{00000000-0005-0000-0000-000014000000}"/>
    <cellStyle name="0,0_x000d__x000a_NA_x000d__x000a_" xfId="25" xr:uid="{00000000-0005-0000-0000-000015000000}"/>
    <cellStyle name="20% - Accent1 2" xfId="26" xr:uid="{00000000-0005-0000-0000-000016000000}"/>
    <cellStyle name="20% - Accent2 2" xfId="27" xr:uid="{00000000-0005-0000-0000-000017000000}"/>
    <cellStyle name="20% - Accent3 2" xfId="28" xr:uid="{00000000-0005-0000-0000-000018000000}"/>
    <cellStyle name="20% - Accent4 2" xfId="29" xr:uid="{00000000-0005-0000-0000-000019000000}"/>
    <cellStyle name="20% - Accent5 2" xfId="30" xr:uid="{00000000-0005-0000-0000-00001A000000}"/>
    <cellStyle name="20% - Accent6 2" xfId="31" xr:uid="{00000000-0005-0000-0000-00001B000000}"/>
    <cellStyle name="40% - Accent1 2" xfId="32" xr:uid="{00000000-0005-0000-0000-00001C000000}"/>
    <cellStyle name="40% - Accent2 2" xfId="33" xr:uid="{00000000-0005-0000-0000-00001D000000}"/>
    <cellStyle name="40% - Accent3 2" xfId="34" xr:uid="{00000000-0005-0000-0000-00001E000000}"/>
    <cellStyle name="40% - Accent4 2" xfId="35" xr:uid="{00000000-0005-0000-0000-00001F000000}"/>
    <cellStyle name="40% - Accent5 2" xfId="36" xr:uid="{00000000-0005-0000-0000-000020000000}"/>
    <cellStyle name="40% - Accent6 2" xfId="37" xr:uid="{00000000-0005-0000-0000-000021000000}"/>
    <cellStyle name="60% - Accent1 2" xfId="38" xr:uid="{00000000-0005-0000-0000-000022000000}"/>
    <cellStyle name="60% - Accent2 2" xfId="39" xr:uid="{00000000-0005-0000-0000-000023000000}"/>
    <cellStyle name="60% - Accent3 2" xfId="40" xr:uid="{00000000-0005-0000-0000-000024000000}"/>
    <cellStyle name="60% - Accent4 2" xfId="41" xr:uid="{00000000-0005-0000-0000-000025000000}"/>
    <cellStyle name="60% - Accent5 2" xfId="42" xr:uid="{00000000-0005-0000-0000-000026000000}"/>
    <cellStyle name="60% - Accent6 2" xfId="43" xr:uid="{00000000-0005-0000-0000-000027000000}"/>
    <cellStyle name="Accent1 2" xfId="44" xr:uid="{00000000-0005-0000-0000-000028000000}"/>
    <cellStyle name="Accent2 2" xfId="45" xr:uid="{00000000-0005-0000-0000-000029000000}"/>
    <cellStyle name="Accent3 2" xfId="46" xr:uid="{00000000-0005-0000-0000-00002A000000}"/>
    <cellStyle name="Accent4 2" xfId="47" xr:uid="{00000000-0005-0000-0000-00002B000000}"/>
    <cellStyle name="Accent5 2" xfId="48" xr:uid="{00000000-0005-0000-0000-00002C000000}"/>
    <cellStyle name="Accent6 2" xfId="49" xr:uid="{00000000-0005-0000-0000-00002D000000}"/>
    <cellStyle name="AFE" xfId="50" xr:uid="{00000000-0005-0000-0000-00002E000000}"/>
    <cellStyle name="AFE 2" xfId="133" xr:uid="{00000000-0005-0000-0000-00002F000000}"/>
    <cellStyle name="Bad 2" xfId="51" xr:uid="{00000000-0005-0000-0000-000030000000}"/>
    <cellStyle name="Calculation 2" xfId="52" xr:uid="{00000000-0005-0000-0000-000031000000}"/>
    <cellStyle name="Check Cell 2" xfId="53" xr:uid="{00000000-0005-0000-0000-000032000000}"/>
    <cellStyle name="Comma" xfId="3" builtinId="3"/>
    <cellStyle name="Comma 2" xfId="154" xr:uid="{00000000-0005-0000-0000-000034000000}"/>
    <cellStyle name="Currency" xfId="166" builtinId="4"/>
    <cellStyle name="Detail" xfId="54" xr:uid="{00000000-0005-0000-0000-000035000000}"/>
    <cellStyle name="Euro" xfId="55" xr:uid="{00000000-0005-0000-0000-000036000000}"/>
    <cellStyle name="Explanatory Text 2" xfId="56" xr:uid="{00000000-0005-0000-0000-000037000000}"/>
    <cellStyle name="EY Narrative text" xfId="148" xr:uid="{00000000-0005-0000-0000-000038000000}"/>
    <cellStyle name="EY0dp" xfId="146" xr:uid="{00000000-0005-0000-0000-000039000000}"/>
    <cellStyle name="EY1dp" xfId="147" xr:uid="{00000000-0005-0000-0000-00003A000000}"/>
    <cellStyle name="EYChartTitle" xfId="141" xr:uid="{00000000-0005-0000-0000-00003B000000}"/>
    <cellStyle name="EYColumnHeading" xfId="144" xr:uid="{00000000-0005-0000-0000-00003C000000}"/>
    <cellStyle name="EYCurrency" xfId="143" xr:uid="{00000000-0005-0000-0000-00003D000000}"/>
    <cellStyle name="EYnumber" xfId="142" xr:uid="{00000000-0005-0000-0000-00003E000000}"/>
    <cellStyle name="EYSectionHeading" xfId="138" xr:uid="{00000000-0005-0000-0000-00003F000000}"/>
    <cellStyle name="EYSheetHeading" xfId="140" xr:uid="{00000000-0005-0000-0000-000040000000}"/>
    <cellStyle name="EYsmallheading" xfId="139" xr:uid="{00000000-0005-0000-0000-000041000000}"/>
    <cellStyle name="EYSource" xfId="149" xr:uid="{00000000-0005-0000-0000-000042000000}"/>
    <cellStyle name="EYtext" xfId="145" xr:uid="{00000000-0005-0000-0000-000043000000}"/>
    <cellStyle name="Good 2" xfId="57" xr:uid="{00000000-0005-0000-0000-000044000000}"/>
    <cellStyle name="Grey" xfId="58" xr:uid="{00000000-0005-0000-0000-000045000000}"/>
    <cellStyle name="Heading 1 2" xfId="59" xr:uid="{00000000-0005-0000-0000-000046000000}"/>
    <cellStyle name="Heading 2 2" xfId="60" xr:uid="{00000000-0005-0000-0000-000047000000}"/>
    <cellStyle name="Heading 3 2" xfId="61" xr:uid="{00000000-0005-0000-0000-000048000000}"/>
    <cellStyle name="Heading 4 2" xfId="62" xr:uid="{00000000-0005-0000-0000-000049000000}"/>
    <cellStyle name="Hyperlink" xfId="165" builtinId="8"/>
    <cellStyle name="Input [yellow]" xfId="64" xr:uid="{00000000-0005-0000-0000-00004B000000}"/>
    <cellStyle name="Input 2" xfId="63" xr:uid="{00000000-0005-0000-0000-00004C000000}"/>
    <cellStyle name="Linked Cell 2" xfId="65" xr:uid="{00000000-0005-0000-0000-00004D000000}"/>
    <cellStyle name="meny_33-34" xfId="66" xr:uid="{00000000-0005-0000-0000-00004E000000}"/>
    <cellStyle name="Milliers [0]_foxz" xfId="67" xr:uid="{00000000-0005-0000-0000-00004F000000}"/>
    <cellStyle name="Milliers_foxz" xfId="68" xr:uid="{00000000-0005-0000-0000-000050000000}"/>
    <cellStyle name="Monétaire [0]_foxz" xfId="69" xr:uid="{00000000-0005-0000-0000-000051000000}"/>
    <cellStyle name="Monétaire_foxz" xfId="70" xr:uid="{00000000-0005-0000-0000-000052000000}"/>
    <cellStyle name="Neutral 2" xfId="71" xr:uid="{00000000-0005-0000-0000-000053000000}"/>
    <cellStyle name="Normal" xfId="0" builtinId="0"/>
    <cellStyle name="Normal - Style1" xfId="72" xr:uid="{00000000-0005-0000-0000-000055000000}"/>
    <cellStyle name="Normal 2" xfId="150" xr:uid="{00000000-0005-0000-0000-000056000000}"/>
    <cellStyle name="Normal 2 2" xfId="152" xr:uid="{00000000-0005-0000-0000-000057000000}"/>
    <cellStyle name="Normal 3" xfId="151" xr:uid="{00000000-0005-0000-0000-000058000000}"/>
    <cellStyle name="Normal 4" xfId="153" xr:uid="{00000000-0005-0000-0000-000059000000}"/>
    <cellStyle name="Normal 5" xfId="4" xr:uid="{00000000-0005-0000-0000-00005A000000}"/>
    <cellStyle name="normální_33-34" xfId="73" xr:uid="{00000000-0005-0000-0000-00005C000000}"/>
    <cellStyle name="Note 2" xfId="74" xr:uid="{00000000-0005-0000-0000-00005D000000}"/>
    <cellStyle name="Œ…‹æØ‚è [0.00]_laroux" xfId="75" xr:uid="{00000000-0005-0000-0000-00005E000000}"/>
    <cellStyle name="Œ…‹æØ‚è_laroux" xfId="76" xr:uid="{00000000-0005-0000-0000-00005F000000}"/>
    <cellStyle name="Output 2" xfId="77" xr:uid="{00000000-0005-0000-0000-000060000000}"/>
    <cellStyle name="Percent" xfId="2" builtinId="5"/>
    <cellStyle name="Percent [2]" xfId="79" xr:uid="{00000000-0005-0000-0000-000062000000}"/>
    <cellStyle name="Percent 2" xfId="155" xr:uid="{00000000-0005-0000-0000-000063000000}"/>
    <cellStyle name="Percent 3" xfId="78" xr:uid="{00000000-0005-0000-0000-000064000000}"/>
    <cellStyle name="Percent 5" xfId="80" xr:uid="{00000000-0005-0000-0000-000065000000}"/>
    <cellStyle name="Prozent 2" xfId="134" xr:uid="{00000000-0005-0000-0000-000066000000}"/>
    <cellStyle name="PSChar" xfId="81" xr:uid="{00000000-0005-0000-0000-000067000000}"/>
    <cellStyle name="PSDate" xfId="82" xr:uid="{00000000-0005-0000-0000-000068000000}"/>
    <cellStyle name="PSDec" xfId="83" xr:uid="{00000000-0005-0000-0000-000069000000}"/>
    <cellStyle name="PSHeading" xfId="84" xr:uid="{00000000-0005-0000-0000-00006A000000}"/>
    <cellStyle name="PSInt" xfId="85" xr:uid="{00000000-0005-0000-0000-00006B000000}"/>
    <cellStyle name="PSSpacer" xfId="86" xr:uid="{00000000-0005-0000-0000-00006C000000}"/>
    <cellStyle name="Revenue" xfId="87" xr:uid="{00000000-0005-0000-0000-00006D000000}"/>
    <cellStyle name="SAPBEXaggData" xfId="88" xr:uid="{00000000-0005-0000-0000-00006E000000}"/>
    <cellStyle name="SAPBEXaggDataEmph" xfId="89" xr:uid="{00000000-0005-0000-0000-00006F000000}"/>
    <cellStyle name="SAPBEXaggItem" xfId="90" xr:uid="{00000000-0005-0000-0000-000070000000}"/>
    <cellStyle name="SAPBEXaggItemX" xfId="91" xr:uid="{00000000-0005-0000-0000-000071000000}"/>
    <cellStyle name="SAPBEXchaText" xfId="92" xr:uid="{00000000-0005-0000-0000-000072000000}"/>
    <cellStyle name="SAPBEXexcBad7" xfId="93" xr:uid="{00000000-0005-0000-0000-000073000000}"/>
    <cellStyle name="SAPBEXexcBad8" xfId="94" xr:uid="{00000000-0005-0000-0000-000074000000}"/>
    <cellStyle name="SAPBEXexcBad9" xfId="95" xr:uid="{00000000-0005-0000-0000-000075000000}"/>
    <cellStyle name="SAPBEXexcCritical4" xfId="96" xr:uid="{00000000-0005-0000-0000-000076000000}"/>
    <cellStyle name="SAPBEXexcCritical5" xfId="97" xr:uid="{00000000-0005-0000-0000-000077000000}"/>
    <cellStyle name="SAPBEXexcCritical6" xfId="98" xr:uid="{00000000-0005-0000-0000-000078000000}"/>
    <cellStyle name="SAPBEXexcGood1" xfId="99" xr:uid="{00000000-0005-0000-0000-000079000000}"/>
    <cellStyle name="SAPBEXexcGood2" xfId="100" xr:uid="{00000000-0005-0000-0000-00007A000000}"/>
    <cellStyle name="SAPBEXexcGood3" xfId="101" xr:uid="{00000000-0005-0000-0000-00007B000000}"/>
    <cellStyle name="SAPBEXfilterDrill" xfId="102" xr:uid="{00000000-0005-0000-0000-00007C000000}"/>
    <cellStyle name="SAPBEXfilterItem" xfId="103" xr:uid="{00000000-0005-0000-0000-00007D000000}"/>
    <cellStyle name="SAPBEXfilterText" xfId="104" xr:uid="{00000000-0005-0000-0000-00007E000000}"/>
    <cellStyle name="SAPBEXformats" xfId="105" xr:uid="{00000000-0005-0000-0000-00007F000000}"/>
    <cellStyle name="SAPBEXheaderItem" xfId="106" xr:uid="{00000000-0005-0000-0000-000080000000}"/>
    <cellStyle name="SAPBEXheaderText" xfId="107" xr:uid="{00000000-0005-0000-0000-000081000000}"/>
    <cellStyle name="SAPBEXHLevel0" xfId="108" xr:uid="{00000000-0005-0000-0000-000082000000}"/>
    <cellStyle name="SAPBEXHLevel0X" xfId="109" xr:uid="{00000000-0005-0000-0000-000083000000}"/>
    <cellStyle name="SAPBEXHLevel1" xfId="110" xr:uid="{00000000-0005-0000-0000-000084000000}"/>
    <cellStyle name="SAPBEXHLevel1X" xfId="111" xr:uid="{00000000-0005-0000-0000-000085000000}"/>
    <cellStyle name="SAPBEXHLevel2" xfId="112" xr:uid="{00000000-0005-0000-0000-000086000000}"/>
    <cellStyle name="SAPBEXHLevel2X" xfId="113" xr:uid="{00000000-0005-0000-0000-000087000000}"/>
    <cellStyle name="SAPBEXHLevel3" xfId="114" xr:uid="{00000000-0005-0000-0000-000088000000}"/>
    <cellStyle name="SAPBEXHLevel3X" xfId="115" xr:uid="{00000000-0005-0000-0000-000089000000}"/>
    <cellStyle name="SAPBEXresData" xfId="116" xr:uid="{00000000-0005-0000-0000-00008A000000}"/>
    <cellStyle name="SAPBEXresDataEmph" xfId="117" xr:uid="{00000000-0005-0000-0000-00008B000000}"/>
    <cellStyle name="SAPBEXresItem" xfId="118" xr:uid="{00000000-0005-0000-0000-00008C000000}"/>
    <cellStyle name="SAPBEXresItemX" xfId="119" xr:uid="{00000000-0005-0000-0000-00008D000000}"/>
    <cellStyle name="SAPBEXstdData" xfId="120" xr:uid="{00000000-0005-0000-0000-00008E000000}"/>
    <cellStyle name="SAPBEXstdDataEmph" xfId="121" xr:uid="{00000000-0005-0000-0000-00008F000000}"/>
    <cellStyle name="SAPBEXstdItem" xfId="122" xr:uid="{00000000-0005-0000-0000-000090000000}"/>
    <cellStyle name="SAPBEXstdItemX" xfId="123" xr:uid="{00000000-0005-0000-0000-000091000000}"/>
    <cellStyle name="SAPBEXtitle" xfId="124" xr:uid="{00000000-0005-0000-0000-000092000000}"/>
    <cellStyle name="SAPBEXundefined" xfId="125" xr:uid="{00000000-0005-0000-0000-000093000000}"/>
    <cellStyle name="Smart Subtitle 1" xfId="1" xr:uid="{00000000-0005-0000-0000-000094000000}"/>
    <cellStyle name="Standard 2" xfId="132" xr:uid="{00000000-0005-0000-0000-000095000000}"/>
    <cellStyle name="Standard 3" xfId="136" xr:uid="{00000000-0005-0000-0000-000096000000}"/>
    <cellStyle name="Standard 4" xfId="156" xr:uid="{00000000-0005-0000-0000-000097000000}"/>
    <cellStyle name="Stil 1" xfId="131" xr:uid="{00000000-0005-0000-0000-000098000000}"/>
    <cellStyle name="Style 1" xfId="126" xr:uid="{00000000-0005-0000-0000-000099000000}"/>
    <cellStyle name="Tahoma:10:1" xfId="160" xr:uid="{00000000-0005-0000-0000-00009A000000}"/>
    <cellStyle name="Tahoma:10:129" xfId="161" xr:uid="{00000000-0005-0000-0000-00009B000000}"/>
    <cellStyle name="Tahoma:12:1" xfId="157" xr:uid="{00000000-0005-0000-0000-00009C000000}"/>
    <cellStyle name="Tahoma:12:129" xfId="162" xr:uid="{00000000-0005-0000-0000-00009D000000}"/>
    <cellStyle name="Tahoma:8:0" xfId="158" xr:uid="{00000000-0005-0000-0000-00009E000000}"/>
    <cellStyle name="Tahoma:8:1" xfId="159" xr:uid="{00000000-0005-0000-0000-00009F000000}"/>
    <cellStyle name="Tahoma:8:128" xfId="163" xr:uid="{00000000-0005-0000-0000-0000A0000000}"/>
    <cellStyle name="Tahoma:8:129" xfId="164" xr:uid="{00000000-0005-0000-0000-0000A1000000}"/>
    <cellStyle name="Title 2" xfId="127" xr:uid="{00000000-0005-0000-0000-0000A2000000}"/>
    <cellStyle name="Total 2" xfId="128" xr:uid="{00000000-0005-0000-0000-0000A3000000}"/>
    <cellStyle name="Total Row" xfId="129" xr:uid="{00000000-0005-0000-0000-0000A4000000}"/>
    <cellStyle name="TTS" xfId="137" xr:uid="{00000000-0005-0000-0000-0000A5000000}"/>
    <cellStyle name="Warning Text 2" xfId="130" xr:uid="{00000000-0005-0000-0000-0000A6000000}"/>
  </cellStyles>
  <dxfs count="0"/>
  <tableStyles count="0" defaultTableStyle="TableStyleMedium2" defaultPivotStyle="PivotStyleMedium9"/>
  <colors>
    <mruColors>
      <color rgb="FF0033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190500</xdr:colOff>
      <xdr:row>1</xdr:row>
      <xdr:rowOff>63499</xdr:rowOff>
    </xdr:from>
    <xdr:to>
      <xdr:col>31</xdr:col>
      <xdr:colOff>412750</xdr:colOff>
      <xdr:row>38</xdr:row>
      <xdr:rowOff>63500</xdr:rowOff>
    </xdr:to>
    <xdr:pic>
      <xdr:nvPicPr>
        <xdr:cNvPr id="3" name="Picture 2">
          <a:extLst>
            <a:ext uri="{FF2B5EF4-FFF2-40B4-BE49-F238E27FC236}">
              <a16:creationId xmlns:a16="http://schemas.microsoft.com/office/drawing/2014/main" id="{15FF05DF-59B4-4777-89E2-E90BBA0996D4}"/>
            </a:ext>
          </a:extLst>
        </xdr:cNvPr>
        <xdr:cNvPicPr>
          <a:picLocks noChangeAspect="1"/>
        </xdr:cNvPicPr>
      </xdr:nvPicPr>
      <xdr:blipFill rotWithShape="1">
        <a:blip xmlns:r="http://schemas.openxmlformats.org/officeDocument/2006/relationships" r:embed="rId1"/>
        <a:srcRect l="9550" t="24748" r="23254" b="6577"/>
        <a:stretch/>
      </xdr:blipFill>
      <xdr:spPr>
        <a:xfrm>
          <a:off x="8255000" y="317499"/>
          <a:ext cx="12287250" cy="7048501"/>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571500</xdr:colOff>
      <xdr:row>6</xdr:row>
      <xdr:rowOff>172357</xdr:rowOff>
    </xdr:from>
    <xdr:to>
      <xdr:col>14</xdr:col>
      <xdr:colOff>426357</xdr:colOff>
      <xdr:row>34</xdr:row>
      <xdr:rowOff>81643</xdr:rowOff>
    </xdr:to>
    <xdr:sp macro="" textlink="">
      <xdr:nvSpPr>
        <xdr:cNvPr id="2" name="TextBox 1">
          <a:extLst>
            <a:ext uri="{FF2B5EF4-FFF2-40B4-BE49-F238E27FC236}">
              <a16:creationId xmlns:a16="http://schemas.microsoft.com/office/drawing/2014/main" id="{7BAA0104-58CF-7499-B3EC-3443B23FA2F2}"/>
            </a:ext>
          </a:extLst>
        </xdr:cNvPr>
        <xdr:cNvSpPr txBox="1"/>
      </xdr:nvSpPr>
      <xdr:spPr>
        <a:xfrm>
          <a:off x="12827000" y="2503714"/>
          <a:ext cx="8037286" cy="4989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Taken from 10-K Filing Footnotes</a:t>
          </a:r>
        </a:p>
        <a:p>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Stockholders’ Equity</a:t>
          </a:r>
          <a:endParaRPr lang="en-US" sz="1100" b="0" i="0">
            <a:solidFill>
              <a:schemeClr val="dk1"/>
            </a:solidFill>
            <a:effectLst/>
            <a:latin typeface="+mn-lt"/>
            <a:ea typeface="+mn-ea"/>
            <a:cs typeface="+mn-cs"/>
          </a:endParaRPr>
        </a:p>
        <a:p>
          <a:r>
            <a:rPr lang="en-US" sz="1100" b="0" i="1">
              <a:solidFill>
                <a:schemeClr val="dk1"/>
              </a:solidFill>
              <a:effectLst/>
              <a:latin typeface="+mn-lt"/>
              <a:ea typeface="+mn-ea"/>
              <a:cs typeface="+mn-cs"/>
            </a:rPr>
            <a:t>Common Stock Issuance</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On June 15, 2021, we issued 3.125 million shares of our common stock for $175.0 million. In connection with the issuance, we incurred direct and incremental costs of $8.0 million.</a:t>
          </a:r>
        </a:p>
        <a:p>
          <a:r>
            <a:rPr lang="en-US" sz="1100" b="0" i="1">
              <a:solidFill>
                <a:schemeClr val="dk1"/>
              </a:solidFill>
              <a:effectLst/>
              <a:latin typeface="+mn-lt"/>
              <a:ea typeface="+mn-ea"/>
              <a:cs typeface="+mn-cs"/>
            </a:rPr>
            <a:t>Common Stock - Dividends and Share Repurchases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Following the suspension that began in fiscal 2020 due to the impact of COVID-19 on our business and in conjunction with the terms of our Loan Agreement, our Board declared a quarterly dividend in the second quarter of fiscal 2022 and has declared quarterly dividends since then. Our Board declared dividends of $1.08 per common share in the aggregate during fiscal 2023. Future decisions to pay or to increase or decrease dividends are at the discretion of the Board and will be dependent on our operating performance, financial condition, capital expenditure requirements, limitations on cash distributions pursuant to the terms and conditions of the Loan Agreement and applicable law, and such other factors that the Board considers relevant. (See Note 10 for further discussion of our long-term debt.)</a:t>
          </a:r>
        </a:p>
        <a:p>
          <a:r>
            <a:rPr lang="en-US" sz="1100" b="0" i="0">
              <a:solidFill>
                <a:schemeClr val="dk1"/>
              </a:solidFill>
              <a:effectLst/>
              <a:latin typeface="+mn-lt"/>
              <a:ea typeface="+mn-ea"/>
              <a:cs typeface="+mn-cs"/>
            </a:rPr>
            <a:t>On October 26, 2022, our Board increased the authorization to repurchase our common stock by 5.0 million shares to 61.0 million shares. Under this authorization, we have cumulatively repurchased 56.5 million shares at a total cost of $1,811.7 million, excluding excise tax, through January 2, 2024. </a:t>
          </a:r>
          <a:r>
            <a:rPr lang="en-US" sz="1100" b="1" i="0">
              <a:solidFill>
                <a:schemeClr val="dk1"/>
              </a:solidFill>
              <a:effectLst/>
              <a:latin typeface="+mn-lt"/>
              <a:ea typeface="+mn-ea"/>
              <a:cs typeface="+mn-cs"/>
            </a:rPr>
            <a:t>During fiscal 2023, 2022 and 2021, we repurchased 1.4 million, 2.0 million and 0.1 million shares of our common stock at a cost of $46.1 million, $63.1 million and $5.8 million, excluding excise tax, respectively</a:t>
          </a:r>
          <a:r>
            <a:rPr lang="en-US" sz="1100" b="0" i="0">
              <a:solidFill>
                <a:schemeClr val="dk1"/>
              </a:solidFill>
              <a:effectLst/>
              <a:latin typeface="+mn-lt"/>
              <a:ea typeface="+mn-ea"/>
              <a:cs typeface="+mn-cs"/>
            </a:rPr>
            <a:t>. The increase from fiscal 2021 to 2022 is primarily due to the resumption of our share repurchase program in the second quarter of fiscal 2022 after the suspension that began in fiscal 2020 due to the impact of COVID-19 on our business and in conjunction with the terms of our Loan Agreement. Our objectives with regard to share repurchases have been to offset the dilution to our shares outstanding that results from equity compensation grants and to supplement our earnings per share growth. Repurchased common stock is reflected as a reduction of stockholders’ equity in treasury stock.</a:t>
          </a:r>
        </a:p>
        <a:p>
          <a:r>
            <a:rPr lang="en-US" sz="1100" b="0" i="0">
              <a:solidFill>
                <a:schemeClr val="dk1"/>
              </a:solidFill>
              <a:effectLst/>
              <a:latin typeface="+mn-lt"/>
              <a:ea typeface="+mn-ea"/>
              <a:cs typeface="+mn-cs"/>
            </a:rPr>
            <a:t>Our share repurchase program does not have an expiration date, does not require us to purchase a specific number of shares and may be modified, suspended or terminated at any time. Share repurchases may be made from time to time in open market purchases, privately-negotiated transactions, accelerated share repurchase programs, issuer self-tender offers or otherwise. Future decisions to repurchase shares are at the discretion of the Board and are based on several factors, including current and forecasted operating cash flows, capital needs associated with new restaurant development and maintenance of existing locations, dividend payments, debt levels and cost of borrowing, obligations associated with the FRC acquisition, our share price and current market conditions. The timing and number of shares repurchased are also subject to legal constraints and covenants under our Loan Agreement that limit share repurchases based on a defined ratio. (See Note 10 for further discussion of our long-term debt.)</a:t>
          </a:r>
        </a:p>
        <a:p>
          <a:br>
            <a:rPr lang="en-US"/>
          </a:br>
          <a:endParaRPr lang="en-US" sz="1100" kern="12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sj.com/market-data/quotes/bond/BX/TMUBMUSD10Y/historical-prices" TargetMode="External"/><Relationship Id="rId1" Type="http://schemas.openxmlformats.org/officeDocument/2006/relationships/hyperlink" Target="https://finance.yahoo.com/quote/CAK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javascript:void(0);" TargetMode="External"/><Relationship Id="rId1"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3C27-A900-4583-A714-39EADFE35FEA}">
  <sheetPr>
    <tabColor rgb="FF002060"/>
  </sheetPr>
  <dimension ref="A1:E21"/>
  <sheetViews>
    <sheetView tabSelected="1" zoomScale="90" zoomScaleNormal="90" workbookViewId="0"/>
  </sheetViews>
  <sheetFormatPr defaultRowHeight="14.5"/>
  <cols>
    <col min="1" max="1" width="23" style="112" customWidth="1"/>
    <col min="2" max="2" width="12.453125" style="112" customWidth="1"/>
    <col min="3" max="3" width="10.81640625" style="112" bestFit="1" customWidth="1"/>
    <col min="4" max="16384" width="8.7265625" style="112"/>
  </cols>
  <sheetData>
    <row r="1" spans="1:5" ht="21">
      <c r="A1" s="190" t="s">
        <v>348</v>
      </c>
      <c r="E1" s="149"/>
    </row>
    <row r="2" spans="1:5">
      <c r="E2" s="149"/>
    </row>
    <row r="3" spans="1:5">
      <c r="A3" s="112" t="s">
        <v>110</v>
      </c>
      <c r="B3" s="134">
        <f>'P&amp;L'!C36</f>
        <v>1</v>
      </c>
    </row>
    <row r="4" spans="1:5">
      <c r="A4" s="112" t="s">
        <v>349</v>
      </c>
      <c r="B4" s="112" t="s">
        <v>359</v>
      </c>
    </row>
    <row r="5" spans="1:5">
      <c r="A5" s="112" t="s">
        <v>350</v>
      </c>
      <c r="B5" s="112" t="s">
        <v>360</v>
      </c>
    </row>
    <row r="6" spans="1:5">
      <c r="A6" s="112" t="s">
        <v>351</v>
      </c>
      <c r="B6" s="112" t="s">
        <v>361</v>
      </c>
    </row>
    <row r="7" spans="1:5">
      <c r="A7" s="112" t="s">
        <v>352</v>
      </c>
      <c r="B7" s="199">
        <f>4.543/100</f>
        <v>4.5429999999999998E-2</v>
      </c>
      <c r="C7" s="150">
        <f ca="1">TODAY()</f>
        <v>45656</v>
      </c>
    </row>
    <row r="8" spans="1:5">
      <c r="A8" s="112" t="s">
        <v>353</v>
      </c>
      <c r="B8" s="152">
        <v>0.05</v>
      </c>
    </row>
    <row r="9" spans="1:5">
      <c r="A9" s="112" t="s">
        <v>354</v>
      </c>
      <c r="B9" s="153">
        <v>1.48</v>
      </c>
    </row>
    <row r="10" spans="1:5">
      <c r="A10" s="112" t="s">
        <v>355</v>
      </c>
      <c r="B10" s="112">
        <v>47.37</v>
      </c>
      <c r="C10" s="150">
        <f ca="1">TODAY()</f>
        <v>45656</v>
      </c>
    </row>
    <row r="11" spans="1:5">
      <c r="A11" s="112" t="s">
        <v>356</v>
      </c>
      <c r="B11" s="152">
        <v>1.5699999999999999E-2</v>
      </c>
      <c r="C11" s="150">
        <f ca="1">TODAY()</f>
        <v>45656</v>
      </c>
    </row>
    <row r="12" spans="1:5">
      <c r="A12" s="112" t="s">
        <v>357</v>
      </c>
      <c r="B12" s="151">
        <v>0.21</v>
      </c>
    </row>
    <row r="13" spans="1:5">
      <c r="A13" s="112" t="s">
        <v>358</v>
      </c>
      <c r="B13" s="152">
        <v>2.3199999999999998E-2</v>
      </c>
    </row>
    <row r="14" spans="1:5">
      <c r="A14" s="454" t="s">
        <v>365</v>
      </c>
    </row>
    <row r="15" spans="1:5">
      <c r="A15" s="455" t="s">
        <v>366</v>
      </c>
    </row>
    <row r="16" spans="1:5">
      <c r="A16" s="456" t="s">
        <v>530</v>
      </c>
    </row>
    <row r="17" spans="1:1">
      <c r="A17" s="456" t="s">
        <v>364</v>
      </c>
    </row>
    <row r="18" spans="1:1">
      <c r="A18" s="457"/>
    </row>
    <row r="19" spans="1:1">
      <c r="A19" s="457"/>
    </row>
    <row r="20" spans="1:1">
      <c r="A20" s="457"/>
    </row>
    <row r="21" spans="1:1">
      <c r="A21" s="457"/>
    </row>
  </sheetData>
  <hyperlinks>
    <hyperlink ref="A17" r:id="rId1" xr:uid="{2AF8FFD1-31A4-46BE-A009-24870D212A82}"/>
    <hyperlink ref="A16" r:id="rId2" xr:uid="{94A4F562-A73D-41BF-BC7D-E754FE0620A8}"/>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9A2B-350D-423A-8F62-D0D68965BF2E}">
  <sheetPr codeName="Sheet41">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8" t="s">
        <v>374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tabColor rgb="FF00B050"/>
  </sheetPr>
  <dimension ref="B1:M35"/>
  <sheetViews>
    <sheetView topLeftCell="B1" zoomScaleNormal="100" workbookViewId="0">
      <selection activeCell="B1" sqref="B1"/>
    </sheetView>
  </sheetViews>
  <sheetFormatPr defaultColWidth="9.08984375" defaultRowHeight="11.5"/>
  <cols>
    <col min="1" max="1" width="2" style="4" customWidth="1"/>
    <col min="2" max="2" width="27.90625" style="4" bestFit="1" customWidth="1"/>
    <col min="3" max="3" width="13.453125" style="4" customWidth="1"/>
    <col min="4" max="6" width="10.54296875" style="4" bestFit="1" customWidth="1"/>
    <col min="7" max="7" width="10.08984375" style="4" bestFit="1" customWidth="1"/>
    <col min="8" max="8" width="1.26953125" style="4" customWidth="1"/>
    <col min="9" max="16384" width="9.08984375" style="4"/>
  </cols>
  <sheetData>
    <row r="1" spans="2:13" ht="15.5">
      <c r="B1" s="3" t="s">
        <v>1</v>
      </c>
    </row>
    <row r="2" spans="2:13" ht="12">
      <c r="G2" s="60" t="s">
        <v>87</v>
      </c>
    </row>
    <row r="3" spans="2:13" ht="23">
      <c r="B3" s="5" t="s">
        <v>20</v>
      </c>
      <c r="C3" s="5"/>
      <c r="D3" s="6" t="s">
        <v>83</v>
      </c>
      <c r="E3" s="6" t="s">
        <v>82</v>
      </c>
      <c r="F3" s="6" t="s">
        <v>81</v>
      </c>
      <c r="G3" s="6" t="s">
        <v>85</v>
      </c>
    </row>
    <row r="4" spans="2:13" ht="7" customHeight="1">
      <c r="D4" s="10"/>
      <c r="E4" s="10"/>
      <c r="F4" s="10"/>
      <c r="G4" s="10"/>
    </row>
    <row r="5" spans="2:13">
      <c r="B5" s="4" t="s">
        <v>4</v>
      </c>
      <c r="D5" s="10">
        <f>'PrelimPL_21-23'!B4</f>
        <v>2927540</v>
      </c>
      <c r="E5" s="10">
        <f>'PrelimPL_21-23'!C4</f>
        <v>3303156</v>
      </c>
      <c r="F5" s="10">
        <f>'PrelimPL_21-23'!D4</f>
        <v>3439503</v>
      </c>
      <c r="G5" s="10">
        <f>'PrelimPL_21-23'!E4</f>
        <v>1795265</v>
      </c>
      <c r="J5" s="28"/>
      <c r="K5" s="28"/>
      <c r="L5" s="28"/>
      <c r="M5" s="28"/>
    </row>
    <row r="6" spans="2:13">
      <c r="B6" s="24" t="s">
        <v>80</v>
      </c>
      <c r="C6" s="24"/>
      <c r="D6" s="25">
        <f>SUM(D5)</f>
        <v>2927540</v>
      </c>
      <c r="E6" s="25">
        <f>E4+E5</f>
        <v>3303156</v>
      </c>
      <c r="F6" s="25">
        <f>F4+F5</f>
        <v>3439503</v>
      </c>
      <c r="G6" s="25">
        <f>G4+G5</f>
        <v>1795265</v>
      </c>
    </row>
    <row r="7" spans="2:13" ht="7" customHeight="1">
      <c r="B7" s="57"/>
      <c r="C7" s="57"/>
      <c r="D7" s="58"/>
      <c r="E7" s="58"/>
      <c r="F7" s="58"/>
      <c r="G7" s="58"/>
    </row>
    <row r="8" spans="2:13">
      <c r="B8" s="4" t="s">
        <v>54</v>
      </c>
      <c r="D8" s="10">
        <f>'PrelimPL_21-23'!B6</f>
        <v>653133</v>
      </c>
      <c r="E8" s="10">
        <f>'PrelimPL_21-23'!C6</f>
        <v>810926</v>
      </c>
      <c r="F8" s="10">
        <f>'PrelimPL_21-23'!D6</f>
        <v>803500</v>
      </c>
      <c r="G8" s="10">
        <f>'PrelimPL_21-23'!E6</f>
        <v>404947</v>
      </c>
    </row>
    <row r="9" spans="2:13">
      <c r="B9" s="4" t="s">
        <v>55</v>
      </c>
      <c r="D9" s="10">
        <f>'PrelimPL_21-23'!B7</f>
        <v>1072628</v>
      </c>
      <c r="E9" s="10">
        <f>'PrelimPL_21-23'!C7</f>
        <v>1211951</v>
      </c>
      <c r="F9" s="10">
        <f>'PrelimPL_21-23'!D7</f>
        <v>1227895</v>
      </c>
      <c r="G9" s="10">
        <f>'PrelimPL_21-23'!E7</f>
        <v>638212</v>
      </c>
    </row>
    <row r="10" spans="2:13">
      <c r="B10" s="4" t="s">
        <v>56</v>
      </c>
      <c r="D10" s="10">
        <f>'PrelimPL_21-23'!B8</f>
        <v>792311</v>
      </c>
      <c r="E10" s="10">
        <f>'PrelimPL_21-23'!C8</f>
        <v>881627</v>
      </c>
      <c r="F10" s="10">
        <f>'PrelimPL_21-23'!D8</f>
        <v>922428</v>
      </c>
      <c r="G10" s="10">
        <f>'PrelimPL_21-23'!E8</f>
        <v>472638</v>
      </c>
    </row>
    <row r="11" spans="2:13">
      <c r="B11" s="4" t="s">
        <v>57</v>
      </c>
      <c r="D11" s="10">
        <f>'PrelimPL_21-23'!B9</f>
        <v>186136</v>
      </c>
      <c r="E11" s="10">
        <f>'PrelimPL_21-23'!C9</f>
        <v>205753</v>
      </c>
      <c r="F11" s="10">
        <f>'PrelimPL_21-23'!D9</f>
        <v>217449</v>
      </c>
      <c r="G11" s="10">
        <f>'PrelimPL_21-23'!E9</f>
        <v>114750</v>
      </c>
    </row>
    <row r="12" spans="2:13">
      <c r="B12" s="4" t="s">
        <v>77</v>
      </c>
      <c r="D12" s="10">
        <f>'PrelimPL_21-23'!B11</f>
        <v>18139</v>
      </c>
      <c r="E12" s="10">
        <f>'PrelimPL_21-23'!C11</f>
        <v>31387</v>
      </c>
      <c r="F12" s="10">
        <f>'PrelimPL_21-23'!D11</f>
        <v>29464</v>
      </c>
      <c r="G12" s="10">
        <f>'PrelimPL_21-23'!E11</f>
        <v>1895</v>
      </c>
    </row>
    <row r="13" spans="2:13">
      <c r="B13" s="4" t="s">
        <v>59</v>
      </c>
      <c r="D13" s="10">
        <f>'PrelimPL_21-23'!B12</f>
        <v>19510</v>
      </c>
      <c r="E13" s="10">
        <f>'PrelimPL_21-23'!C12</f>
        <v>13368</v>
      </c>
      <c r="F13" s="10">
        <f>'PrelimPL_21-23'!D12</f>
        <v>11686</v>
      </c>
      <c r="G13" s="10">
        <f>'PrelimPL_21-23'!E12</f>
        <v>2267</v>
      </c>
    </row>
    <row r="14" spans="2:13">
      <c r="B14" s="4" t="s">
        <v>60</v>
      </c>
      <c r="D14" s="10">
        <f>'PrelimPL_21-23'!B13</f>
        <v>13711</v>
      </c>
      <c r="E14" s="10">
        <f>'PrelimPL_21-23'!C13</f>
        <v>16829</v>
      </c>
      <c r="F14" s="10">
        <f>'PrelimPL_21-23'!D13</f>
        <v>25379</v>
      </c>
      <c r="G14" s="10">
        <f>'PrelimPL_21-23'!E13</f>
        <v>12855</v>
      </c>
    </row>
    <row r="15" spans="2:13">
      <c r="B15" s="4" t="s">
        <v>84</v>
      </c>
      <c r="D15" s="10">
        <f>SUM(D8:D14)</f>
        <v>2755568</v>
      </c>
      <c r="E15" s="10">
        <f t="shared" ref="E15:G15" si="0">SUM(E8:E14)</f>
        <v>3171841</v>
      </c>
      <c r="F15" s="10">
        <f t="shared" si="0"/>
        <v>3237801</v>
      </c>
      <c r="G15" s="10">
        <f t="shared" si="0"/>
        <v>1647564</v>
      </c>
    </row>
    <row r="16" spans="2:13">
      <c r="B16" s="24" t="s">
        <v>5</v>
      </c>
      <c r="C16" s="24"/>
      <c r="D16" s="25">
        <f t="shared" ref="D16:E16" si="1">D6-D15</f>
        <v>171972</v>
      </c>
      <c r="E16" s="25">
        <f t="shared" si="1"/>
        <v>131315</v>
      </c>
      <c r="F16" s="25">
        <f>F6-F15</f>
        <v>201702</v>
      </c>
      <c r="G16" s="25">
        <f>G6-G15</f>
        <v>147701</v>
      </c>
    </row>
    <row r="17" spans="2:8" ht="7" customHeight="1">
      <c r="D17" s="10"/>
      <c r="E17" s="10"/>
      <c r="F17" s="10"/>
      <c r="G17" s="10"/>
    </row>
    <row r="18" spans="2:8">
      <c r="B18" s="4" t="s">
        <v>6</v>
      </c>
      <c r="D18" s="10">
        <f>-'PrelimPL_21-23'!B10</f>
        <v>-89654</v>
      </c>
      <c r="E18" s="10">
        <f>-'PrelimPL_21-23'!C10</f>
        <v>-92380</v>
      </c>
      <c r="F18" s="10">
        <f>-'PrelimPL_21-23'!D10</f>
        <v>-93136</v>
      </c>
      <c r="G18" s="10">
        <f>-'PrelimPL_21-23'!E10</f>
        <v>-49716</v>
      </c>
    </row>
    <row r="19" spans="2:8">
      <c r="D19" s="10"/>
      <c r="E19" s="10"/>
      <c r="F19" s="10"/>
      <c r="G19" s="10"/>
    </row>
    <row r="20" spans="2:8">
      <c r="B20" s="24" t="s">
        <v>7</v>
      </c>
      <c r="C20" s="24"/>
      <c r="D20" s="25">
        <f>D16+D18</f>
        <v>82318</v>
      </c>
      <c r="E20" s="25">
        <f t="shared" ref="E20:F20" si="2">E16+E18</f>
        <v>38935</v>
      </c>
      <c r="F20" s="25">
        <f t="shared" si="2"/>
        <v>108566</v>
      </c>
      <c r="G20" s="25">
        <f t="shared" ref="G20" si="3">G16+G18</f>
        <v>97985</v>
      </c>
    </row>
    <row r="21" spans="2:8" ht="7" customHeight="1">
      <c r="D21" s="10"/>
      <c r="E21" s="10"/>
      <c r="F21" s="10"/>
      <c r="G21" s="10"/>
    </row>
    <row r="22" spans="2:8">
      <c r="B22" s="4" t="s">
        <v>63</v>
      </c>
      <c r="D22" s="10">
        <f>'PrelimPL_21-23'!B16</f>
        <v>-10698</v>
      </c>
      <c r="E22" s="10">
        <f>'PrelimPL_21-23'!C16</f>
        <v>-6043</v>
      </c>
      <c r="F22" s="10">
        <f>'PrelimPL_21-23'!D16</f>
        <v>-8552</v>
      </c>
      <c r="G22" s="10">
        <f>'PrelimPL_21-23'!E16</f>
        <v>-4109</v>
      </c>
    </row>
    <row r="23" spans="2:8">
      <c r="D23" s="10"/>
      <c r="E23" s="10"/>
      <c r="F23" s="10"/>
      <c r="G23" s="10"/>
    </row>
    <row r="24" spans="2:8">
      <c r="B24" s="24" t="s">
        <v>8</v>
      </c>
      <c r="C24" s="24"/>
      <c r="D24" s="25">
        <f>D20+D22</f>
        <v>71620</v>
      </c>
      <c r="E24" s="25">
        <f t="shared" ref="E24:F24" si="4">E20+E22</f>
        <v>32892</v>
      </c>
      <c r="F24" s="25">
        <f t="shared" si="4"/>
        <v>100014</v>
      </c>
      <c r="G24" s="25">
        <f t="shared" ref="G24" si="5">G20+G22</f>
        <v>93876</v>
      </c>
    </row>
    <row r="25" spans="2:8" ht="7" customHeight="1">
      <c r="D25" s="10"/>
      <c r="E25" s="10"/>
      <c r="F25" s="10"/>
      <c r="G25" s="10"/>
    </row>
    <row r="26" spans="2:8">
      <c r="B26" s="4" t="s">
        <v>9</v>
      </c>
      <c r="D26" s="10">
        <f>-'PrelimPL_21-23'!B18</f>
        <v>753</v>
      </c>
      <c r="E26" s="10">
        <f>-'PrelimPL_21-23'!C18</f>
        <v>10231</v>
      </c>
      <c r="F26" s="10">
        <f>-'PrelimPL_21-23'!D18</f>
        <v>1337</v>
      </c>
      <c r="G26" s="10">
        <f>-'PrelimPL_21-23'!E18</f>
        <v>-8241</v>
      </c>
    </row>
    <row r="27" spans="2:8">
      <c r="B27" s="59" t="s">
        <v>86</v>
      </c>
      <c r="D27" s="10"/>
      <c r="E27" s="10"/>
      <c r="F27" s="10"/>
      <c r="G27" s="10"/>
    </row>
    <row r="28" spans="2:8" ht="12" thickBot="1">
      <c r="B28" s="12" t="s">
        <v>10</v>
      </c>
      <c r="C28" s="12"/>
      <c r="D28" s="23">
        <f>D24+D26</f>
        <v>72373</v>
      </c>
      <c r="E28" s="23">
        <f t="shared" ref="E28" si="6">E24+E26</f>
        <v>43123</v>
      </c>
      <c r="F28" s="23">
        <f>F24+F26</f>
        <v>101351</v>
      </c>
      <c r="G28" s="23">
        <f>G24+G26</f>
        <v>85635</v>
      </c>
    </row>
    <row r="30" spans="2:8">
      <c r="B30" s="4" t="s">
        <v>76</v>
      </c>
      <c r="D30" s="73">
        <f>'PrelimPL_21-23'!B20</f>
        <v>-18661</v>
      </c>
      <c r="E30" s="73">
        <f>'PrelimPL_21-23'!C20</f>
        <v>0</v>
      </c>
      <c r="F30" s="73">
        <f>'PrelimPL_21-23'!D20</f>
        <v>0</v>
      </c>
      <c r="G30" s="73">
        <f>'PrelimPL_21-23'!E20</f>
        <v>0</v>
      </c>
    </row>
    <row r="31" spans="2:8">
      <c r="B31" s="4" t="s">
        <v>75</v>
      </c>
      <c r="D31" s="73">
        <f>'PrelimPL_21-23'!B21</f>
        <v>-4581</v>
      </c>
      <c r="E31" s="73">
        <f>'PrelimPL_21-23'!C21</f>
        <v>0</v>
      </c>
      <c r="F31" s="73">
        <f>'PrelimPL_21-23'!D21</f>
        <v>0</v>
      </c>
      <c r="G31" s="73">
        <f>'PrelimPL_21-23'!E21</f>
        <v>0</v>
      </c>
    </row>
    <row r="32" spans="2:8" ht="12" thickBot="1">
      <c r="B32" s="7" t="s">
        <v>102</v>
      </c>
      <c r="C32" s="7"/>
      <c r="D32" s="11">
        <f>D28+SUM(D30:D31)</f>
        <v>49131</v>
      </c>
      <c r="E32" s="11">
        <f t="shared" ref="E32:H32" si="7">E28+SUM(E30:E31)</f>
        <v>43123</v>
      </c>
      <c r="F32" s="11">
        <f t="shared" si="7"/>
        <v>101351</v>
      </c>
      <c r="G32" s="11">
        <f t="shared" si="7"/>
        <v>85635</v>
      </c>
      <c r="H32" s="11">
        <f t="shared" si="7"/>
        <v>0</v>
      </c>
    </row>
    <row r="34" spans="2:8">
      <c r="B34" s="65" t="s">
        <v>109</v>
      </c>
      <c r="D34" s="10">
        <f>'PrelimPL_21-23'!B28</f>
        <v>48510</v>
      </c>
      <c r="E34" s="10">
        <f>'PrelimPL_21-23'!C28</f>
        <v>50414</v>
      </c>
      <c r="F34" s="10">
        <f>'PrelimPL_21-23'!D28</f>
        <v>49050</v>
      </c>
      <c r="G34" s="10">
        <f>'PrelimPL_21-23'!E28</f>
        <v>48685</v>
      </c>
      <c r="H34" s="10"/>
    </row>
    <row r="35" spans="2:8" ht="12" thickBot="1">
      <c r="B35" s="7" t="s">
        <v>91</v>
      </c>
      <c r="C35" s="64"/>
      <c r="D35" s="63">
        <f>D32/D34</f>
        <v>1.0128014842300557</v>
      </c>
      <c r="E35" s="63">
        <f t="shared" ref="E35:G35" si="8">E32/E34</f>
        <v>0.85537747451104851</v>
      </c>
      <c r="F35" s="63">
        <f t="shared" si="8"/>
        <v>2.0662793068297653</v>
      </c>
      <c r="G35" s="63">
        <f t="shared" si="8"/>
        <v>1.7589606655027217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00B050"/>
  </sheetPr>
  <dimension ref="B1:L27"/>
  <sheetViews>
    <sheetView workbookViewId="0"/>
  </sheetViews>
  <sheetFormatPr defaultColWidth="9.08984375" defaultRowHeight="11.5"/>
  <cols>
    <col min="1" max="1" width="2" style="4" customWidth="1"/>
    <col min="2" max="2" width="24.08984375" style="4" bestFit="1" customWidth="1"/>
    <col min="3" max="3" width="10.54296875" style="4" bestFit="1" customWidth="1"/>
    <col min="4" max="4" width="10.90625" style="4" customWidth="1"/>
    <col min="5" max="5" width="10.6328125" style="4" customWidth="1"/>
    <col min="6" max="6" width="10" style="4" bestFit="1" customWidth="1"/>
    <col min="7" max="7" width="9.08984375" style="4"/>
    <col min="8" max="8" width="22.08984375" style="4" bestFit="1" customWidth="1"/>
    <col min="9" max="9" width="11.36328125" style="4" customWidth="1"/>
    <col min="10" max="10" width="10" style="4" bestFit="1" customWidth="1"/>
    <col min="11" max="11" width="10.54296875" style="4" customWidth="1"/>
    <col min="12" max="12" width="11.08984375" style="4" customWidth="1"/>
    <col min="13" max="16384" width="9.08984375" style="4"/>
  </cols>
  <sheetData>
    <row r="1" spans="2:12" ht="15.5">
      <c r="B1" s="3" t="s">
        <v>0</v>
      </c>
    </row>
    <row r="2" spans="2:12" ht="12">
      <c r="F2" s="60" t="s">
        <v>87</v>
      </c>
      <c r="L2" s="60" t="s">
        <v>87</v>
      </c>
    </row>
    <row r="3" spans="2:12" ht="23.5" thickBot="1">
      <c r="B3" s="5" t="s">
        <v>20</v>
      </c>
      <c r="C3" s="14" t="s">
        <v>92</v>
      </c>
      <c r="D3" s="14" t="s">
        <v>93</v>
      </c>
      <c r="E3" s="14" t="s">
        <v>94</v>
      </c>
      <c r="F3" s="14" t="s">
        <v>95</v>
      </c>
      <c r="H3" s="5" t="s">
        <v>20</v>
      </c>
      <c r="I3" s="14" t="s">
        <v>92</v>
      </c>
      <c r="J3" s="14" t="s">
        <v>93</v>
      </c>
      <c r="K3" s="14" t="s">
        <v>94</v>
      </c>
      <c r="L3" s="14" t="s">
        <v>95</v>
      </c>
    </row>
    <row r="4" spans="2:12">
      <c r="B4" s="4" t="s">
        <v>113</v>
      </c>
      <c r="C4" s="10">
        <f>'PrelimBS21-24'!B4</f>
        <v>189627</v>
      </c>
      <c r="D4" s="10">
        <f>'PrelimBS21-24'!C4</f>
        <v>114777</v>
      </c>
      <c r="E4" s="10">
        <f>'PrelimBS21-24'!D4</f>
        <v>56290</v>
      </c>
      <c r="F4" s="10">
        <f>'PrelimBS21-24'!E4</f>
        <v>40654</v>
      </c>
      <c r="G4" s="10"/>
      <c r="H4" s="10" t="s">
        <v>378</v>
      </c>
      <c r="I4" s="10">
        <f>'PrelimBS21-24'!B29</f>
        <v>0</v>
      </c>
      <c r="J4" s="10" t="str">
        <f>'PrelimBS21-24'!C29</f>
        <v xml:space="preserve"> </v>
      </c>
      <c r="K4" s="10" t="str">
        <f>'PrelimBS21-24'!D29</f>
        <v xml:space="preserve"> </v>
      </c>
      <c r="L4" s="10">
        <f>'PrelimBS21-24'!E29</f>
        <v>0</v>
      </c>
    </row>
    <row r="5" spans="2:12">
      <c r="B5" s="4" t="s">
        <v>145</v>
      </c>
      <c r="C5" s="10">
        <f>'PrelimBS21-24'!B5</f>
        <v>100504</v>
      </c>
      <c r="D5" s="10">
        <f>'PrelimBS21-24'!C5</f>
        <v>105511</v>
      </c>
      <c r="E5" s="10">
        <f>'PrelimBS21-24'!D5</f>
        <v>103094</v>
      </c>
      <c r="F5" s="10">
        <f>'PrelimBS21-24'!E5</f>
        <v>72420</v>
      </c>
      <c r="G5" s="10"/>
      <c r="H5" s="10" t="s">
        <v>379</v>
      </c>
      <c r="I5" s="10">
        <f>'PrelimBS21-24'!B30</f>
        <v>1054</v>
      </c>
      <c r="J5" s="10">
        <f>'PrelimBS21-24'!C30</f>
        <v>1063</v>
      </c>
      <c r="K5" s="10">
        <f>'PrelimBS21-24'!D30</f>
        <v>1072</v>
      </c>
      <c r="L5" s="10">
        <f>'PrelimBS21-24'!E30</f>
        <v>1079</v>
      </c>
    </row>
    <row r="6" spans="2:12">
      <c r="B6" s="4" t="s">
        <v>12</v>
      </c>
      <c r="C6" s="10">
        <f>'PrelimBS21-24'!B7</f>
        <v>42839</v>
      </c>
      <c r="D6" s="10">
        <f>'PrelimBS21-24'!C7</f>
        <v>55559</v>
      </c>
      <c r="E6" s="10">
        <f>'PrelimBS21-24'!D7</f>
        <v>57654</v>
      </c>
      <c r="F6" s="10">
        <f>'PrelimBS21-24'!E7</f>
        <v>70987</v>
      </c>
      <c r="G6" s="10"/>
      <c r="H6" s="10" t="s">
        <v>136</v>
      </c>
      <c r="I6" s="10">
        <f>'PrelimBS21-24'!B31</f>
        <v>862758</v>
      </c>
      <c r="J6" s="10">
        <f>'PrelimBS21-24'!C31</f>
        <v>887485</v>
      </c>
      <c r="K6" s="10">
        <f>'PrelimBS21-24'!D31</f>
        <v>913442</v>
      </c>
      <c r="L6" s="10">
        <f>'PrelimBS21-24'!E31</f>
        <v>928015</v>
      </c>
    </row>
    <row r="7" spans="2:12">
      <c r="B7" s="4" t="s">
        <v>146</v>
      </c>
      <c r="C7" s="10">
        <f t="shared" ref="C7:E7" si="0">SUM(C8:C9)</f>
        <v>72619</v>
      </c>
      <c r="D7" s="10">
        <f t="shared" si="0"/>
        <v>69921</v>
      </c>
      <c r="E7" s="10">
        <f t="shared" si="0"/>
        <v>83760</v>
      </c>
      <c r="F7" s="10">
        <f>SUM(F8:F9)</f>
        <v>93874</v>
      </c>
      <c r="G7" s="10"/>
      <c r="H7" s="10" t="s">
        <v>15</v>
      </c>
      <c r="I7" s="10">
        <f>'PrelimBS21-24'!B32</f>
        <v>1169150</v>
      </c>
      <c r="J7" s="10">
        <f>'PrelimBS21-24'!C32</f>
        <v>1170078</v>
      </c>
      <c r="K7" s="10">
        <f>'PrelimBS21-24'!D32</f>
        <v>1216239</v>
      </c>
      <c r="L7" s="10">
        <f>'PrelimBS21-24'!E32</f>
        <v>1274339</v>
      </c>
    </row>
    <row r="8" spans="2:12">
      <c r="B8" s="67" t="s">
        <v>115</v>
      </c>
      <c r="C8" s="10">
        <f>'PrelimBS21-24'!B6</f>
        <v>36173</v>
      </c>
      <c r="D8" s="10">
        <f>'PrelimBS21-24'!C6</f>
        <v>21522</v>
      </c>
      <c r="E8" s="10">
        <f>'PrelimBS21-24'!D6</f>
        <v>20670</v>
      </c>
      <c r="F8" s="10">
        <f>'PrelimBS21-24'!E6</f>
        <v>24855</v>
      </c>
      <c r="G8" s="10"/>
      <c r="H8" s="10" t="s">
        <v>380</v>
      </c>
      <c r="I8" s="10">
        <f>'PrelimBS21-24'!B33</f>
        <v>-1702509</v>
      </c>
      <c r="J8" s="10">
        <f>'PrelimBS21-24'!C33</f>
        <v>-1765641</v>
      </c>
      <c r="K8" s="10">
        <f>'PrelimBS21-24'!D33</f>
        <v>-1811997</v>
      </c>
      <c r="L8" s="10">
        <f>'PrelimBS21-24'!E33</f>
        <v>-1828382</v>
      </c>
    </row>
    <row r="9" spans="2:12">
      <c r="B9" s="67" t="s">
        <v>117</v>
      </c>
      <c r="C9" s="10">
        <f>'PrelimBS21-24'!B8</f>
        <v>36446</v>
      </c>
      <c r="D9" s="10">
        <f>'PrelimBS21-24'!C8</f>
        <v>48399</v>
      </c>
      <c r="E9" s="10">
        <f>'PrelimBS21-24'!D8</f>
        <v>63090</v>
      </c>
      <c r="F9" s="10">
        <f>'PrelimBS21-24'!E8</f>
        <v>69019</v>
      </c>
      <c r="G9" s="10"/>
      <c r="H9" s="10" t="s">
        <v>381</v>
      </c>
      <c r="I9" s="10">
        <f>'PrelimBS21-24'!B34</f>
        <v>-287</v>
      </c>
      <c r="J9" s="10">
        <f>'PrelimBS21-24'!C34</f>
        <v>-982</v>
      </c>
      <c r="K9" s="10">
        <f>'PrelimBS21-24'!D34</f>
        <v>-694</v>
      </c>
      <c r="L9" s="10">
        <f>'PrelimBS21-24'!E34</f>
        <v>-1071</v>
      </c>
    </row>
    <row r="10" spans="2:12" ht="12" thickBot="1">
      <c r="B10" s="7" t="s">
        <v>118</v>
      </c>
      <c r="C10" s="11">
        <f>C6+C5+C4+C8+C9</f>
        <v>405589</v>
      </c>
      <c r="D10" s="11">
        <f>D6+D5+D4+D8+D9</f>
        <v>345768</v>
      </c>
      <c r="E10" s="11">
        <f t="shared" ref="E10:F10" si="1">E6+E5+E4+E8+E9</f>
        <v>300798</v>
      </c>
      <c r="F10" s="11">
        <f t="shared" si="1"/>
        <v>277935</v>
      </c>
      <c r="G10" s="10"/>
      <c r="H10" s="11" t="s">
        <v>16</v>
      </c>
      <c r="I10" s="11">
        <f>SUM(I4:I9)</f>
        <v>330166</v>
      </c>
      <c r="J10" s="11">
        <f t="shared" ref="J10:L10" si="2">SUM(J4:J9)</f>
        <v>292003</v>
      </c>
      <c r="K10" s="11">
        <f t="shared" si="2"/>
        <v>318062</v>
      </c>
      <c r="L10" s="11">
        <f t="shared" si="2"/>
        <v>373980</v>
      </c>
    </row>
    <row r="11" spans="2:12">
      <c r="B11" s="57"/>
      <c r="C11" s="58"/>
      <c r="D11" s="58"/>
      <c r="E11" s="58"/>
      <c r="F11" s="58"/>
      <c r="G11" s="10"/>
      <c r="H11" s="58"/>
      <c r="I11" s="58"/>
      <c r="J11" s="58"/>
      <c r="K11" s="58"/>
      <c r="L11" s="58"/>
    </row>
    <row r="12" spans="2:12">
      <c r="D12" s="10"/>
      <c r="E12" s="10"/>
      <c r="F12" s="10"/>
      <c r="G12" s="10"/>
      <c r="H12" s="4" t="s">
        <v>127</v>
      </c>
      <c r="I12" s="10">
        <f>'PrelimBS21-24'!B18</f>
        <v>54086</v>
      </c>
      <c r="J12" s="10">
        <f>'PrelimBS21-24'!C18</f>
        <v>66638</v>
      </c>
      <c r="K12" s="10">
        <f>'PrelimBS21-24'!D18</f>
        <v>63152</v>
      </c>
      <c r="L12" s="10">
        <f>'PrelimBS21-24'!E18</f>
        <v>68644</v>
      </c>
    </row>
    <row r="13" spans="2:12">
      <c r="B13" s="4" t="s">
        <v>147</v>
      </c>
      <c r="C13" s="10">
        <f>'PrelimBS21-24'!B10</f>
        <v>741746</v>
      </c>
      <c r="D13" s="10">
        <f>'PrelimBS21-24'!C10</f>
        <v>746051</v>
      </c>
      <c r="E13" s="10">
        <f>'PrelimBS21-24'!D10</f>
        <v>791093</v>
      </c>
      <c r="F13" s="10">
        <f>'PrelimBS21-24'!E10</f>
        <v>810444</v>
      </c>
      <c r="G13" s="10"/>
      <c r="H13" s="4" t="s">
        <v>128</v>
      </c>
      <c r="I13" s="10">
        <f>'PrelimBS21-24'!B19</f>
        <v>211182</v>
      </c>
      <c r="J13" s="10">
        <f>'PrelimBS21-24'!C19</f>
        <v>219808</v>
      </c>
      <c r="K13" s="10">
        <f>'PrelimBS21-24'!D19</f>
        <v>222915</v>
      </c>
      <c r="L13" s="10">
        <f>'PrelimBS21-24'!E19</f>
        <v>192344</v>
      </c>
    </row>
    <row r="14" spans="2:12">
      <c r="B14" s="4" t="s">
        <v>121</v>
      </c>
      <c r="C14" s="10">
        <f>'PrelimBS21-24'!B12</f>
        <v>251701</v>
      </c>
      <c r="D14" s="10">
        <f>'PrelimBS21-24'!C12</f>
        <v>251524</v>
      </c>
      <c r="E14" s="10">
        <f>'PrelimBS21-24'!D12</f>
        <v>251727</v>
      </c>
      <c r="F14" s="10">
        <f>'PrelimBS21-24'!E12</f>
        <v>252039</v>
      </c>
      <c r="G14" s="10"/>
      <c r="H14" s="4" t="s">
        <v>129</v>
      </c>
      <c r="I14" s="10">
        <f>'PrelimBS21-24'!B20</f>
        <v>131818</v>
      </c>
      <c r="J14" s="10">
        <f>'PrelimBS21-24'!C20</f>
        <v>139099</v>
      </c>
      <c r="K14" s="10">
        <f>'PrelimBS21-24'!D20</f>
        <v>134905</v>
      </c>
      <c r="L14" s="10">
        <f>'PrelimBS21-24'!E20</f>
        <v>149899</v>
      </c>
    </row>
    <row r="15" spans="2:12">
      <c r="B15" s="4" t="s">
        <v>122</v>
      </c>
      <c r="C15" s="10">
        <f>'PrelimBS21-24'!B13</f>
        <v>1241237</v>
      </c>
      <c r="D15" s="10">
        <f>'PrelimBS21-24'!C13</f>
        <v>1268986</v>
      </c>
      <c r="E15" s="10">
        <f>'PrelimBS21-24'!D13</f>
        <v>1302150</v>
      </c>
      <c r="F15" s="10">
        <f>'PrelimBS21-24'!E13</f>
        <v>1338155</v>
      </c>
      <c r="G15" s="10"/>
      <c r="H15" s="4" t="s">
        <v>130</v>
      </c>
      <c r="I15" s="10">
        <f>'PrelimBS21-24'!B21</f>
        <v>239187</v>
      </c>
      <c r="J15" s="10">
        <f>'PrelimBS21-24'!C21</f>
        <v>231133</v>
      </c>
      <c r="K15" s="10">
        <f>'PrelimBS21-24'!D21</f>
        <v>239699</v>
      </c>
      <c r="L15" s="10">
        <f>'PrelimBS21-24'!E21</f>
        <v>231720</v>
      </c>
    </row>
    <row r="16" spans="2:12">
      <c r="B16" s="4" t="s">
        <v>148</v>
      </c>
      <c r="C16" s="10">
        <f>'PrelimBS21-24'!B14</f>
        <v>157852</v>
      </c>
      <c r="D16" s="10">
        <f>'PrelimBS21-24'!C14</f>
        <v>162891</v>
      </c>
      <c r="E16" s="10">
        <f>'PrelimBS21-24'!D14</f>
        <v>194615</v>
      </c>
      <c r="F16" s="10">
        <f>'PrelimBS21-24'!E14</f>
        <v>201018</v>
      </c>
      <c r="G16" s="10"/>
      <c r="H16" s="161" t="s">
        <v>131</v>
      </c>
      <c r="I16" s="58">
        <f t="shared" ref="I16:J16" si="3">SUM(I12:I15)</f>
        <v>636273</v>
      </c>
      <c r="J16" s="58">
        <f t="shared" si="3"/>
        <v>656678</v>
      </c>
      <c r="K16" s="58">
        <f>SUM(K12:K15)</f>
        <v>660671</v>
      </c>
      <c r="L16" s="58">
        <f>SUM(L12:L15)</f>
        <v>642607</v>
      </c>
    </row>
    <row r="17" spans="2:12">
      <c r="C17" s="10"/>
      <c r="D17" s="10"/>
      <c r="E17" s="10"/>
      <c r="F17" s="10"/>
      <c r="G17" s="10"/>
      <c r="H17" s="4" t="s">
        <v>132</v>
      </c>
      <c r="I17" s="10">
        <f>'PrelimBS21-24'!B23</f>
        <v>466017</v>
      </c>
      <c r="J17" s="10">
        <f>'PrelimBS21-24'!C23</f>
        <v>468032</v>
      </c>
      <c r="K17" s="10">
        <f>'PrelimBS21-24'!D23</f>
        <v>470047</v>
      </c>
      <c r="L17" s="10">
        <f>'PrelimBS21-24'!E23</f>
        <v>471054</v>
      </c>
    </row>
    <row r="18" spans="2:12" ht="12" thickBot="1">
      <c r="B18" s="7" t="s">
        <v>376</v>
      </c>
      <c r="C18" s="11">
        <f t="shared" ref="C18:E18" si="4">+C16+C15+C14+C13</f>
        <v>2392536</v>
      </c>
      <c r="D18" s="11">
        <f t="shared" si="4"/>
        <v>2429452</v>
      </c>
      <c r="E18" s="11">
        <f t="shared" si="4"/>
        <v>2539585</v>
      </c>
      <c r="F18" s="11">
        <f>+F16+F15+F14+F13</f>
        <v>2601656</v>
      </c>
      <c r="G18" s="10"/>
      <c r="H18" s="4" t="s">
        <v>129</v>
      </c>
      <c r="I18" s="10">
        <f>'PrelimBS21-24'!B24</f>
        <v>1218269</v>
      </c>
      <c r="J18" s="10">
        <f>'PrelimBS21-24'!C24</f>
        <v>1233497</v>
      </c>
      <c r="K18" s="10">
        <f>'PrelimBS21-24'!D24</f>
        <v>1254955</v>
      </c>
      <c r="L18" s="10">
        <f>'PrelimBS21-24'!E24</f>
        <v>1258933</v>
      </c>
    </row>
    <row r="19" spans="2:12">
      <c r="D19" s="10"/>
      <c r="E19" s="10"/>
      <c r="F19" s="10"/>
      <c r="G19" s="10"/>
      <c r="H19" s="4" t="s">
        <v>149</v>
      </c>
      <c r="I19" s="10">
        <f>'PrelimBS21-24'!B25</f>
        <v>147400</v>
      </c>
      <c r="J19" s="10">
        <f>'PrelimBS21-24'!C25</f>
        <v>125010</v>
      </c>
      <c r="K19" s="10">
        <f>'PrelimBS21-24'!D25</f>
        <v>136648</v>
      </c>
      <c r="L19" s="10">
        <f>'PrelimBS21-24'!E25</f>
        <v>133017</v>
      </c>
    </row>
    <row r="20" spans="2:12">
      <c r="D20" s="10"/>
      <c r="E20" s="10"/>
      <c r="F20" s="10"/>
      <c r="G20" s="10"/>
      <c r="H20" s="161" t="s">
        <v>377</v>
      </c>
      <c r="I20" s="58">
        <f t="shared" ref="I20:K20" si="5">SUM(I17:I19)</f>
        <v>1831686</v>
      </c>
      <c r="J20" s="58">
        <f t="shared" si="5"/>
        <v>1826539</v>
      </c>
      <c r="K20" s="58">
        <f t="shared" si="5"/>
        <v>1861650</v>
      </c>
      <c r="L20" s="58">
        <f>SUM(L17:L19)</f>
        <v>1863004</v>
      </c>
    </row>
    <row r="21" spans="2:12">
      <c r="D21" s="10"/>
      <c r="E21" s="10"/>
      <c r="F21" s="10"/>
      <c r="G21" s="10"/>
      <c r="H21" s="161"/>
      <c r="I21" s="58"/>
      <c r="J21" s="58"/>
      <c r="K21" s="58"/>
      <c r="L21" s="58"/>
    </row>
    <row r="22" spans="2:12" ht="12" thickBot="1">
      <c r="D22" s="10"/>
      <c r="E22" s="10"/>
      <c r="F22" s="10"/>
      <c r="G22" s="10"/>
      <c r="H22" s="11" t="s">
        <v>17</v>
      </c>
      <c r="I22" s="11">
        <f t="shared" ref="I22:K22" si="6">I16+I20</f>
        <v>2467959</v>
      </c>
      <c r="J22" s="11">
        <f t="shared" si="6"/>
        <v>2483217</v>
      </c>
      <c r="K22" s="11">
        <f t="shared" si="6"/>
        <v>2522321</v>
      </c>
      <c r="L22" s="11">
        <f>L16+L20</f>
        <v>2505611</v>
      </c>
    </row>
    <row r="23" spans="2:12">
      <c r="D23" s="10"/>
      <c r="E23" s="10"/>
      <c r="F23" s="10"/>
      <c r="G23" s="10"/>
      <c r="H23" s="10"/>
      <c r="I23" s="10"/>
      <c r="J23" s="10"/>
      <c r="K23" s="10"/>
      <c r="L23" s="10"/>
    </row>
    <row r="24" spans="2:12" ht="12" thickBot="1">
      <c r="B24" s="7" t="s">
        <v>14</v>
      </c>
      <c r="C24" s="11">
        <f>C10+C18</f>
        <v>2798125</v>
      </c>
      <c r="D24" s="11">
        <f>D18+D10</f>
        <v>2775220</v>
      </c>
      <c r="E24" s="11">
        <f>E18+E10</f>
        <v>2840383</v>
      </c>
      <c r="F24" s="11">
        <f>F18+F10</f>
        <v>2879591</v>
      </c>
      <c r="G24" s="10"/>
      <c r="H24" s="11" t="s">
        <v>18</v>
      </c>
      <c r="I24" s="11">
        <f t="shared" ref="I24:K24" si="7">I22+I10</f>
        <v>2798125</v>
      </c>
      <c r="J24" s="11">
        <f t="shared" si="7"/>
        <v>2775220</v>
      </c>
      <c r="K24" s="11">
        <f t="shared" si="7"/>
        <v>2840383</v>
      </c>
      <c r="L24" s="11">
        <f>L22+L10</f>
        <v>2879591</v>
      </c>
    </row>
    <row r="27" spans="2:12">
      <c r="J27" s="4">
        <f>J24-D24</f>
        <v>0</v>
      </c>
      <c r="K27" s="4">
        <f>K24-E24</f>
        <v>0</v>
      </c>
      <c r="L27" s="4">
        <f>L24-F24</f>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85F5-74C7-41BB-92D1-994E4A90424D}">
  <sheetPr codeName="Sheet25">
    <tabColor rgb="FF00B050"/>
  </sheetPr>
  <dimension ref="B1:H64"/>
  <sheetViews>
    <sheetView workbookViewId="0">
      <selection activeCell="G21" sqref="D21:G21"/>
    </sheetView>
  </sheetViews>
  <sheetFormatPr defaultColWidth="9.08984375" defaultRowHeight="11.5"/>
  <cols>
    <col min="1" max="1" width="2" style="4" customWidth="1"/>
    <col min="2" max="2" width="44.453125" style="4" bestFit="1" customWidth="1"/>
    <col min="3" max="3" width="11.1796875" style="4" hidden="1" customWidth="1"/>
    <col min="4" max="4" width="11.1796875" style="4" customWidth="1"/>
    <col min="5" max="5" width="9.81640625" style="4" bestFit="1" customWidth="1"/>
    <col min="6" max="6" width="11.81640625" style="4" customWidth="1"/>
    <col min="7" max="7" width="12.08984375" style="4" customWidth="1"/>
    <col min="8" max="9" width="2" style="4" customWidth="1"/>
    <col min="10" max="16384" width="9.08984375" style="4"/>
  </cols>
  <sheetData>
    <row r="1" spans="2:8" ht="15.5">
      <c r="B1" s="3" t="s">
        <v>400</v>
      </c>
    </row>
    <row r="3" spans="2:8" ht="23.5" thickBot="1">
      <c r="B3" s="13" t="s">
        <v>19</v>
      </c>
      <c r="C3" s="14" t="s">
        <v>92</v>
      </c>
      <c r="D3" s="14" t="s">
        <v>92</v>
      </c>
      <c r="E3" s="14" t="s">
        <v>93</v>
      </c>
      <c r="F3" s="14" t="s">
        <v>94</v>
      </c>
      <c r="G3" s="14" t="s">
        <v>95</v>
      </c>
      <c r="H3" s="17"/>
    </row>
    <row r="4" spans="2:8" ht="10" customHeight="1">
      <c r="B4" s="19"/>
      <c r="C4" s="17"/>
      <c r="D4" s="17"/>
      <c r="E4" s="17"/>
      <c r="F4" s="17"/>
      <c r="G4" s="17"/>
      <c r="H4" s="17"/>
    </row>
    <row r="5" spans="2:8" ht="13">
      <c r="B5" s="177" t="s">
        <v>311</v>
      </c>
      <c r="C5" s="21">
        <f>'PrelimSE_20-24'!R2</f>
        <v>288693</v>
      </c>
      <c r="D5" s="10"/>
      <c r="E5" s="10"/>
      <c r="F5" s="10"/>
      <c r="G5" s="10"/>
    </row>
    <row r="6" spans="2:8">
      <c r="B6" s="67" t="s">
        <v>66</v>
      </c>
      <c r="C6" s="21">
        <f>'PrelimSE_20-24'!R5</f>
        <v>72373</v>
      </c>
      <c r="D6" s="58">
        <f>'PrelimCF_21-24'!B4</f>
        <v>72373</v>
      </c>
      <c r="E6" s="58">
        <f>'PrelimCF_21-24'!C4</f>
        <v>43123</v>
      </c>
      <c r="F6" s="58">
        <f>'PrelimCF_21-24'!D4</f>
        <v>101351</v>
      </c>
      <c r="G6" s="58">
        <f>'PrelimCF_21-24'!E4</f>
        <v>85635</v>
      </c>
    </row>
    <row r="7" spans="2:8" ht="14" customHeight="1">
      <c r="B7" s="67" t="s">
        <v>394</v>
      </c>
      <c r="C7" s="21"/>
      <c r="D7" s="10">
        <f>'PrelimCF_21-24'!B6</f>
        <v>89654</v>
      </c>
      <c r="E7" s="10">
        <f>'PrelimCF_21-24'!C6</f>
        <v>92380</v>
      </c>
      <c r="F7" s="10">
        <f>'PrelimCF_21-24'!D6</f>
        <v>93136</v>
      </c>
      <c r="G7" s="10">
        <f>'PrelimCF_21-24'!E6</f>
        <v>49716</v>
      </c>
    </row>
    <row r="8" spans="2:8" ht="14" customHeight="1">
      <c r="B8" s="67" t="s">
        <v>396</v>
      </c>
      <c r="C8" s="21">
        <f>'PrelimSE_20-24'!R9</f>
        <v>24786</v>
      </c>
      <c r="D8" s="10">
        <f>'PrelimCF_21-24'!B7</f>
        <v>17937</v>
      </c>
      <c r="E8" s="10">
        <f>'PrelimCF_21-24'!C7</f>
        <v>31327</v>
      </c>
      <c r="F8" s="10">
        <f>'PrelimCF_21-24'!D7</f>
        <v>26998</v>
      </c>
      <c r="G8" s="10">
        <f>'PrelimCF_21-24'!E7</f>
        <v>606</v>
      </c>
    </row>
    <row r="9" spans="2:8" ht="14" customHeight="1">
      <c r="B9" s="67" t="s">
        <v>181</v>
      </c>
      <c r="C9" s="21"/>
      <c r="D9" s="10">
        <f>'PrelimCF_21-24'!B8</f>
        <v>-20849</v>
      </c>
      <c r="E9" s="10">
        <f>'PrelimCF_21-24'!C8</f>
        <v>-18646</v>
      </c>
      <c r="F9" s="10">
        <f>'PrelimCF_21-24'!D8</f>
        <v>-15715</v>
      </c>
      <c r="G9" s="10">
        <f>'PrelimCF_21-24'!E8</f>
        <v>2511</v>
      </c>
    </row>
    <row r="10" spans="2:8" ht="14" customHeight="1">
      <c r="B10" s="67" t="s">
        <v>182</v>
      </c>
      <c r="C10" s="21"/>
      <c r="D10" s="10">
        <f>'PrelimCF_21-24'!B9</f>
        <v>22988</v>
      </c>
      <c r="E10" s="10">
        <f>'PrelimCF_21-24'!C9</f>
        <v>24426</v>
      </c>
      <c r="F10" s="10">
        <f>'PrelimCF_21-24'!D9</f>
        <v>25781</v>
      </c>
      <c r="G10" s="10">
        <f>'PrelimCF_21-24'!E9</f>
        <v>14475</v>
      </c>
    </row>
    <row r="11" spans="2:8" ht="14" customHeight="1">
      <c r="B11" s="67" t="s">
        <v>395</v>
      </c>
      <c r="C11" s="21"/>
      <c r="D11" s="10">
        <f>'PrelimCF_21-24'!B10</f>
        <v>0</v>
      </c>
      <c r="E11" s="10">
        <f>'PrelimCF_21-24'!C10</f>
        <v>0</v>
      </c>
      <c r="F11" s="10">
        <f>'PrelimCF_21-24'!D10</f>
        <v>0</v>
      </c>
      <c r="G11" s="10">
        <f>'PrelimCF_21-24'!E10</f>
        <v>-6506</v>
      </c>
    </row>
    <row r="12" spans="2:8" ht="14" customHeight="1">
      <c r="B12" s="87" t="s">
        <v>183</v>
      </c>
      <c r="C12" s="21"/>
      <c r="D12" s="10"/>
      <c r="E12" s="10"/>
      <c r="F12" s="10"/>
      <c r="G12" s="10"/>
    </row>
    <row r="13" spans="2:8" ht="14" customHeight="1">
      <c r="B13" s="125" t="s">
        <v>114</v>
      </c>
      <c r="C13" s="21"/>
      <c r="D13" s="10">
        <f>'PrelimCF_21-24'!B12</f>
        <v>-24816</v>
      </c>
      <c r="E13" s="10">
        <f>'PrelimCF_21-24'!C12</f>
        <v>-12266</v>
      </c>
      <c r="F13" s="10">
        <f>'PrelimCF_21-24'!D12</f>
        <v>-98</v>
      </c>
      <c r="G13" s="10">
        <f>'PrelimCF_21-24'!E12</f>
        <v>28462</v>
      </c>
    </row>
    <row r="14" spans="2:8" ht="14" customHeight="1">
      <c r="B14" s="125" t="s">
        <v>184</v>
      </c>
      <c r="C14" s="21"/>
      <c r="D14" s="10">
        <f>'PrelimCF_21-24'!B13</f>
        <v>715</v>
      </c>
      <c r="E14" s="10">
        <f>'PrelimCF_21-24'!C13</f>
        <v>14651</v>
      </c>
      <c r="F14" s="10">
        <f>'PrelimCF_21-24'!D13</f>
        <v>852</v>
      </c>
      <c r="G14" s="10">
        <f>'PrelimCF_21-24'!E13</f>
        <v>-4185</v>
      </c>
    </row>
    <row r="15" spans="2:8" ht="14" customHeight="1">
      <c r="B15" s="125" t="s">
        <v>116</v>
      </c>
      <c r="C15" s="21"/>
      <c r="D15" s="10">
        <f>'PrelimCF_21-24'!B14</f>
        <v>-3478</v>
      </c>
      <c r="E15" s="10">
        <f>'PrelimCF_21-24'!C14</f>
        <v>-12725</v>
      </c>
      <c r="F15" s="10">
        <f>'PrelimCF_21-24'!D14</f>
        <v>-2092</v>
      </c>
      <c r="G15" s="10">
        <f>'PrelimCF_21-24'!E14</f>
        <v>-13342</v>
      </c>
    </row>
    <row r="16" spans="2:8" ht="14" customHeight="1">
      <c r="B16" s="125" t="s">
        <v>117</v>
      </c>
      <c r="C16" s="21"/>
      <c r="D16" s="10">
        <f>'PrelimCF_21-24'!B15</f>
        <v>-1137</v>
      </c>
      <c r="E16" s="10">
        <f>'PrelimCF_21-24'!C15</f>
        <v>-11960</v>
      </c>
      <c r="F16" s="10">
        <f>'PrelimCF_21-24'!D15</f>
        <v>-14694</v>
      </c>
      <c r="G16" s="10">
        <f>'PrelimCF_21-24'!E15</f>
        <v>-5958</v>
      </c>
    </row>
    <row r="17" spans="2:8" ht="14" customHeight="1">
      <c r="B17" s="125" t="s">
        <v>185</v>
      </c>
      <c r="C17" s="21"/>
      <c r="D17" s="10">
        <f>'PrelimCF_21-24'!B16</f>
        <v>-4106</v>
      </c>
      <c r="E17" s="10">
        <f>'PrelimCF_21-24'!C16</f>
        <v>-18404</v>
      </c>
      <c r="F17" s="10">
        <f>'PrelimCF_21-24'!D16</f>
        <v>-27113</v>
      </c>
      <c r="G17" s="10">
        <f>'PrelimCF_21-24'!E16</f>
        <v>-16729</v>
      </c>
    </row>
    <row r="18" spans="2:8" ht="14" customHeight="1">
      <c r="B18" s="125" t="s">
        <v>11</v>
      </c>
      <c r="C18" s="21"/>
      <c r="D18" s="10">
        <f>'PrelimCF_21-24'!B17</f>
        <v>-9227</v>
      </c>
      <c r="E18" s="10">
        <f>'PrelimCF_21-24'!C17</f>
        <v>13739</v>
      </c>
      <c r="F18" s="10">
        <f>'PrelimCF_21-24'!D17</f>
        <v>-14504</v>
      </c>
      <c r="G18" s="10">
        <f>'PrelimCF_21-24'!E17</f>
        <v>-8838</v>
      </c>
    </row>
    <row r="19" spans="2:8" ht="14" customHeight="1">
      <c r="B19" s="125" t="s">
        <v>127</v>
      </c>
      <c r="C19" s="21"/>
      <c r="D19" s="10">
        <f>'PrelimCF_21-24'!B18</f>
        <v>-3678</v>
      </c>
      <c r="E19" s="10">
        <f>'PrelimCF_21-24'!C18</f>
        <v>17586</v>
      </c>
      <c r="F19" s="10">
        <f>'PrelimCF_21-24'!D18</f>
        <v>3971</v>
      </c>
      <c r="G19" s="10">
        <f>'PrelimCF_21-24'!E18</f>
        <v>4351</v>
      </c>
    </row>
    <row r="20" spans="2:8" ht="14" customHeight="1">
      <c r="B20" s="125" t="s">
        <v>128</v>
      </c>
      <c r="C20" s="21"/>
      <c r="D20" s="10">
        <f>'PrelimCF_21-24'!B19</f>
        <v>26527</v>
      </c>
      <c r="E20" s="10">
        <f>'PrelimCF_21-24'!C19</f>
        <v>8634</v>
      </c>
      <c r="F20" s="10">
        <f>'PrelimCF_21-24'!D19</f>
        <v>3104</v>
      </c>
      <c r="G20" s="10">
        <f>'PrelimCF_21-24'!E19</f>
        <v>-30568</v>
      </c>
    </row>
    <row r="21" spans="2:8" ht="14" customHeight="1">
      <c r="B21" s="125" t="s">
        <v>130</v>
      </c>
      <c r="C21" s="21"/>
      <c r="D21" s="10">
        <f>'PrelimCF_21-24'!B20</f>
        <v>50103</v>
      </c>
      <c r="E21" s="10">
        <f>'PrelimCF_21-24'!C20</f>
        <v>-9939</v>
      </c>
      <c r="F21" s="10">
        <f>'PrelimCF_21-24'!D20</f>
        <v>37424</v>
      </c>
      <c r="G21" s="10">
        <f>'PrelimCF_21-24'!E20</f>
        <v>-5185</v>
      </c>
    </row>
    <row r="22" spans="2:8" ht="16" customHeight="1" thickBot="1">
      <c r="B22" s="183" t="s">
        <v>397</v>
      </c>
      <c r="C22" s="183">
        <f>'PrelimSE_20-24'!R15</f>
        <v>-5766</v>
      </c>
      <c r="D22" s="184">
        <f t="shared" ref="D22:F22" si="0">SUM(D6:D21)</f>
        <v>213006</v>
      </c>
      <c r="E22" s="184">
        <f t="shared" si="0"/>
        <v>161926</v>
      </c>
      <c r="F22" s="184">
        <f t="shared" si="0"/>
        <v>218401</v>
      </c>
      <c r="G22" s="184">
        <f>SUM(G6:G21)</f>
        <v>94445</v>
      </c>
    </row>
    <row r="23" spans="2:8" ht="25" customHeight="1">
      <c r="B23" s="67"/>
      <c r="C23" s="10"/>
      <c r="D23" s="10"/>
      <c r="E23" s="10"/>
      <c r="F23" s="10"/>
      <c r="G23" s="10"/>
      <c r="H23" s="10"/>
    </row>
    <row r="24" spans="2:8" ht="14" customHeight="1">
      <c r="B24" s="179" t="s">
        <v>313</v>
      </c>
      <c r="C24" s="58">
        <f>BS!C27</f>
        <v>330166</v>
      </c>
      <c r="D24" s="58"/>
      <c r="E24" s="10"/>
      <c r="F24" s="10"/>
      <c r="G24" s="10"/>
    </row>
    <row r="25" spans="2:8" ht="14" customHeight="1">
      <c r="B25" s="67" t="s">
        <v>188</v>
      </c>
      <c r="C25" s="10"/>
      <c r="D25" s="10">
        <f>'PrelimCF_21-24'!B23</f>
        <v>-66943</v>
      </c>
      <c r="E25" s="10">
        <f>'PrelimCF_21-24'!C23</f>
        <v>-112464</v>
      </c>
      <c r="F25" s="10">
        <f>'PrelimCF_21-24'!D23</f>
        <v>-151565</v>
      </c>
      <c r="G25" s="10">
        <f>'PrelimCF_21-24'!E23</f>
        <v>-66297</v>
      </c>
    </row>
    <row r="26" spans="2:8" ht="14" customHeight="1">
      <c r="B26" s="67" t="s">
        <v>189</v>
      </c>
      <c r="C26" s="58"/>
      <c r="D26" s="10">
        <f>'PrelimCF_21-24'!B24</f>
        <v>-606</v>
      </c>
      <c r="E26" s="10">
        <f>'PrelimCF_21-24'!C24</f>
        <v>-680</v>
      </c>
      <c r="F26" s="10">
        <f>'PrelimCF_21-24'!D24</f>
        <v>-1658</v>
      </c>
      <c r="G26" s="10">
        <f>'PrelimCF_21-24'!E24</f>
        <v>-680</v>
      </c>
      <c r="H26" s="57">
        <f>SUM(H24:H25)</f>
        <v>0</v>
      </c>
    </row>
    <row r="27" spans="2:8" ht="14" customHeight="1">
      <c r="B27" s="67" t="s">
        <v>123</v>
      </c>
      <c r="C27" s="58"/>
      <c r="D27" s="10">
        <f>'PrelimCF_21-24'!B25</f>
        <v>-1061</v>
      </c>
      <c r="E27" s="10">
        <f>'PrelimCF_21-24'!C25</f>
        <v>329</v>
      </c>
      <c r="F27" s="10">
        <f>'PrelimCF_21-24'!D25</f>
        <v>-274</v>
      </c>
      <c r="G27" s="10">
        <f>'PrelimCF_21-24'!E25</f>
        <v>173</v>
      </c>
      <c r="H27" s="57"/>
    </row>
    <row r="28" spans="2:8" ht="16" customHeight="1" thickBot="1">
      <c r="B28" s="183" t="s">
        <v>398</v>
      </c>
      <c r="C28" s="183"/>
      <c r="D28" s="184">
        <f>SUM(D25:D27)</f>
        <v>-68610</v>
      </c>
      <c r="E28" s="184">
        <f t="shared" ref="E28:G28" si="1">SUM(E25:E27)</f>
        <v>-112815</v>
      </c>
      <c r="F28" s="184">
        <f t="shared" si="1"/>
        <v>-153497</v>
      </c>
      <c r="G28" s="184">
        <f t="shared" si="1"/>
        <v>-66804</v>
      </c>
      <c r="H28" s="57"/>
    </row>
    <row r="29" spans="2:8" ht="30" customHeight="1">
      <c r="C29" s="58"/>
      <c r="D29" s="58"/>
      <c r="E29" s="10"/>
      <c r="F29" s="10"/>
      <c r="G29" s="10"/>
      <c r="H29" s="57"/>
    </row>
    <row r="30" spans="2:8" ht="12" customHeight="1">
      <c r="B30" s="179" t="s">
        <v>312</v>
      </c>
      <c r="C30" s="10"/>
      <c r="D30" s="10"/>
      <c r="E30" s="10"/>
      <c r="F30" s="10"/>
      <c r="G30" s="10"/>
      <c r="H30" s="10"/>
    </row>
    <row r="31" spans="2:8" ht="14" customHeight="1">
      <c r="B31" s="67" t="s">
        <v>192</v>
      </c>
      <c r="C31" s="10"/>
      <c r="D31" s="10">
        <f>'PrelimCF_21-24'!B28</f>
        <v>-17000</v>
      </c>
      <c r="E31" s="10">
        <f>'PrelimCF_21-24'!C28</f>
        <v>-18316</v>
      </c>
      <c r="F31" s="10">
        <f>'PrelimCF_21-24'!D28</f>
        <v>-24243</v>
      </c>
      <c r="G31" s="10">
        <f>'PrelimCF_21-24'!E28</f>
        <v>0</v>
      </c>
      <c r="H31" s="10"/>
    </row>
    <row r="32" spans="2:8" ht="14" customHeight="1">
      <c r="B32" s="67" t="s">
        <v>193</v>
      </c>
      <c r="C32" s="10"/>
      <c r="D32" s="10" t="str">
        <f>'PrelimCF_21-24'!B29</f>
        <v> </v>
      </c>
      <c r="E32" s="10">
        <f>'PrelimCF_21-24'!C29</f>
        <v>130000</v>
      </c>
      <c r="F32" s="10">
        <f>'PrelimCF_21-24'!D29</f>
        <v>15000</v>
      </c>
      <c r="G32" s="10">
        <f>'PrelimCF_21-24'!E29</f>
        <v>0</v>
      </c>
      <c r="H32" s="10"/>
    </row>
    <row r="33" spans="2:8" ht="14" customHeight="1">
      <c r="B33" s="67" t="s">
        <v>194</v>
      </c>
      <c r="C33" s="10"/>
      <c r="D33" s="10">
        <f>'PrelimCF_21-24'!B30</f>
        <v>-150000</v>
      </c>
      <c r="E33" s="10">
        <f>'PrelimCF_21-24'!C30</f>
        <v>-130000</v>
      </c>
      <c r="F33" s="10">
        <f>'PrelimCF_21-24'!D30</f>
        <v>-15000</v>
      </c>
      <c r="G33" s="10">
        <f>'PrelimCF_21-24'!E30</f>
        <v>0</v>
      </c>
      <c r="H33" s="10"/>
    </row>
    <row r="34" spans="2:8" ht="14" customHeight="1">
      <c r="B34" s="67" t="s">
        <v>195</v>
      </c>
      <c r="C34" s="10"/>
      <c r="D34" s="10">
        <f>'PrelimCF_21-24'!B31</f>
        <v>345000</v>
      </c>
      <c r="E34" s="10" t="str">
        <f>'PrelimCF_21-24'!C31</f>
        <v> </v>
      </c>
      <c r="F34" s="10" t="str">
        <f>'PrelimCF_21-24'!D31</f>
        <v> </v>
      </c>
      <c r="G34" s="10">
        <f>'PrelimCF_21-24'!E31</f>
        <v>0</v>
      </c>
      <c r="H34" s="10"/>
    </row>
    <row r="35" spans="2:8" ht="14" customHeight="1">
      <c r="B35" s="67" t="s">
        <v>196</v>
      </c>
      <c r="C35" s="10"/>
      <c r="D35" s="10">
        <f>'PrelimCF_21-24'!B32</f>
        <v>-10074</v>
      </c>
      <c r="E35" s="10" t="str">
        <f>'PrelimCF_21-24'!C32</f>
        <v> </v>
      </c>
      <c r="F35" s="10" t="str">
        <f>'PrelimCF_21-24'!D32</f>
        <v> </v>
      </c>
      <c r="G35" s="10">
        <f>'PrelimCF_21-24'!E32</f>
        <v>0</v>
      </c>
      <c r="H35" s="10"/>
    </row>
    <row r="36" spans="2:8" ht="14" customHeight="1">
      <c r="B36" s="67" t="s">
        <v>197</v>
      </c>
      <c r="C36" s="10"/>
      <c r="D36" s="10">
        <f>'PrelimCF_21-24'!B33</f>
        <v>-443751</v>
      </c>
      <c r="E36" s="10" t="str">
        <f>'PrelimCF_21-24'!C33</f>
        <v> </v>
      </c>
      <c r="F36" s="10" t="str">
        <f>'PrelimCF_21-24'!D33</f>
        <v> </v>
      </c>
      <c r="G36" s="10">
        <f>'PrelimCF_21-24'!E33</f>
        <v>0</v>
      </c>
      <c r="H36" s="10"/>
    </row>
    <row r="37" spans="2:8" ht="14" customHeight="1">
      <c r="B37" s="67" t="s">
        <v>198</v>
      </c>
      <c r="C37" s="10"/>
      <c r="D37" s="10">
        <f>'PrelimCF_21-24'!B34</f>
        <v>-74</v>
      </c>
      <c r="E37" s="10" t="str">
        <f>'PrelimCF_21-24'!C34</f>
        <v> </v>
      </c>
      <c r="F37" s="10" t="str">
        <f>'PrelimCF_21-24'!D34</f>
        <v> </v>
      </c>
      <c r="G37" s="10">
        <f>'PrelimCF_21-24'!E34</f>
        <v>0</v>
      </c>
      <c r="H37" s="10"/>
    </row>
    <row r="38" spans="2:8" ht="14" customHeight="1">
      <c r="B38" s="67" t="s">
        <v>199</v>
      </c>
      <c r="C38" s="10"/>
      <c r="D38" s="10">
        <f>'PrelimCF_21-24'!B35</f>
        <v>-18661</v>
      </c>
      <c r="E38" s="10" t="str">
        <f>'PrelimCF_21-24'!C35</f>
        <v> </v>
      </c>
      <c r="F38" s="10" t="str">
        <f>'PrelimCF_21-24'!D35</f>
        <v> </v>
      </c>
      <c r="G38" s="10">
        <f>'PrelimCF_21-24'!E35</f>
        <v>0</v>
      </c>
      <c r="H38" s="10"/>
    </row>
    <row r="39" spans="2:8" ht="14" customHeight="1">
      <c r="B39" s="67" t="s">
        <v>200</v>
      </c>
      <c r="C39" s="10"/>
      <c r="D39" s="10">
        <f>'PrelimCF_21-24'!B36</f>
        <v>175000</v>
      </c>
      <c r="E39" s="10" t="str">
        <f>'PrelimCF_21-24'!C36</f>
        <v> </v>
      </c>
      <c r="F39" s="10" t="str">
        <f>'PrelimCF_21-24'!D36</f>
        <v> </v>
      </c>
      <c r="G39" s="10">
        <f>'PrelimCF_21-24'!E36</f>
        <v>0</v>
      </c>
      <c r="H39" s="10"/>
    </row>
    <row r="40" spans="2:8" ht="14" customHeight="1">
      <c r="B40" s="67" t="s">
        <v>201</v>
      </c>
      <c r="C40" s="10"/>
      <c r="D40" s="10">
        <f>'PrelimCF_21-24'!B37</f>
        <v>-7950</v>
      </c>
      <c r="E40" s="10" t="str">
        <f>'PrelimCF_21-24'!C37</f>
        <v> </v>
      </c>
      <c r="F40" s="10" t="str">
        <f>'PrelimCF_21-24'!D37</f>
        <v> </v>
      </c>
      <c r="G40" s="10">
        <f>'PrelimCF_21-24'!E37</f>
        <v>0</v>
      </c>
      <c r="H40" s="10"/>
    </row>
    <row r="41" spans="2:8" ht="14" customHeight="1">
      <c r="B41" s="67" t="s">
        <v>202</v>
      </c>
      <c r="C41" s="10"/>
      <c r="D41" s="10">
        <f>'PrelimCF_21-24'!B38</f>
        <v>24786</v>
      </c>
      <c r="E41" s="10">
        <f>'PrelimCF_21-24'!C38</f>
        <v>84</v>
      </c>
      <c r="F41" s="10" t="str">
        <f>'PrelimCF_21-24'!D38</f>
        <v> </v>
      </c>
      <c r="G41" s="10">
        <f>'PrelimCF_21-24'!E38</f>
        <v>0</v>
      </c>
      <c r="H41" s="10"/>
    </row>
    <row r="42" spans="2:8" ht="14" customHeight="1">
      <c r="B42" s="67" t="s">
        <v>203</v>
      </c>
      <c r="C42" s="10"/>
      <c r="D42" s="10">
        <f>'PrelimCF_21-24'!B39</f>
        <v>-337</v>
      </c>
      <c r="E42" s="10">
        <f>'PrelimCF_21-24'!C39</f>
        <v>-42272</v>
      </c>
      <c r="F42" s="10">
        <f>'PrelimCF_21-24'!D39</f>
        <v>-53207</v>
      </c>
      <c r="G42" s="10">
        <f>'PrelimCF_21-24'!E39</f>
        <v>-26693</v>
      </c>
      <c r="H42" s="10"/>
    </row>
    <row r="43" spans="2:8" ht="15" customHeight="1">
      <c r="B43" s="186" t="s">
        <v>204</v>
      </c>
      <c r="C43" s="185"/>
      <c r="D43" s="185">
        <f>'PrelimCF_21-24'!B40</f>
        <v>-5766</v>
      </c>
      <c r="E43" s="185">
        <f>'PrelimCF_21-24'!C40</f>
        <v>-63132</v>
      </c>
      <c r="F43" s="185">
        <f>'PrelimCF_21-24'!D40</f>
        <v>-46085</v>
      </c>
      <c r="G43" s="185">
        <f>'PrelimCF_21-24'!E40</f>
        <v>-16365</v>
      </c>
      <c r="H43" s="10"/>
    </row>
    <row r="44" spans="2:8" ht="16" customHeight="1" thickBot="1">
      <c r="B44" s="183" t="s">
        <v>323</v>
      </c>
      <c r="C44" s="183"/>
      <c r="D44" s="184">
        <f t="shared" ref="D44:F44" si="2">SUM(D31:D43)</f>
        <v>-108827</v>
      </c>
      <c r="E44" s="184">
        <f t="shared" si="2"/>
        <v>-123636</v>
      </c>
      <c r="F44" s="184">
        <f t="shared" si="2"/>
        <v>-123535</v>
      </c>
      <c r="G44" s="184">
        <f>SUM(G31:G43)</f>
        <v>-43058</v>
      </c>
      <c r="H44" s="10"/>
    </row>
    <row r="45" spans="2:8" ht="14" customHeight="1">
      <c r="B45" s="4" t="s">
        <v>206</v>
      </c>
      <c r="C45" s="58"/>
      <c r="D45" s="10">
        <f>'PrelimCF_21-24'!B42</f>
        <v>-27</v>
      </c>
      <c r="E45" s="10">
        <f>'PrelimCF_21-24'!C42</f>
        <v>-325</v>
      </c>
      <c r="F45" s="10">
        <f>'PrelimCF_21-24'!D42</f>
        <v>144</v>
      </c>
      <c r="G45" s="10">
        <f>'PrelimCF_21-24'!E42</f>
        <v>-219</v>
      </c>
      <c r="H45" s="10"/>
    </row>
    <row r="46" spans="2:8" ht="12" customHeight="1">
      <c r="B46" s="87"/>
      <c r="C46" s="58"/>
      <c r="D46" s="58"/>
      <c r="E46" s="10"/>
      <c r="F46" s="10"/>
      <c r="G46" s="10"/>
      <c r="H46" s="10"/>
    </row>
    <row r="47" spans="2:8" s="189" customFormat="1" ht="16" customHeight="1" thickBot="1">
      <c r="B47" s="187" t="s">
        <v>362</v>
      </c>
      <c r="C47" s="187"/>
      <c r="D47" s="188">
        <f>D49-D48</f>
        <v>35542</v>
      </c>
      <c r="E47" s="188">
        <f t="shared" ref="E47:G47" si="3">E49-E48</f>
        <v>-74850</v>
      </c>
      <c r="F47" s="188">
        <f t="shared" si="3"/>
        <v>-58487</v>
      </c>
      <c r="G47" s="188">
        <f t="shared" si="3"/>
        <v>-15636</v>
      </c>
      <c r="H47" s="185"/>
    </row>
    <row r="48" spans="2:8" ht="14" customHeight="1">
      <c r="B48" s="67" t="s">
        <v>326</v>
      </c>
      <c r="C48" s="58"/>
      <c r="D48" s="10">
        <f>'PrelimCF_21-24'!B44</f>
        <v>154085</v>
      </c>
      <c r="E48" s="10">
        <f>'PrelimCF_21-24'!C44</f>
        <v>189627</v>
      </c>
      <c r="F48" s="10">
        <f>'PrelimCF_21-24'!D44</f>
        <v>114777</v>
      </c>
      <c r="G48" s="10">
        <f>'PrelimCF_21-24'!E44</f>
        <v>56290</v>
      </c>
      <c r="H48" s="10"/>
    </row>
    <row r="49" spans="2:8" ht="14" customHeight="1">
      <c r="B49" s="67" t="s">
        <v>325</v>
      </c>
      <c r="C49" s="58"/>
      <c r="D49" s="10">
        <f>'PrelimCF_21-24'!B45</f>
        <v>189627</v>
      </c>
      <c r="E49" s="10">
        <f>'PrelimCF_21-24'!C45</f>
        <v>114777</v>
      </c>
      <c r="F49" s="10">
        <f>'PrelimCF_21-24'!D45</f>
        <v>56290</v>
      </c>
      <c r="G49" s="10">
        <f>'PrelimCF_21-24'!E45</f>
        <v>40654</v>
      </c>
      <c r="H49" s="10"/>
    </row>
    <row r="50" spans="2:8" ht="12" customHeight="1">
      <c r="B50" s="87"/>
      <c r="C50" s="58"/>
      <c r="D50" s="58"/>
      <c r="E50" s="10"/>
      <c r="F50" s="10"/>
      <c r="G50" s="10"/>
      <c r="H50" s="10"/>
    </row>
    <row r="51" spans="2:8">
      <c r="C51" s="10"/>
      <c r="D51" s="10"/>
    </row>
    <row r="52" spans="2:8" ht="7" customHeight="1">
      <c r="B52" s="4" t="s">
        <v>399</v>
      </c>
    </row>
    <row r="53" spans="2:8" ht="14" customHeight="1">
      <c r="B53" s="57" t="s">
        <v>312</v>
      </c>
    </row>
    <row r="54" spans="2:8" ht="14" customHeight="1">
      <c r="B54" s="67" t="s">
        <v>319</v>
      </c>
    </row>
    <row r="55" spans="2:8" ht="14" customHeight="1">
      <c r="B55" s="67" t="s">
        <v>320</v>
      </c>
      <c r="C55" s="20"/>
      <c r="D55" s="20"/>
      <c r="E55" s="20"/>
      <c r="F55" s="20"/>
      <c r="G55" s="20"/>
    </row>
    <row r="56" spans="2:8" ht="14" customHeight="1">
      <c r="B56" s="67" t="s">
        <v>321</v>
      </c>
    </row>
    <row r="57" spans="2:8" ht="14" customHeight="1">
      <c r="B57" s="67" t="s">
        <v>240</v>
      </c>
    </row>
    <row r="58" spans="2:8" ht="14" customHeight="1">
      <c r="B58" s="67" t="s">
        <v>241</v>
      </c>
      <c r="C58" s="20"/>
      <c r="D58" s="20"/>
      <c r="E58" s="20"/>
      <c r="F58" s="20"/>
      <c r="G58" s="20"/>
    </row>
    <row r="59" spans="2:8" ht="14" customHeight="1">
      <c r="B59" s="67" t="s">
        <v>322</v>
      </c>
      <c r="C59" s="20"/>
      <c r="D59" s="20"/>
      <c r="E59" s="20"/>
      <c r="F59" s="20"/>
      <c r="G59" s="20"/>
    </row>
    <row r="60" spans="2:8" ht="14" customHeight="1">
      <c r="B60" s="87" t="s">
        <v>323</v>
      </c>
    </row>
    <row r="63" spans="2:8">
      <c r="C63" s="70"/>
      <c r="D63" s="70"/>
    </row>
    <row r="64" spans="2:8">
      <c r="C64" s="10"/>
      <c r="D64"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2">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8" t="s">
        <v>23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7" tint="-0.249977111117893"/>
  </sheetPr>
  <dimension ref="B1:S82"/>
  <sheetViews>
    <sheetView zoomScale="90" zoomScaleNormal="90" workbookViewId="0"/>
  </sheetViews>
  <sheetFormatPr defaultColWidth="9.08984375" defaultRowHeight="11.5"/>
  <cols>
    <col min="1" max="1" width="2" style="4" customWidth="1"/>
    <col min="2" max="2" width="37.1796875" style="4" customWidth="1"/>
    <col min="3" max="3" width="9.7265625" style="4" bestFit="1" customWidth="1"/>
    <col min="4" max="4" width="10.54296875" style="4" bestFit="1" customWidth="1"/>
    <col min="5" max="6" width="9.7265625" style="4" bestFit="1" customWidth="1"/>
    <col min="7" max="7" width="2.90625" style="4" customWidth="1"/>
    <col min="8" max="8" width="10.54296875" style="4" bestFit="1" customWidth="1"/>
    <col min="9" max="10" width="9.81640625" style="4" bestFit="1" customWidth="1"/>
    <col min="11" max="11" width="11.1796875" style="4" bestFit="1" customWidth="1"/>
    <col min="12" max="12" width="11.453125" style="4" bestFit="1" customWidth="1"/>
    <col min="13" max="13" width="2" style="4" customWidth="1"/>
    <col min="14" max="14" width="15" style="444" customWidth="1"/>
    <col min="15" max="15" width="2.81640625" style="4" customWidth="1"/>
    <col min="16" max="16" width="23.36328125" style="437" customWidth="1"/>
    <col min="17" max="16384" width="9.08984375" style="4"/>
  </cols>
  <sheetData>
    <row r="1" spans="2:18" ht="15.5">
      <c r="B1" s="3" t="s">
        <v>3</v>
      </c>
      <c r="C1" s="3"/>
    </row>
    <row r="2" spans="2:18">
      <c r="F2" s="62" t="s">
        <v>96</v>
      </c>
    </row>
    <row r="3" spans="2:18" ht="23.5" thickBot="1">
      <c r="B3" s="13" t="s">
        <v>19</v>
      </c>
      <c r="C3" s="14" t="s">
        <v>92</v>
      </c>
      <c r="D3" s="14" t="s">
        <v>93</v>
      </c>
      <c r="E3" s="14" t="s">
        <v>94</v>
      </c>
      <c r="F3" s="14" t="s">
        <v>95</v>
      </c>
      <c r="G3" s="17"/>
      <c r="H3" s="15" t="s">
        <v>97</v>
      </c>
      <c r="I3" s="15" t="s">
        <v>98</v>
      </c>
      <c r="J3" s="15" t="s">
        <v>99</v>
      </c>
      <c r="K3" s="15" t="s">
        <v>100</v>
      </c>
      <c r="L3" s="15" t="s">
        <v>101</v>
      </c>
      <c r="N3" s="445" t="s">
        <v>108</v>
      </c>
      <c r="O3" s="72"/>
      <c r="P3" s="443" t="s">
        <v>21</v>
      </c>
      <c r="Q3" s="18"/>
      <c r="R3" s="18"/>
    </row>
    <row r="4" spans="2:18">
      <c r="B4" s="4" t="s">
        <v>25</v>
      </c>
      <c r="C4" s="10">
        <f>'P&amp;L source'!D5</f>
        <v>2927540</v>
      </c>
      <c r="D4" s="10">
        <f>'P&amp;L source'!E5</f>
        <v>3303156</v>
      </c>
      <c r="E4" s="10">
        <f>'P&amp;L source'!F5</f>
        <v>3439503</v>
      </c>
      <c r="F4" s="10">
        <f>'P&amp;L source'!G5</f>
        <v>1795265</v>
      </c>
      <c r="G4" s="156">
        <f>F4*2</f>
        <v>3590530</v>
      </c>
      <c r="H4" s="21">
        <f>(F$4*2)*(1+H$41)</f>
        <v>3770056.5</v>
      </c>
      <c r="I4" s="21">
        <f>(H$4)*(1+I$41)</f>
        <v>3958559.3250000002</v>
      </c>
      <c r="J4" s="21">
        <f t="shared" ref="J4:L4" si="0">(I$4)*(1+J$41)</f>
        <v>4156487.2912500002</v>
      </c>
      <c r="K4" s="21">
        <f t="shared" si="0"/>
        <v>4364311.6558125</v>
      </c>
      <c r="L4" s="21">
        <f t="shared" si="0"/>
        <v>4582527.2386031253</v>
      </c>
      <c r="N4" s="446">
        <f>((L4/G4)^(1/5))-1</f>
        <v>5.0000000000000044E-2</v>
      </c>
    </row>
    <row r="5" spans="2:18">
      <c r="D5" s="10"/>
      <c r="E5" s="10"/>
      <c r="F5" s="10"/>
      <c r="G5" s="156"/>
      <c r="H5" s="21"/>
      <c r="I5" s="21"/>
      <c r="J5" s="21"/>
      <c r="K5" s="21"/>
      <c r="L5" s="21"/>
      <c r="P5" s="447"/>
    </row>
    <row r="6" spans="2:18">
      <c r="B6" s="31" t="s">
        <v>28</v>
      </c>
      <c r="C6" s="32">
        <f t="shared" ref="C6:E6" si="1">SUM(C4)</f>
        <v>2927540</v>
      </c>
      <c r="D6" s="32">
        <f t="shared" si="1"/>
        <v>3303156</v>
      </c>
      <c r="E6" s="32">
        <f t="shared" si="1"/>
        <v>3439503</v>
      </c>
      <c r="F6" s="32">
        <f>SUM(F4)</f>
        <v>1795265</v>
      </c>
      <c r="G6" s="157">
        <f>F6*2</f>
        <v>3590530</v>
      </c>
      <c r="H6" s="83">
        <f t="shared" ref="H6:L6" si="2">SUM(H4)</f>
        <v>3770056.5</v>
      </c>
      <c r="I6" s="83">
        <f t="shared" si="2"/>
        <v>3958559.3250000002</v>
      </c>
      <c r="J6" s="83">
        <f t="shared" si="2"/>
        <v>4156487.2912500002</v>
      </c>
      <c r="K6" s="83">
        <f t="shared" si="2"/>
        <v>4364311.6558125</v>
      </c>
      <c r="L6" s="83">
        <f t="shared" si="2"/>
        <v>4582527.2386031253</v>
      </c>
      <c r="N6" s="446">
        <f>((L6/G6)^(1/5))-1</f>
        <v>5.0000000000000044E-2</v>
      </c>
      <c r="R6" s="70"/>
    </row>
    <row r="7" spans="2:18" ht="3.75" customHeight="1">
      <c r="B7" s="19"/>
      <c r="C7" s="19"/>
      <c r="D7" s="26"/>
      <c r="E7" s="26"/>
      <c r="F7" s="26"/>
      <c r="G7" s="156"/>
      <c r="H7" s="21"/>
      <c r="I7" s="21"/>
      <c r="J7" s="21"/>
      <c r="K7" s="21"/>
      <c r="L7" s="21"/>
    </row>
    <row r="8" spans="2:18">
      <c r="B8" s="4" t="s">
        <v>26</v>
      </c>
      <c r="C8" s="10">
        <f>-SUM('P&amp;L source'!D8:D9)</f>
        <v>-1725761</v>
      </c>
      <c r="D8" s="10">
        <f>-SUM('P&amp;L source'!E8:E9)</f>
        <v>-2022877</v>
      </c>
      <c r="E8" s="10">
        <f>-SUM('P&amp;L source'!F8:F9)</f>
        <v>-2031395</v>
      </c>
      <c r="F8" s="10">
        <f>-SUM('P&amp;L source'!G8:G9)</f>
        <v>-1043159</v>
      </c>
      <c r="G8" s="156"/>
      <c r="H8" s="21">
        <f>-(H6-H9)</f>
        <v>-2186632.77</v>
      </c>
      <c r="I8" s="21">
        <f t="shared" ref="I8:L8" si="3">-(I6-I9)</f>
        <v>-2295964.4084999999</v>
      </c>
      <c r="J8" s="21">
        <f t="shared" si="3"/>
        <v>-2410762.6289250003</v>
      </c>
      <c r="K8" s="21">
        <f t="shared" si="3"/>
        <v>-2531300.7603712501</v>
      </c>
      <c r="L8" s="21">
        <f t="shared" si="3"/>
        <v>-2657865.7983898129</v>
      </c>
      <c r="N8" s="446"/>
    </row>
    <row r="9" spans="2:18">
      <c r="B9" s="31" t="s">
        <v>111</v>
      </c>
      <c r="C9" s="32">
        <f t="shared" ref="C9:E9" si="4">C6+C8</f>
        <v>1201779</v>
      </c>
      <c r="D9" s="32">
        <f t="shared" si="4"/>
        <v>1280279</v>
      </c>
      <c r="E9" s="32">
        <f t="shared" si="4"/>
        <v>1408108</v>
      </c>
      <c r="F9" s="32">
        <f>F6+F8</f>
        <v>752106</v>
      </c>
      <c r="G9" s="157">
        <f>F9*2</f>
        <v>1504212</v>
      </c>
      <c r="H9" s="83">
        <f>H$45*H$6</f>
        <v>1583423.73</v>
      </c>
      <c r="I9" s="83">
        <f t="shared" ref="I9:L9" si="5">I$45*I$6</f>
        <v>1662594.9165000001</v>
      </c>
      <c r="J9" s="83">
        <f t="shared" si="5"/>
        <v>1745724.6623249999</v>
      </c>
      <c r="K9" s="83">
        <f t="shared" si="5"/>
        <v>1833010.8954412499</v>
      </c>
      <c r="L9" s="83">
        <f t="shared" si="5"/>
        <v>1924661.4402133126</v>
      </c>
      <c r="N9" s="446">
        <f>((L9/G9)^(1/5))-1</f>
        <v>5.0531451916109749E-2</v>
      </c>
    </row>
    <row r="10" spans="2:18" ht="3.75" customHeight="1">
      <c r="G10" s="156"/>
      <c r="H10" s="21"/>
      <c r="I10" s="21"/>
      <c r="J10" s="21"/>
      <c r="K10" s="21"/>
      <c r="L10" s="21"/>
    </row>
    <row r="11" spans="2:18">
      <c r="B11" s="4" t="s">
        <v>27</v>
      </c>
      <c r="C11" s="10">
        <f>-SUM('P&amp;L source'!D10:D14)</f>
        <v>-1029807</v>
      </c>
      <c r="D11" s="10">
        <f>-SUM('P&amp;L source'!E10:E14)</f>
        <v>-1148964</v>
      </c>
      <c r="E11" s="10">
        <f>-SUM('P&amp;L source'!F10:F14)</f>
        <v>-1206406</v>
      </c>
      <c r="F11" s="10">
        <f>-SUM('P&amp;L source'!G10:G14)</f>
        <v>-604405</v>
      </c>
      <c r="G11" s="158">
        <f>F11*2</f>
        <v>-1208810</v>
      </c>
      <c r="H11" s="21">
        <f>-(H$6*H49)</f>
        <v>-1319519.7749999999</v>
      </c>
      <c r="I11" s="21">
        <f t="shared" ref="I11:L11" si="6">-(I$6*I49)</f>
        <v>-1385495.7637499999</v>
      </c>
      <c r="J11" s="21">
        <f t="shared" si="6"/>
        <v>-1454770.5519375</v>
      </c>
      <c r="K11" s="21">
        <f t="shared" si="6"/>
        <v>-1527509.0795343749</v>
      </c>
      <c r="L11" s="21">
        <f t="shared" si="6"/>
        <v>-1603884.5335110938</v>
      </c>
    </row>
    <row r="12" spans="2:18">
      <c r="B12" s="154" t="s">
        <v>5</v>
      </c>
      <c r="C12" s="32">
        <f>C9+C11</f>
        <v>171972</v>
      </c>
      <c r="D12" s="32">
        <f t="shared" ref="D12:E12" si="7">D9+D11</f>
        <v>131315</v>
      </c>
      <c r="E12" s="32">
        <f t="shared" si="7"/>
        <v>201702</v>
      </c>
      <c r="F12" s="32">
        <f>F9+F11</f>
        <v>147701</v>
      </c>
      <c r="G12" s="157">
        <f>F12*2</f>
        <v>295402</v>
      </c>
      <c r="H12" s="83">
        <f>H9+H11</f>
        <v>263903.95500000007</v>
      </c>
      <c r="I12" s="83">
        <f t="shared" ref="I12:L12" si="8">I9+I11</f>
        <v>277099.15275000012</v>
      </c>
      <c r="J12" s="83">
        <f t="shared" si="8"/>
        <v>290954.11038749991</v>
      </c>
      <c r="K12" s="83">
        <f t="shared" si="8"/>
        <v>305501.81590687507</v>
      </c>
      <c r="L12" s="83">
        <f t="shared" si="8"/>
        <v>320776.90670221881</v>
      </c>
      <c r="N12" s="446">
        <f>((L12/G12)^(1/5))-1</f>
        <v>1.661832257132323E-2</v>
      </c>
    </row>
    <row r="13" spans="2:18" ht="3.75" customHeight="1">
      <c r="D13" s="10"/>
      <c r="E13" s="10"/>
      <c r="F13" s="10"/>
      <c r="G13" s="158"/>
      <c r="H13" s="21"/>
      <c r="I13" s="21"/>
      <c r="J13" s="21"/>
      <c r="K13" s="21"/>
      <c r="L13" s="21"/>
    </row>
    <row r="14" spans="2:18" ht="11.5" customHeight="1">
      <c r="B14" s="4" t="s">
        <v>88</v>
      </c>
      <c r="C14" s="10">
        <f>'P&amp;L source'!D18</f>
        <v>-89654</v>
      </c>
      <c r="D14" s="10">
        <f>'P&amp;L source'!E18</f>
        <v>-92380</v>
      </c>
      <c r="E14" s="10">
        <f>'P&amp;L source'!F18</f>
        <v>-93136</v>
      </c>
      <c r="F14" s="10">
        <f>'P&amp;L source'!G18</f>
        <v>-49716</v>
      </c>
      <c r="G14" s="158"/>
      <c r="H14" s="21">
        <f>-Depreciation!H8</f>
        <v>-122149.83059999999</v>
      </c>
      <c r="I14" s="21">
        <f>-Depreciation!I8</f>
        <v>-130038.67382625</v>
      </c>
      <c r="J14" s="21">
        <f>-Depreciation!J8</f>
        <v>-138411.02679862501</v>
      </c>
      <c r="K14" s="21">
        <f>-Depreciation!K8</f>
        <v>-147295.51838367188</v>
      </c>
      <c r="L14" s="21">
        <f>-Depreciation!L8</f>
        <v>-156722.43156022689</v>
      </c>
    </row>
    <row r="15" spans="2:18" ht="11.5" customHeight="1">
      <c r="B15" s="4" t="s">
        <v>89</v>
      </c>
      <c r="D15" s="10"/>
      <c r="E15" s="10"/>
      <c r="F15" s="10"/>
      <c r="G15" s="158"/>
      <c r="H15" s="21"/>
      <c r="I15" s="21"/>
      <c r="J15" s="21"/>
      <c r="K15" s="21"/>
      <c r="L15" s="21"/>
    </row>
    <row r="16" spans="2:18">
      <c r="B16" s="31" t="s">
        <v>7</v>
      </c>
      <c r="C16" s="32">
        <f>C12+C14+C15</f>
        <v>82318</v>
      </c>
      <c r="D16" s="32">
        <f t="shared" ref="D16:E16" si="9">D12+D14+D15</f>
        <v>38935</v>
      </c>
      <c r="E16" s="32">
        <f t="shared" si="9"/>
        <v>108566</v>
      </c>
      <c r="F16" s="32">
        <f>F12+F14+F15</f>
        <v>97985</v>
      </c>
      <c r="G16" s="157">
        <f>F16*2</f>
        <v>195970</v>
      </c>
      <c r="H16" s="83">
        <f>H12+H14+H15</f>
        <v>141754.12440000009</v>
      </c>
      <c r="I16" s="83">
        <f t="shared" ref="I16:L16" si="10">I12+I14+I15</f>
        <v>147060.47892375011</v>
      </c>
      <c r="J16" s="83">
        <f t="shared" si="10"/>
        <v>152543.0835888749</v>
      </c>
      <c r="K16" s="83">
        <f t="shared" si="10"/>
        <v>158206.29752320319</v>
      </c>
      <c r="L16" s="83">
        <f t="shared" si="10"/>
        <v>164054.47514199192</v>
      </c>
      <c r="N16" s="446">
        <f>((L16/G16)^(1/5))-1</f>
        <v>-3.4928039178865666E-2</v>
      </c>
    </row>
    <row r="17" spans="2:19" ht="3.75" customHeight="1">
      <c r="B17" s="19"/>
      <c r="C17" s="19"/>
      <c r="D17" s="22"/>
      <c r="E17" s="22"/>
      <c r="F17" s="22"/>
      <c r="G17" s="158"/>
      <c r="H17" s="21"/>
      <c r="I17" s="21"/>
      <c r="J17" s="21"/>
      <c r="K17" s="21"/>
      <c r="L17" s="21"/>
    </row>
    <row r="18" spans="2:19" ht="12" customHeight="1">
      <c r="B18" s="4" t="s">
        <v>63</v>
      </c>
      <c r="C18" s="10">
        <f>'P&amp;L source'!D22</f>
        <v>-10698</v>
      </c>
      <c r="D18" s="10">
        <f>'P&amp;L source'!E22</f>
        <v>-6043</v>
      </c>
      <c r="E18" s="10">
        <f>'P&amp;L source'!F22</f>
        <v>-8552</v>
      </c>
      <c r="F18" s="10">
        <f>'P&amp;L source'!G22</f>
        <v>-4109</v>
      </c>
      <c r="G18" s="158"/>
      <c r="H18" s="21">
        <f>(F$18*2)*(1+H$57)</f>
        <v>-8218</v>
      </c>
      <c r="I18" s="21">
        <f>(H$18)*(1+I$57)</f>
        <v>-8218</v>
      </c>
      <c r="J18" s="21">
        <f t="shared" ref="J18:L18" si="11">(I$18)*(1+J$57)</f>
        <v>-8218</v>
      </c>
      <c r="K18" s="21">
        <f t="shared" si="11"/>
        <v>-8218</v>
      </c>
      <c r="L18" s="21">
        <f t="shared" si="11"/>
        <v>-8218</v>
      </c>
    </row>
    <row r="19" spans="2:19" ht="12" customHeight="1">
      <c r="D19" s="10"/>
      <c r="E19" s="10"/>
      <c r="F19" s="10"/>
      <c r="G19" s="158"/>
      <c r="H19" s="21"/>
      <c r="I19" s="21"/>
      <c r="J19" s="21"/>
      <c r="K19" s="21"/>
      <c r="L19" s="21"/>
    </row>
    <row r="20" spans="2:19" ht="12" customHeight="1">
      <c r="B20" s="31" t="s">
        <v>8</v>
      </c>
      <c r="C20" s="32">
        <f>C16+C18</f>
        <v>71620</v>
      </c>
      <c r="D20" s="32">
        <f t="shared" ref="D20:E20" si="12">D16+D18</f>
        <v>32892</v>
      </c>
      <c r="E20" s="32">
        <f t="shared" si="12"/>
        <v>100014</v>
      </c>
      <c r="F20" s="32">
        <f>F16+F18</f>
        <v>93876</v>
      </c>
      <c r="G20" s="157">
        <f>F20*2</f>
        <v>187752</v>
      </c>
      <c r="H20" s="83">
        <f>H16+H18</f>
        <v>133536.12440000009</v>
      </c>
      <c r="I20" s="83">
        <f t="shared" ref="I20:L20" si="13">I16+I18</f>
        <v>138842.47892375011</v>
      </c>
      <c r="J20" s="83">
        <f t="shared" si="13"/>
        <v>144325.0835888749</v>
      </c>
      <c r="K20" s="83">
        <f t="shared" si="13"/>
        <v>149988.29752320319</v>
      </c>
      <c r="L20" s="83">
        <f t="shared" si="13"/>
        <v>155836.47514199192</v>
      </c>
      <c r="N20" s="446">
        <f>((L20/G20)^(1/5))-1</f>
        <v>-3.6577224554868892E-2</v>
      </c>
    </row>
    <row r="21" spans="2:19" ht="3.75" customHeight="1">
      <c r="D21" s="10"/>
      <c r="E21" s="10"/>
      <c r="F21" s="10"/>
      <c r="G21" s="158"/>
      <c r="H21" s="21"/>
      <c r="I21" s="21"/>
      <c r="J21" s="21"/>
      <c r="K21" s="21"/>
      <c r="L21" s="21"/>
    </row>
    <row r="22" spans="2:19">
      <c r="B22" s="4" t="s">
        <v>9</v>
      </c>
      <c r="C22" s="27">
        <f>'P&amp;L source'!D26</f>
        <v>753</v>
      </c>
      <c r="D22" s="27">
        <f>'P&amp;L source'!E26</f>
        <v>10231</v>
      </c>
      <c r="E22" s="27">
        <f>'P&amp;L source'!F26</f>
        <v>1337</v>
      </c>
      <c r="F22" s="27">
        <f>'P&amp;L source'!G26</f>
        <v>-8241</v>
      </c>
      <c r="G22" s="158"/>
      <c r="H22" s="435">
        <f>H$20*H$61</f>
        <v>-16024.334928000009</v>
      </c>
      <c r="I22" s="435">
        <f t="shared" ref="I22:L22" si="14">I$20*I$61</f>
        <v>-16661.097470850014</v>
      </c>
      <c r="J22" s="435">
        <f t="shared" si="14"/>
        <v>-17319.010030664987</v>
      </c>
      <c r="K22" s="435">
        <f t="shared" si="14"/>
        <v>-17998.595702784383</v>
      </c>
      <c r="L22" s="435">
        <f t="shared" si="14"/>
        <v>-18700.377017039031</v>
      </c>
      <c r="N22" s="446"/>
    </row>
    <row r="23" spans="2:19" ht="14" customHeight="1">
      <c r="B23" s="4" t="s">
        <v>411</v>
      </c>
      <c r="C23" s="20">
        <f>C22/C20</f>
        <v>1.0513822954481989E-2</v>
      </c>
      <c r="D23" s="20">
        <f t="shared" ref="D23:F23" si="15">D22/D20</f>
        <v>0.31104827921683081</v>
      </c>
      <c r="E23" s="20">
        <f t="shared" si="15"/>
        <v>1.3368128462015318E-2</v>
      </c>
      <c r="F23" s="20">
        <f t="shared" si="15"/>
        <v>-8.7786015595040262E-2</v>
      </c>
      <c r="G23" s="10"/>
      <c r="H23" s="69">
        <f>H22/H20</f>
        <v>-0.12</v>
      </c>
      <c r="I23" s="69">
        <f t="shared" ref="I23:L23" si="16">I22/I20</f>
        <v>-0.12000000000000001</v>
      </c>
      <c r="J23" s="69">
        <f t="shared" si="16"/>
        <v>-0.12</v>
      </c>
      <c r="K23" s="69">
        <f t="shared" si="16"/>
        <v>-0.12000000000000001</v>
      </c>
      <c r="L23" s="69">
        <f t="shared" si="16"/>
        <v>-0.12000000000000001</v>
      </c>
    </row>
    <row r="24" spans="2:19" ht="14" customHeight="1">
      <c r="D24" s="10"/>
      <c r="E24" s="10"/>
      <c r="F24" s="10"/>
      <c r="G24" s="10"/>
      <c r="H24" s="16"/>
      <c r="I24" s="16"/>
      <c r="J24" s="16"/>
      <c r="K24" s="16"/>
      <c r="L24" s="16"/>
    </row>
    <row r="25" spans="2:19">
      <c r="B25" s="29" t="s">
        <v>10</v>
      </c>
      <c r="C25" s="30">
        <f t="shared" ref="C25:E25" si="17">C20+C22</f>
        <v>72373</v>
      </c>
      <c r="D25" s="30">
        <f t="shared" si="17"/>
        <v>43123</v>
      </c>
      <c r="E25" s="30">
        <f t="shared" si="17"/>
        <v>101351</v>
      </c>
      <c r="F25" s="30">
        <f>F20+F22</f>
        <v>85635</v>
      </c>
      <c r="G25" s="159">
        <f>F25*2</f>
        <v>171270</v>
      </c>
      <c r="H25" s="30">
        <f>H20+H22</f>
        <v>117511.78947200008</v>
      </c>
      <c r="I25" s="30">
        <f t="shared" ref="I25:L25" si="18">I20+I22</f>
        <v>122181.3814529001</v>
      </c>
      <c r="J25" s="30">
        <f t="shared" si="18"/>
        <v>127006.07355820992</v>
      </c>
      <c r="K25" s="30">
        <f t="shared" si="18"/>
        <v>131989.70182041882</v>
      </c>
      <c r="L25" s="30">
        <f t="shared" si="18"/>
        <v>137136.0981249529</v>
      </c>
      <c r="N25" s="446">
        <f>((L25/G25)^(1/5))-1</f>
        <v>-4.3479905340147118E-2</v>
      </c>
    </row>
    <row r="26" spans="2:19">
      <c r="D26" s="10"/>
      <c r="E26" s="10"/>
      <c r="F26" s="10"/>
      <c r="G26" s="10"/>
      <c r="H26" s="16"/>
      <c r="I26" s="16"/>
      <c r="J26" s="16"/>
      <c r="K26" s="16"/>
      <c r="L26" s="16"/>
    </row>
    <row r="27" spans="2:19">
      <c r="B27" s="4" t="s">
        <v>76</v>
      </c>
      <c r="C27" s="10">
        <f>'P&amp;L source'!D30</f>
        <v>-18661</v>
      </c>
      <c r="D27" s="10">
        <f>'P&amp;L source'!E30</f>
        <v>0</v>
      </c>
      <c r="E27" s="10">
        <f>'P&amp;L source'!F30</f>
        <v>0</v>
      </c>
      <c r="F27" s="10">
        <f>'P&amp;L source'!G30</f>
        <v>0</v>
      </c>
      <c r="G27" s="10"/>
      <c r="H27" s="16">
        <v>0</v>
      </c>
      <c r="I27" s="16">
        <v>0</v>
      </c>
      <c r="J27" s="16">
        <v>0</v>
      </c>
      <c r="K27" s="16">
        <v>0</v>
      </c>
      <c r="L27" s="16">
        <v>0</v>
      </c>
    </row>
    <row r="28" spans="2:19">
      <c r="B28" s="4" t="s">
        <v>75</v>
      </c>
      <c r="C28" s="10">
        <f>'P&amp;L source'!D31</f>
        <v>-4581</v>
      </c>
      <c r="D28" s="10">
        <f>'P&amp;L source'!E31</f>
        <v>0</v>
      </c>
      <c r="E28" s="10">
        <f>'P&amp;L source'!F31</f>
        <v>0</v>
      </c>
      <c r="F28" s="10">
        <f>'P&amp;L source'!G31</f>
        <v>0</v>
      </c>
      <c r="G28" s="10"/>
      <c r="H28" s="16">
        <v>0</v>
      </c>
      <c r="I28" s="16">
        <v>0</v>
      </c>
      <c r="J28" s="16">
        <v>0</v>
      </c>
      <c r="K28" s="16">
        <v>0</v>
      </c>
      <c r="L28" s="16">
        <v>0</v>
      </c>
      <c r="P28" s="448"/>
      <c r="Q28" s="84"/>
      <c r="R28" s="84"/>
      <c r="S28" s="71"/>
    </row>
    <row r="29" spans="2:19">
      <c r="B29" s="29" t="s">
        <v>10</v>
      </c>
      <c r="C29" s="30">
        <f>C25+SUM(C27:C28)</f>
        <v>49131</v>
      </c>
      <c r="D29" s="30">
        <f t="shared" ref="D29:H29" si="19">D25+SUM(D27:D28)</f>
        <v>43123</v>
      </c>
      <c r="E29" s="30">
        <f t="shared" si="19"/>
        <v>101351</v>
      </c>
      <c r="F29" s="30">
        <f t="shared" si="19"/>
        <v>85635</v>
      </c>
      <c r="G29" s="160">
        <f>F29*2</f>
        <v>171270</v>
      </c>
      <c r="H29" s="30">
        <f t="shared" si="19"/>
        <v>117511.78947200008</v>
      </c>
      <c r="I29" s="30">
        <f t="shared" ref="I29" si="20">I25+SUM(I27:I28)</f>
        <v>122181.3814529001</v>
      </c>
      <c r="J29" s="30">
        <f t="shared" ref="J29" si="21">J25+SUM(J27:J28)</f>
        <v>127006.07355820992</v>
      </c>
      <c r="K29" s="30">
        <f t="shared" ref="K29" si="22">K25+SUM(K27:K28)</f>
        <v>131989.70182041882</v>
      </c>
      <c r="L29" s="30">
        <f t="shared" ref="L29" si="23">L25+SUM(L27:L28)</f>
        <v>137136.0981249529</v>
      </c>
      <c r="N29" s="446">
        <f>((L29/G29)^(1/5))-1</f>
        <v>-4.3479905340147118E-2</v>
      </c>
    </row>
    <row r="30" spans="2:19">
      <c r="D30" s="10"/>
      <c r="E30" s="10"/>
      <c r="F30" s="10"/>
      <c r="G30" s="10"/>
      <c r="H30" s="16"/>
      <c r="I30" s="16"/>
      <c r="J30" s="16"/>
      <c r="K30" s="16"/>
      <c r="L30" s="16"/>
    </row>
    <row r="31" spans="2:19">
      <c r="B31" s="4" t="s">
        <v>90</v>
      </c>
      <c r="C31" s="10">
        <f>'P&amp;L source'!D34</f>
        <v>48510</v>
      </c>
      <c r="D31" s="10">
        <f>'P&amp;L source'!E34</f>
        <v>50414</v>
      </c>
      <c r="E31" s="10">
        <f>'P&amp;L source'!F34</f>
        <v>49050</v>
      </c>
      <c r="F31" s="10">
        <f>'P&amp;L source'!G34</f>
        <v>48685</v>
      </c>
      <c r="G31" s="10"/>
      <c r="H31" s="21">
        <v>48685</v>
      </c>
      <c r="I31" s="21">
        <v>48685</v>
      </c>
      <c r="J31" s="21">
        <v>48685</v>
      </c>
      <c r="K31" s="21">
        <v>48685</v>
      </c>
      <c r="L31" s="21">
        <v>48685</v>
      </c>
    </row>
    <row r="32" spans="2:19">
      <c r="B32" s="29" t="s">
        <v>91</v>
      </c>
      <c r="C32" s="66">
        <f t="shared" ref="C32:E32" si="24">C29/C31</f>
        <v>1.0128014842300557</v>
      </c>
      <c r="D32" s="66">
        <f t="shared" si="24"/>
        <v>0.85537747451104851</v>
      </c>
      <c r="E32" s="66">
        <f t="shared" si="24"/>
        <v>2.0662793068297653</v>
      </c>
      <c r="F32" s="66">
        <f>F29/F31</f>
        <v>1.7589606655027217</v>
      </c>
      <c r="G32" s="30"/>
      <c r="H32" s="66">
        <f>H29/H31</f>
        <v>2.4137165342918778</v>
      </c>
      <c r="I32" s="66">
        <f t="shared" ref="I32:L32" si="25">I29/I31</f>
        <v>2.5096309223148832</v>
      </c>
      <c r="J32" s="66">
        <f t="shared" si="25"/>
        <v>2.6087310990697321</v>
      </c>
      <c r="K32" s="66">
        <f t="shared" si="25"/>
        <v>2.7110958574595627</v>
      </c>
      <c r="L32" s="66">
        <f t="shared" si="25"/>
        <v>2.8168039052059752</v>
      </c>
      <c r="N32" s="446">
        <f>((6.37/3.86)^(1/5))-1</f>
        <v>0.10537700438682096</v>
      </c>
    </row>
    <row r="34" spans="2:18" ht="12" thickBot="1">
      <c r="B34" s="77" t="s">
        <v>103</v>
      </c>
      <c r="C34" s="77"/>
      <c r="D34" s="77"/>
      <c r="E34" s="77"/>
      <c r="F34" s="77"/>
      <c r="G34" s="77"/>
      <c r="H34" s="77"/>
      <c r="I34" s="77"/>
      <c r="J34" s="77"/>
      <c r="K34" s="77"/>
      <c r="L34" s="77"/>
      <c r="P34" s="449"/>
      <c r="Q34" s="72"/>
      <c r="R34" s="72"/>
    </row>
    <row r="36" spans="2:18">
      <c r="B36" s="4" t="s">
        <v>110</v>
      </c>
      <c r="C36" s="75">
        <v>1</v>
      </c>
      <c r="E36" s="61" t="s">
        <v>48</v>
      </c>
      <c r="F36" s="74">
        <v>1</v>
      </c>
      <c r="H36" s="4" t="s">
        <v>45</v>
      </c>
    </row>
    <row r="37" spans="2:18">
      <c r="E37" s="61" t="s">
        <v>49</v>
      </c>
      <c r="F37" s="74">
        <v>2</v>
      </c>
      <c r="H37" s="4" t="s">
        <v>46</v>
      </c>
    </row>
    <row r="38" spans="2:18">
      <c r="E38" s="61" t="s">
        <v>50</v>
      </c>
      <c r="F38" s="74">
        <v>3</v>
      </c>
      <c r="H38" s="4" t="s">
        <v>47</v>
      </c>
    </row>
    <row r="39" spans="2:18" ht="12" thickBot="1">
      <c r="B39" s="78"/>
      <c r="C39" s="78"/>
      <c r="D39" s="78"/>
      <c r="E39" s="78"/>
      <c r="F39" s="78"/>
      <c r="G39" s="78"/>
      <c r="H39" s="78"/>
      <c r="I39" s="78"/>
      <c r="J39" s="78"/>
      <c r="K39" s="78"/>
      <c r="L39" s="78"/>
      <c r="P39" s="443" t="s">
        <v>348</v>
      </c>
      <c r="Q39" s="18" t="s">
        <v>21</v>
      </c>
      <c r="R39" s="18"/>
    </row>
    <row r="40" spans="2:18">
      <c r="B40" s="76"/>
      <c r="C40" s="76"/>
      <c r="D40" s="76"/>
      <c r="E40" s="76"/>
      <c r="F40" s="76"/>
      <c r="G40" s="76"/>
      <c r="H40" s="76"/>
      <c r="I40" s="76"/>
      <c r="J40" s="76"/>
      <c r="K40" s="76"/>
      <c r="L40" s="76"/>
    </row>
    <row r="41" spans="2:18">
      <c r="B41" s="4" t="s">
        <v>370</v>
      </c>
      <c r="C41" s="20"/>
      <c r="D41" s="20">
        <f>D$4/C$4-1</f>
        <v>0.12830431010336318</v>
      </c>
      <c r="E41" s="20">
        <f t="shared" ref="E41" si="26">E$4/D$4-1</f>
        <v>4.127779614405136E-2</v>
      </c>
      <c r="F41" s="20">
        <f>((F$4*2)/E$4)-1</f>
        <v>4.390954158202498E-2</v>
      </c>
      <c r="H41" s="79">
        <f>CHOOSE($C$36,H42,H43,H44)</f>
        <v>0.05</v>
      </c>
      <c r="I41" s="80">
        <f t="shared" ref="I41:L41" si="27">CHOOSE($C$36,I42,I43,I44)</f>
        <v>0.05</v>
      </c>
      <c r="J41" s="80">
        <f t="shared" si="27"/>
        <v>0.05</v>
      </c>
      <c r="K41" s="80">
        <f t="shared" si="27"/>
        <v>0.05</v>
      </c>
      <c r="L41" s="81">
        <f t="shared" si="27"/>
        <v>0.05</v>
      </c>
      <c r="P41" s="450" t="s">
        <v>367</v>
      </c>
    </row>
    <row r="42" spans="2:18">
      <c r="B42" s="67" t="s">
        <v>48</v>
      </c>
      <c r="C42" s="69"/>
      <c r="D42" s="69"/>
      <c r="E42" s="69"/>
      <c r="F42" s="69"/>
      <c r="H42" s="20">
        <v>0.05</v>
      </c>
      <c r="I42" s="20">
        <v>0.05</v>
      </c>
      <c r="J42" s="20">
        <v>0.05</v>
      </c>
      <c r="K42" s="20">
        <v>0.05</v>
      </c>
      <c r="L42" s="20">
        <v>0.05</v>
      </c>
    </row>
    <row r="43" spans="2:18">
      <c r="B43" s="67" t="s">
        <v>49</v>
      </c>
      <c r="C43" s="69"/>
      <c r="D43" s="69"/>
      <c r="E43" s="69"/>
      <c r="F43" s="69"/>
      <c r="H43" s="20">
        <v>0.03</v>
      </c>
      <c r="I43" s="20">
        <v>0.03</v>
      </c>
      <c r="J43" s="20">
        <v>0.03</v>
      </c>
      <c r="K43" s="20">
        <v>0.03</v>
      </c>
      <c r="L43" s="20">
        <v>0.03</v>
      </c>
      <c r="P43" s="437" t="s">
        <v>368</v>
      </c>
    </row>
    <row r="44" spans="2:18">
      <c r="B44" s="67" t="s">
        <v>50</v>
      </c>
      <c r="C44" s="69"/>
      <c r="D44" s="69"/>
      <c r="E44" s="69"/>
      <c r="F44" s="69"/>
      <c r="H44" s="20">
        <v>2.8000000000000001E-2</v>
      </c>
      <c r="I44" s="20">
        <v>2.8000000000000001E-2</v>
      </c>
      <c r="J44" s="20">
        <v>2.8000000000000001E-2</v>
      </c>
      <c r="K44" s="20">
        <v>2.8000000000000001E-2</v>
      </c>
      <c r="L44" s="20">
        <v>2.8000000000000001E-2</v>
      </c>
    </row>
    <row r="45" spans="2:18">
      <c r="B45" s="4" t="s">
        <v>104</v>
      </c>
      <c r="C45" s="20"/>
      <c r="D45" s="20">
        <f>C9/C$4</f>
        <v>0.41050813994001789</v>
      </c>
      <c r="E45" s="20">
        <f t="shared" ref="E45:F45" si="28">D9/D$4</f>
        <v>0.38759265381350444</v>
      </c>
      <c r="F45" s="20">
        <f t="shared" si="28"/>
        <v>0.40939286867899227</v>
      </c>
      <c r="G45" s="20"/>
      <c r="H45" s="79">
        <f>CHOOSE($C$36,H46,H47,H48)</f>
        <v>0.42</v>
      </c>
      <c r="I45" s="80">
        <f t="shared" ref="I45" si="29">CHOOSE($C$36,I46,I47,I48)</f>
        <v>0.42</v>
      </c>
      <c r="J45" s="80">
        <f t="shared" ref="J45" si="30">CHOOSE($C$36,J46,J47,J48)</f>
        <v>0.42</v>
      </c>
      <c r="K45" s="80">
        <f t="shared" ref="K45" si="31">CHOOSE($C$36,K46,K47,K48)</f>
        <v>0.42</v>
      </c>
      <c r="L45" s="81">
        <f t="shared" ref="L45" si="32">CHOOSE($C$36,L46,L47,L48)</f>
        <v>0.42</v>
      </c>
      <c r="P45" s="450" t="s">
        <v>32</v>
      </c>
    </row>
    <row r="46" spans="2:18">
      <c r="B46" s="67" t="s">
        <v>48</v>
      </c>
      <c r="C46" s="69"/>
      <c r="D46" s="69"/>
      <c r="E46" s="69"/>
      <c r="F46" s="69"/>
      <c r="H46" s="20">
        <v>0.42</v>
      </c>
      <c r="I46" s="20">
        <v>0.42</v>
      </c>
      <c r="J46" s="20">
        <v>0.42</v>
      </c>
      <c r="K46" s="20">
        <v>0.42</v>
      </c>
      <c r="L46" s="20">
        <v>0.42</v>
      </c>
    </row>
    <row r="47" spans="2:18">
      <c r="B47" s="67" t="s">
        <v>49</v>
      </c>
      <c r="C47" s="69"/>
      <c r="D47" s="69"/>
      <c r="E47" s="69"/>
      <c r="F47" s="69"/>
      <c r="H47" s="20">
        <v>0.4</v>
      </c>
      <c r="I47" s="20">
        <v>0.4</v>
      </c>
      <c r="J47" s="20">
        <v>0.4</v>
      </c>
      <c r="K47" s="20">
        <v>0.4</v>
      </c>
      <c r="L47" s="20">
        <v>0.4</v>
      </c>
      <c r="P47" s="437" t="s">
        <v>368</v>
      </c>
    </row>
    <row r="48" spans="2:18">
      <c r="B48" s="67" t="s">
        <v>50</v>
      </c>
      <c r="C48" s="69"/>
      <c r="D48" s="69"/>
      <c r="E48" s="69"/>
      <c r="F48" s="69"/>
      <c r="H48" s="20">
        <v>0.36</v>
      </c>
      <c r="I48" s="20">
        <v>0.36</v>
      </c>
      <c r="J48" s="20">
        <v>0.36</v>
      </c>
      <c r="K48" s="20">
        <v>0.36</v>
      </c>
      <c r="L48" s="20">
        <v>0.36</v>
      </c>
    </row>
    <row r="49" spans="2:17">
      <c r="B49" s="4" t="s">
        <v>27</v>
      </c>
      <c r="C49" s="20">
        <f>-C11/C$4</f>
        <v>0.35176530465851874</v>
      </c>
      <c r="D49" s="20">
        <f>-D11/D$4</f>
        <v>0.3478382492380015</v>
      </c>
      <c r="E49" s="20">
        <f>-E11/E$4</f>
        <v>0.35075009383623157</v>
      </c>
      <c r="F49" s="20">
        <f>-(F11*2)/(F$4*2)</f>
        <v>0.33666617463160037</v>
      </c>
      <c r="G49" s="20"/>
      <c r="H49" s="79">
        <f>CHOOSE($C$36,H50,H51,H52)</f>
        <v>0.35</v>
      </c>
      <c r="I49" s="80">
        <f t="shared" ref="I49" si="33">CHOOSE($C$36,I50,I51,I52)</f>
        <v>0.35</v>
      </c>
      <c r="J49" s="80">
        <f t="shared" ref="J49" si="34">CHOOSE($C$36,J50,J51,J52)</f>
        <v>0.35</v>
      </c>
      <c r="K49" s="80">
        <f t="shared" ref="K49" si="35">CHOOSE($C$36,K50,K51,K52)</f>
        <v>0.35</v>
      </c>
      <c r="L49" s="81">
        <f t="shared" ref="L49" si="36">CHOOSE($C$36,L50,L51,L52)</f>
        <v>0.35</v>
      </c>
      <c r="P49" s="450" t="s">
        <v>32</v>
      </c>
    </row>
    <row r="50" spans="2:17">
      <c r="B50" s="67" t="s">
        <v>48</v>
      </c>
      <c r="C50" s="69"/>
      <c r="D50" s="69"/>
      <c r="E50" s="69"/>
      <c r="F50" s="69"/>
      <c r="H50" s="20">
        <v>0.35</v>
      </c>
      <c r="I50" s="20">
        <v>0.35</v>
      </c>
      <c r="J50" s="20">
        <v>0.35</v>
      </c>
      <c r="K50" s="20">
        <v>0.35</v>
      </c>
      <c r="L50" s="20">
        <v>0.35</v>
      </c>
    </row>
    <row r="51" spans="2:17">
      <c r="B51" s="67" t="s">
        <v>49</v>
      </c>
      <c r="C51" s="69"/>
      <c r="D51" s="69"/>
      <c r="E51" s="69"/>
      <c r="F51" s="69"/>
      <c r="H51" s="20">
        <v>0.34</v>
      </c>
      <c r="I51" s="20">
        <v>0.34</v>
      </c>
      <c r="J51" s="20">
        <v>0.34</v>
      </c>
      <c r="K51" s="20">
        <v>0.34</v>
      </c>
      <c r="L51" s="20">
        <v>0.34</v>
      </c>
      <c r="P51" s="437" t="s">
        <v>368</v>
      </c>
    </row>
    <row r="52" spans="2:17">
      <c r="B52" s="67" t="s">
        <v>50</v>
      </c>
      <c r="C52" s="69"/>
      <c r="D52" s="69"/>
      <c r="E52" s="69"/>
      <c r="F52" s="69"/>
      <c r="H52" s="20">
        <v>0.33</v>
      </c>
      <c r="I52" s="20">
        <v>0.33</v>
      </c>
      <c r="J52" s="20">
        <v>0.33</v>
      </c>
      <c r="K52" s="20">
        <v>0.33</v>
      </c>
      <c r="L52" s="20">
        <v>0.33</v>
      </c>
    </row>
    <row r="53" spans="2:17">
      <c r="B53" s="4" t="s">
        <v>105</v>
      </c>
      <c r="C53" s="20">
        <f>C16/C$4</f>
        <v>2.8118488560361258E-2</v>
      </c>
      <c r="D53" s="20">
        <f t="shared" ref="D53:F53" si="37">D16/D$4</f>
        <v>1.1787211987565832E-2</v>
      </c>
      <c r="E53" s="20">
        <f t="shared" si="37"/>
        <v>3.1564444049038479E-2</v>
      </c>
      <c r="F53" s="20">
        <f t="shared" si="37"/>
        <v>5.4579686007358248E-2</v>
      </c>
      <c r="H53" s="79">
        <f>CHOOSE($C$36,H54,H55,H56)</f>
        <v>0.04</v>
      </c>
      <c r="I53" s="80">
        <f t="shared" ref="I53" si="38">CHOOSE($C$36,I54,I55,I56)</f>
        <v>0.04</v>
      </c>
      <c r="J53" s="80">
        <f t="shared" ref="J53" si="39">CHOOSE($C$36,J54,J55,J56)</f>
        <v>0.04</v>
      </c>
      <c r="K53" s="80">
        <f t="shared" ref="K53" si="40">CHOOSE($C$36,K54,K55,K56)</f>
        <v>0.04</v>
      </c>
      <c r="L53" s="81">
        <f t="shared" ref="L53" si="41">CHOOSE($C$36,L54,L55,L56)</f>
        <v>0.04</v>
      </c>
      <c r="P53" s="450" t="s">
        <v>32</v>
      </c>
    </row>
    <row r="54" spans="2:17">
      <c r="B54" s="67" t="s">
        <v>48</v>
      </c>
      <c r="C54" s="69"/>
      <c r="D54" s="69"/>
      <c r="E54" s="69"/>
      <c r="F54" s="69"/>
      <c r="H54" s="20">
        <v>0.04</v>
      </c>
      <c r="I54" s="20">
        <v>0.04</v>
      </c>
      <c r="J54" s="20">
        <v>0.04</v>
      </c>
      <c r="K54" s="20">
        <v>0.04</v>
      </c>
      <c r="L54" s="20">
        <v>0.04</v>
      </c>
    </row>
    <row r="55" spans="2:17">
      <c r="B55" s="67" t="s">
        <v>49</v>
      </c>
      <c r="C55" s="69"/>
      <c r="D55" s="69"/>
      <c r="E55" s="69"/>
      <c r="F55" s="69"/>
      <c r="H55" s="20">
        <v>3.5000000000000003E-2</v>
      </c>
      <c r="I55" s="20">
        <v>3.5000000000000003E-2</v>
      </c>
      <c r="J55" s="20">
        <v>3.5000000000000003E-2</v>
      </c>
      <c r="K55" s="20">
        <v>3.5000000000000003E-2</v>
      </c>
      <c r="L55" s="20">
        <v>3.5000000000000003E-2</v>
      </c>
      <c r="P55" s="437" t="s">
        <v>368</v>
      </c>
    </row>
    <row r="56" spans="2:17">
      <c r="B56" s="67" t="s">
        <v>50</v>
      </c>
      <c r="C56" s="69"/>
      <c r="D56" s="69"/>
      <c r="E56" s="69"/>
      <c r="F56" s="69"/>
      <c r="H56" s="20">
        <v>0.03</v>
      </c>
      <c r="I56" s="20">
        <v>0.03</v>
      </c>
      <c r="J56" s="20">
        <v>0.03</v>
      </c>
      <c r="K56" s="20">
        <v>0.03</v>
      </c>
      <c r="L56" s="20">
        <v>0.03</v>
      </c>
    </row>
    <row r="57" spans="2:17">
      <c r="B57" s="4" t="s">
        <v>371</v>
      </c>
      <c r="C57" s="155"/>
      <c r="D57" s="155">
        <f>D$18/C$18-1</f>
        <v>-0.43512806131987292</v>
      </c>
      <c r="E57" s="155">
        <f t="shared" ref="E57:F57" si="42">E$18/D$18-1</f>
        <v>0.41519113023332777</v>
      </c>
      <c r="F57" s="155">
        <f t="shared" si="42"/>
        <v>-0.51952759588400377</v>
      </c>
      <c r="H57" s="79">
        <f>CHOOSE($C$36,H58,H59,H60)</f>
        <v>0</v>
      </c>
      <c r="I57" s="80">
        <f t="shared" ref="I57:L57" si="43">CHOOSE($C$36,I58,I59,I60)</f>
        <v>0</v>
      </c>
      <c r="J57" s="80">
        <f t="shared" si="43"/>
        <v>0</v>
      </c>
      <c r="K57" s="80">
        <f t="shared" si="43"/>
        <v>0</v>
      </c>
      <c r="L57" s="81">
        <f t="shared" si="43"/>
        <v>0</v>
      </c>
      <c r="P57" s="450" t="s">
        <v>369</v>
      </c>
    </row>
    <row r="58" spans="2:17">
      <c r="B58" s="67" t="s">
        <v>48</v>
      </c>
      <c r="C58" s="69"/>
      <c r="D58" s="69"/>
      <c r="E58" s="69"/>
      <c r="F58" s="69"/>
      <c r="H58" s="20">
        <v>0</v>
      </c>
      <c r="I58" s="20">
        <v>0</v>
      </c>
      <c r="J58" s="20">
        <v>0</v>
      </c>
      <c r="K58" s="20">
        <v>0</v>
      </c>
      <c r="L58" s="20">
        <v>0</v>
      </c>
    </row>
    <row r="59" spans="2:17">
      <c r="B59" s="67" t="s">
        <v>49</v>
      </c>
      <c r="C59" s="69"/>
      <c r="D59" s="69"/>
      <c r="E59" s="69"/>
      <c r="F59" s="69"/>
      <c r="H59" s="20">
        <v>0</v>
      </c>
      <c r="I59" s="20">
        <v>0</v>
      </c>
      <c r="J59" s="20">
        <v>0</v>
      </c>
      <c r="K59" s="20">
        <v>0</v>
      </c>
      <c r="L59" s="20">
        <v>0</v>
      </c>
      <c r="P59" s="437" t="s">
        <v>373</v>
      </c>
    </row>
    <row r="60" spans="2:17">
      <c r="B60" s="67" t="s">
        <v>50</v>
      </c>
      <c r="C60" s="69"/>
      <c r="D60" s="69"/>
      <c r="E60" s="69"/>
      <c r="F60" s="69"/>
      <c r="H60" s="20">
        <v>0</v>
      </c>
      <c r="I60" s="20">
        <v>0</v>
      </c>
      <c r="J60" s="20">
        <v>0</v>
      </c>
      <c r="K60" s="20">
        <v>0</v>
      </c>
      <c r="L60" s="20">
        <v>0</v>
      </c>
      <c r="P60" s="437" t="s">
        <v>373</v>
      </c>
    </row>
    <row r="61" spans="2:17">
      <c r="B61" s="4" t="s">
        <v>106</v>
      </c>
      <c r="C61" s="20">
        <f>C$22/C$20</f>
        <v>1.0513822954481989E-2</v>
      </c>
      <c r="D61" s="20">
        <f>D$22/D$20</f>
        <v>0.31104827921683081</v>
      </c>
      <c r="E61" s="20">
        <f>E$22/E$20</f>
        <v>1.3368128462015318E-2</v>
      </c>
      <c r="F61" s="20">
        <f>F$22/F$20</f>
        <v>-8.7786015595040262E-2</v>
      </c>
      <c r="H61" s="79">
        <f>CHOOSE($C$36,H62,H63,H64)</f>
        <v>-0.12</v>
      </c>
      <c r="I61" s="80">
        <f t="shared" ref="I61" si="44">CHOOSE($C$36,I62,I63,I64)</f>
        <v>-0.12</v>
      </c>
      <c r="J61" s="80">
        <f t="shared" ref="J61" si="45">CHOOSE($C$36,J62,J63,J64)</f>
        <v>-0.12</v>
      </c>
      <c r="K61" s="80">
        <f t="shared" ref="K61" si="46">CHOOSE($C$36,K62,K63,K64)</f>
        <v>-0.12</v>
      </c>
      <c r="L61" s="81">
        <f t="shared" ref="L61" si="47">CHOOSE($C$36,L62,L63,L64)</f>
        <v>-0.12</v>
      </c>
      <c r="P61" s="450" t="s">
        <v>372</v>
      </c>
      <c r="Q61" s="4" t="s">
        <v>107</v>
      </c>
    </row>
    <row r="62" spans="2:17">
      <c r="B62" s="67" t="s">
        <v>48</v>
      </c>
      <c r="C62" s="69"/>
      <c r="D62" s="69"/>
      <c r="E62" s="69"/>
      <c r="F62" s="69"/>
      <c r="H62" s="20">
        <v>-0.12</v>
      </c>
      <c r="I62" s="20">
        <v>-0.12</v>
      </c>
      <c r="J62" s="20">
        <v>-0.12</v>
      </c>
      <c r="K62" s="20">
        <v>-0.12</v>
      </c>
      <c r="L62" s="20">
        <v>-0.12</v>
      </c>
      <c r="M62" s="20"/>
    </row>
    <row r="63" spans="2:17">
      <c r="B63" s="67" t="s">
        <v>49</v>
      </c>
      <c r="C63" s="69"/>
      <c r="D63" s="69"/>
      <c r="E63" s="69"/>
      <c r="F63" s="69"/>
      <c r="H63" s="20">
        <v>-0.11</v>
      </c>
      <c r="I63" s="20">
        <v>-0.11</v>
      </c>
      <c r="J63" s="20">
        <v>-0.11</v>
      </c>
      <c r="K63" s="20">
        <v>-0.11</v>
      </c>
      <c r="L63" s="20">
        <v>-0.11</v>
      </c>
      <c r="M63" s="20"/>
    </row>
    <row r="64" spans="2:17">
      <c r="B64" s="67" t="s">
        <v>50</v>
      </c>
      <c r="C64" s="69"/>
      <c r="D64" s="69"/>
      <c r="E64" s="69"/>
      <c r="F64" s="69"/>
      <c r="H64" s="20">
        <v>-0.1</v>
      </c>
      <c r="I64" s="20">
        <v>-0.1</v>
      </c>
      <c r="J64" s="20">
        <v>-0.1</v>
      </c>
      <c r="K64" s="20">
        <v>-0.1</v>
      </c>
      <c r="L64" s="20">
        <v>-0.1</v>
      </c>
      <c r="M64" s="20"/>
    </row>
    <row r="65" spans="3:6">
      <c r="C65" s="68"/>
      <c r="D65" s="68"/>
      <c r="E65" s="68"/>
      <c r="F65" s="68"/>
    </row>
    <row r="66" spans="3:6">
      <c r="C66" s="68"/>
      <c r="D66" s="68"/>
      <c r="E66" s="68"/>
      <c r="F66" s="68"/>
    </row>
    <row r="67" spans="3:6">
      <c r="C67" s="68"/>
      <c r="D67" s="68"/>
      <c r="E67" s="68"/>
      <c r="F67" s="68"/>
    </row>
    <row r="68" spans="3:6">
      <c r="C68" s="68"/>
      <c r="D68" s="68"/>
      <c r="E68" s="68"/>
      <c r="F68" s="68"/>
    </row>
    <row r="82" spans="2:2">
      <c r="B82" s="4">
        <v>1</v>
      </c>
    </row>
  </sheetData>
  <dataValidations count="1">
    <dataValidation type="list" allowBlank="1" showInputMessage="1" showErrorMessage="1" sqref="C36" xr:uid="{26390419-DEB9-4633-8869-E53E8D65FB5F}">
      <formula1>$F$36:$F$38</formula1>
    </dataValidation>
  </dataValidations>
  <pageMargins left="0.7" right="0.7" top="0.75" bottom="0.75" header="0.3" footer="0.3"/>
  <pageSetup orientation="portrait" r:id="rId1"/>
  <ignoredErrors>
    <ignoredError sqref="G12 G6 G16 G20"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2530-B750-48E2-89E2-84F0A17F37A6}">
  <sheetPr codeName="Sheet17">
    <tabColor theme="7" tint="-0.249977111117893"/>
  </sheetPr>
  <dimension ref="B1:T34"/>
  <sheetViews>
    <sheetView zoomScale="90" zoomScaleNormal="90" workbookViewId="0"/>
  </sheetViews>
  <sheetFormatPr defaultColWidth="9.08984375" defaultRowHeight="11.5"/>
  <cols>
    <col min="1" max="1" width="2" style="4" customWidth="1"/>
    <col min="2" max="2" width="22.6328125" style="4" bestFit="1" customWidth="1"/>
    <col min="3" max="3" width="9.08984375" style="4"/>
    <col min="4" max="4" width="9.54296875" style="4" bestFit="1" customWidth="1"/>
    <col min="5" max="5" width="9.54296875" style="4" customWidth="1"/>
    <col min="6" max="6" width="9.08984375" style="4"/>
    <col min="7" max="7" width="2" style="4" customWidth="1"/>
    <col min="8" max="8" width="9.54296875" style="4" bestFit="1" customWidth="1"/>
    <col min="9" max="12" width="9.08984375" style="4"/>
    <col min="13" max="13" width="2" style="4" customWidth="1"/>
    <col min="14" max="14" width="13.26953125" style="437" customWidth="1"/>
    <col min="15" max="15" width="14.81640625" style="4" customWidth="1"/>
    <col min="16" max="16384" width="9.08984375" style="4"/>
  </cols>
  <sheetData>
    <row r="1" spans="2:20" ht="15.5">
      <c r="B1" s="3" t="s">
        <v>22</v>
      </c>
    </row>
    <row r="3" spans="2:20" ht="23.5" thickBot="1">
      <c r="B3" s="13" t="s">
        <v>19</v>
      </c>
      <c r="C3" s="14" t="s">
        <v>92</v>
      </c>
      <c r="D3" s="14" t="s">
        <v>93</v>
      </c>
      <c r="E3" s="14" t="s">
        <v>94</v>
      </c>
      <c r="F3" s="14" t="s">
        <v>95</v>
      </c>
      <c r="G3" s="17"/>
      <c r="H3" s="15" t="s">
        <v>97</v>
      </c>
      <c r="I3" s="15" t="s">
        <v>98</v>
      </c>
      <c r="J3" s="15" t="s">
        <v>99</v>
      </c>
      <c r="K3" s="15" t="s">
        <v>100</v>
      </c>
      <c r="L3" s="15" t="s">
        <v>101</v>
      </c>
      <c r="N3" s="443" t="s">
        <v>21</v>
      </c>
      <c r="P3" s="124" t="s">
        <v>97</v>
      </c>
      <c r="Q3" s="124" t="s">
        <v>98</v>
      </c>
      <c r="R3" s="124" t="s">
        <v>99</v>
      </c>
      <c r="S3" s="124" t="s">
        <v>100</v>
      </c>
      <c r="T3" s="124" t="s">
        <v>101</v>
      </c>
    </row>
    <row r="4" spans="2:20">
      <c r="B4" s="4" t="s">
        <v>13</v>
      </c>
      <c r="C4" s="10">
        <f>'BS source'!C4</f>
        <v>189627</v>
      </c>
      <c r="D4" s="10">
        <f>'BS source'!D4</f>
        <v>114777</v>
      </c>
      <c r="E4" s="10">
        <f>'BS source'!E4</f>
        <v>56290</v>
      </c>
      <c r="F4" s="10">
        <f>'BS source'!F4</f>
        <v>40654</v>
      </c>
      <c r="H4" s="21">
        <f>P4</f>
        <v>69629.569829658998</v>
      </c>
      <c r="I4" s="21">
        <f t="shared" ref="I4:L4" si="0">Q4</f>
        <v>93256.104317997248</v>
      </c>
      <c r="J4" s="21">
        <f t="shared" si="0"/>
        <v>114214.4553452963</v>
      </c>
      <c r="K4" s="21">
        <f t="shared" si="0"/>
        <v>132226.86972230652</v>
      </c>
      <c r="L4" s="21">
        <f t="shared" si="0"/>
        <v>146999.99069581841</v>
      </c>
      <c r="N4" s="437" t="s">
        <v>528</v>
      </c>
      <c r="P4" s="162">
        <f>UnleveredCF!G34</f>
        <v>69629.569829658998</v>
      </c>
      <c r="Q4" s="162">
        <f>UnleveredCF!H34</f>
        <v>93256.104317997248</v>
      </c>
      <c r="R4" s="162">
        <f>UnleveredCF!I34</f>
        <v>114214.4553452963</v>
      </c>
      <c r="S4" s="162">
        <f>UnleveredCF!J34</f>
        <v>132226.86972230652</v>
      </c>
      <c r="T4" s="162">
        <f>UnleveredCF!K34</f>
        <v>146999.99069581841</v>
      </c>
    </row>
    <row r="5" spans="2:20">
      <c r="B5" s="4" t="s">
        <v>145</v>
      </c>
      <c r="C5" s="10">
        <f>'BS source'!C5</f>
        <v>100504</v>
      </c>
      <c r="D5" s="10">
        <f>'BS source'!D5</f>
        <v>105511</v>
      </c>
      <c r="E5" s="10">
        <f>'BS source'!E5</f>
        <v>103094</v>
      </c>
      <c r="F5" s="10">
        <f>'BS source'!F5</f>
        <v>72420</v>
      </c>
      <c r="H5" s="21">
        <f>WC!H9</f>
        <v>104723.79166666667</v>
      </c>
      <c r="I5" s="21">
        <f>WC!I9</f>
        <v>109959.98125</v>
      </c>
      <c r="J5" s="21">
        <f>WC!J9</f>
        <v>115457.9803125</v>
      </c>
      <c r="K5" s="21">
        <f>WC!K9</f>
        <v>121230.87932812501</v>
      </c>
      <c r="L5" s="21">
        <f>WC!L9</f>
        <v>127292.42329453127</v>
      </c>
      <c r="N5" s="437" t="s">
        <v>383</v>
      </c>
    </row>
    <row r="6" spans="2:20">
      <c r="B6" s="4" t="s">
        <v>12</v>
      </c>
      <c r="C6" s="10">
        <f>'BS source'!C6</f>
        <v>42839</v>
      </c>
      <c r="D6" s="10">
        <f>'BS source'!D6</f>
        <v>55559</v>
      </c>
      <c r="E6" s="10">
        <f>'BS source'!E6</f>
        <v>57654</v>
      </c>
      <c r="F6" s="10">
        <f>'BS source'!F6</f>
        <v>70987</v>
      </c>
      <c r="H6" s="21">
        <f>WC!H10</f>
        <v>48591.839333333337</v>
      </c>
      <c r="I6" s="21">
        <f>WC!I10</f>
        <v>51021.431299999997</v>
      </c>
      <c r="J6" s="21">
        <f>WC!J10</f>
        <v>53572.502865000009</v>
      </c>
      <c r="K6" s="21">
        <f>WC!K10</f>
        <v>56251.128008250002</v>
      </c>
      <c r="L6" s="21">
        <f>WC!L10</f>
        <v>59063.684408662506</v>
      </c>
      <c r="N6" s="437" t="s">
        <v>383</v>
      </c>
    </row>
    <row r="7" spans="2:20" ht="3.75" customHeight="1">
      <c r="C7" s="10"/>
      <c r="D7" s="10"/>
      <c r="E7" s="10"/>
      <c r="F7" s="10"/>
      <c r="H7" s="21"/>
      <c r="I7" s="21"/>
      <c r="J7" s="21"/>
      <c r="K7" s="21"/>
      <c r="L7" s="21"/>
    </row>
    <row r="8" spans="2:20">
      <c r="B8" s="65" t="s">
        <v>146</v>
      </c>
      <c r="C8" s="10">
        <f>'BS source'!C7</f>
        <v>72619</v>
      </c>
      <c r="D8" s="10">
        <f>'BS source'!D7</f>
        <v>69921</v>
      </c>
      <c r="E8" s="10">
        <f>'BS source'!E7</f>
        <v>83760</v>
      </c>
      <c r="F8" s="10">
        <f>'BS source'!F7</f>
        <v>93874</v>
      </c>
      <c r="G8" s="10"/>
      <c r="H8" s="21">
        <f>WC!H11</f>
        <v>75401.13</v>
      </c>
      <c r="I8" s="21">
        <f>WC!I11</f>
        <v>79171.186500000011</v>
      </c>
      <c r="J8" s="21">
        <f>WC!J11</f>
        <v>83129.745825000005</v>
      </c>
      <c r="K8" s="21">
        <f>WC!K11</f>
        <v>87286.233116250005</v>
      </c>
      <c r="L8" s="21">
        <f>WC!L11</f>
        <v>91650.544772062509</v>
      </c>
      <c r="N8" s="437" t="s">
        <v>389</v>
      </c>
    </row>
    <row r="9" spans="2:20" ht="12" customHeight="1">
      <c r="B9" s="88" t="s">
        <v>118</v>
      </c>
      <c r="C9" s="58">
        <f>SUM(C$4:C$6,C$8)</f>
        <v>405589</v>
      </c>
      <c r="D9" s="58">
        <f t="shared" ref="D9:L9" si="1">SUM(D$4:D$6,D$8)</f>
        <v>345768</v>
      </c>
      <c r="E9" s="58">
        <f t="shared" si="1"/>
        <v>300798</v>
      </c>
      <c r="F9" s="58">
        <f t="shared" si="1"/>
        <v>277935</v>
      </c>
      <c r="H9" s="89">
        <f t="shared" si="1"/>
        <v>298346.33082965901</v>
      </c>
      <c r="I9" s="89">
        <f t="shared" si="1"/>
        <v>333408.70336799725</v>
      </c>
      <c r="J9" s="89">
        <f t="shared" si="1"/>
        <v>366374.68434779631</v>
      </c>
      <c r="K9" s="89">
        <f t="shared" si="1"/>
        <v>396995.11017493159</v>
      </c>
      <c r="L9" s="89">
        <f t="shared" si="1"/>
        <v>425006.64317107468</v>
      </c>
    </row>
    <row r="10" spans="2:20" ht="12" customHeight="1">
      <c r="B10" s="4" t="s">
        <v>147</v>
      </c>
      <c r="C10" s="10">
        <f>'BS source'!C13</f>
        <v>741746</v>
      </c>
      <c r="D10" s="10">
        <f>'BS source'!D13</f>
        <v>746051</v>
      </c>
      <c r="E10" s="10">
        <f>'BS source'!E13</f>
        <v>791093</v>
      </c>
      <c r="F10" s="10">
        <f>'BS source'!F13</f>
        <v>810444</v>
      </c>
      <c r="H10" s="21">
        <f>Depreciation!H16</f>
        <v>857946.71189999999</v>
      </c>
      <c r="I10" s="21">
        <f>Depreciation!I16</f>
        <v>906043.20769874996</v>
      </c>
      <c r="J10" s="21">
        <f>Depreciation!J16</f>
        <v>954674.10900637507</v>
      </c>
      <c r="K10" s="21">
        <f>Depreciation!K16</f>
        <v>1003772.6151342656</v>
      </c>
      <c r="L10" s="21">
        <f>Depreciation!L16</f>
        <v>1053263.9093111793</v>
      </c>
      <c r="N10" s="437" t="s">
        <v>384</v>
      </c>
    </row>
    <row r="11" spans="2:20" ht="12" customHeight="1">
      <c r="B11" s="4" t="s">
        <v>121</v>
      </c>
      <c r="C11" s="10">
        <f>'BS source'!C14</f>
        <v>251701</v>
      </c>
      <c r="D11" s="10">
        <f>'BS source'!D14</f>
        <v>251524</v>
      </c>
      <c r="E11" s="10">
        <f>'BS source'!E14</f>
        <v>251727</v>
      </c>
      <c r="F11" s="10">
        <f>'BS source'!F14</f>
        <v>252039</v>
      </c>
      <c r="H11" s="21">
        <f>'Other Long-term'!H4</f>
        <v>252139.8156</v>
      </c>
      <c r="I11" s="21">
        <f>'Other Long-term'!I4</f>
        <v>252240.67152623998</v>
      </c>
      <c r="J11" s="21">
        <f>'Other Long-term'!J4</f>
        <v>252341.56779485047</v>
      </c>
      <c r="K11" s="21">
        <f>'Other Long-term'!K4</f>
        <v>252442.50442196839</v>
      </c>
      <c r="L11" s="21">
        <f>'Other Long-term'!L4</f>
        <v>252543.48142373716</v>
      </c>
      <c r="N11" s="437" t="s">
        <v>123</v>
      </c>
    </row>
    <row r="12" spans="2:20" ht="12" customHeight="1">
      <c r="B12" s="4" t="s">
        <v>122</v>
      </c>
      <c r="C12" s="10">
        <f>'BS source'!C15</f>
        <v>1241237</v>
      </c>
      <c r="D12" s="10">
        <f>'BS source'!D15</f>
        <v>1268986</v>
      </c>
      <c r="E12" s="10">
        <f>'BS source'!E15</f>
        <v>1302150</v>
      </c>
      <c r="F12" s="10">
        <f>'BS source'!F15</f>
        <v>1338155</v>
      </c>
      <c r="H12" s="21">
        <f>'Other Long-term'!H5</f>
        <v>1371608.8749999998</v>
      </c>
      <c r="I12" s="21">
        <f>'Other Long-term'!I5</f>
        <v>1405899.0968749996</v>
      </c>
      <c r="J12" s="21">
        <f>'Other Long-term'!J5</f>
        <v>1441046.5742968745</v>
      </c>
      <c r="K12" s="21">
        <f>'Other Long-term'!K5</f>
        <v>1477072.7386542961</v>
      </c>
      <c r="L12" s="21">
        <f>'Other Long-term'!L5</f>
        <v>1513999.5571206533</v>
      </c>
      <c r="N12" s="437" t="s">
        <v>123</v>
      </c>
    </row>
    <row r="13" spans="2:20" ht="12" customHeight="1">
      <c r="B13" s="4" t="s">
        <v>148</v>
      </c>
      <c r="C13" s="10">
        <f>'BS source'!C16</f>
        <v>157852</v>
      </c>
      <c r="D13" s="10">
        <f>'BS source'!D16</f>
        <v>162891</v>
      </c>
      <c r="E13" s="10">
        <f>'BS source'!E16</f>
        <v>194615</v>
      </c>
      <c r="F13" s="10">
        <f>'BS source'!F16</f>
        <v>201018</v>
      </c>
      <c r="H13" s="21">
        <f>'Other Long-term'!H6</f>
        <v>218506.56599999999</v>
      </c>
      <c r="I13" s="21">
        <f>'Other Long-term'!I6</f>
        <v>237516.637242</v>
      </c>
      <c r="J13" s="21">
        <f>'Other Long-term'!J6</f>
        <v>258180.584682054</v>
      </c>
      <c r="K13" s="21">
        <f>'Other Long-term'!K6</f>
        <v>280642.2955493927</v>
      </c>
      <c r="L13" s="21">
        <f>'Other Long-term'!L6</f>
        <v>305058.17526218988</v>
      </c>
      <c r="N13" s="437" t="s">
        <v>123</v>
      </c>
    </row>
    <row r="14" spans="2:20" ht="7" customHeight="1">
      <c r="C14" s="10"/>
      <c r="D14" s="10"/>
      <c r="E14" s="10"/>
      <c r="F14" s="10"/>
      <c r="H14" s="21"/>
      <c r="I14" s="21"/>
      <c r="J14" s="21"/>
      <c r="K14" s="21"/>
      <c r="L14" s="21"/>
    </row>
    <row r="15" spans="2:20" ht="3.75" customHeight="1">
      <c r="H15" s="21"/>
      <c r="I15" s="21"/>
      <c r="J15" s="21"/>
      <c r="K15" s="21"/>
      <c r="L15" s="21"/>
    </row>
    <row r="16" spans="2:20" ht="12" thickBot="1">
      <c r="B16" s="34" t="s">
        <v>14</v>
      </c>
      <c r="C16" s="35">
        <f>SUM(C$9:C$13)</f>
        <v>2798125</v>
      </c>
      <c r="D16" s="35">
        <f t="shared" ref="D16:L16" si="2">SUM(D$9:D$13)</f>
        <v>2775220</v>
      </c>
      <c r="E16" s="35">
        <f t="shared" si="2"/>
        <v>2840383</v>
      </c>
      <c r="F16" s="35">
        <f t="shared" si="2"/>
        <v>2879591</v>
      </c>
      <c r="G16" s="36">
        <f t="shared" si="2"/>
        <v>0</v>
      </c>
      <c r="H16" s="37">
        <f t="shared" si="2"/>
        <v>2998548.299329659</v>
      </c>
      <c r="I16" s="37">
        <f t="shared" si="2"/>
        <v>3135108.3167099869</v>
      </c>
      <c r="J16" s="37">
        <f t="shared" si="2"/>
        <v>3272617.5201279502</v>
      </c>
      <c r="K16" s="37">
        <f t="shared" si="2"/>
        <v>3410925.2639348544</v>
      </c>
      <c r="L16" s="37">
        <f t="shared" si="2"/>
        <v>3549871.7662888342</v>
      </c>
    </row>
    <row r="17" spans="2:14">
      <c r="B17" s="4" t="s">
        <v>127</v>
      </c>
      <c r="C17" s="10">
        <f>'BS source'!I12</f>
        <v>54086</v>
      </c>
      <c r="D17" s="10">
        <f>'BS source'!J12</f>
        <v>66638</v>
      </c>
      <c r="E17" s="10">
        <f>'BS source'!K12</f>
        <v>63152</v>
      </c>
      <c r="F17" s="10">
        <f>'BS source'!L12</f>
        <v>68644</v>
      </c>
      <c r="G17" s="10"/>
      <c r="H17" s="21">
        <f>WC!H15</f>
        <v>66813.779083333327</v>
      </c>
      <c r="I17" s="21">
        <f>WC!I15</f>
        <v>70154.468037499988</v>
      </c>
      <c r="J17" s="21">
        <f>WC!J15</f>
        <v>73662.191439375019</v>
      </c>
      <c r="K17" s="21">
        <f>WC!K15</f>
        <v>77345.301011343749</v>
      </c>
      <c r="L17" s="21">
        <f>WC!L15</f>
        <v>81212.56606191094</v>
      </c>
      <c r="N17" s="437" t="s">
        <v>383</v>
      </c>
    </row>
    <row r="18" spans="2:14">
      <c r="B18" s="4" t="s">
        <v>128</v>
      </c>
      <c r="C18" s="10">
        <f>'BS source'!I13</f>
        <v>211182</v>
      </c>
      <c r="D18" s="10">
        <f>'BS source'!J13</f>
        <v>219808</v>
      </c>
      <c r="E18" s="10">
        <f>'BS source'!K13</f>
        <v>222915</v>
      </c>
      <c r="F18" s="10">
        <f>'BS source'!L13</f>
        <v>192344</v>
      </c>
      <c r="G18" s="10"/>
      <c r="H18" s="21">
        <f>WC!H14</f>
        <v>218663.277</v>
      </c>
      <c r="I18" s="21">
        <f>WC!I14</f>
        <v>229596.44085000001</v>
      </c>
      <c r="J18" s="21">
        <f>WC!J14</f>
        <v>241076.26289250003</v>
      </c>
      <c r="K18" s="21">
        <f>WC!K14</f>
        <v>253130.07603712502</v>
      </c>
      <c r="L18" s="21">
        <f>WC!L14</f>
        <v>265786.57983898133</v>
      </c>
      <c r="N18" s="437" t="s">
        <v>383</v>
      </c>
    </row>
    <row r="19" spans="2:14">
      <c r="B19" s="4" t="s">
        <v>129</v>
      </c>
      <c r="C19" s="10">
        <f>'BS source'!I14</f>
        <v>131818</v>
      </c>
      <c r="D19" s="10">
        <f>'BS source'!J14</f>
        <v>139099</v>
      </c>
      <c r="E19" s="10">
        <f>'BS source'!K14</f>
        <v>134905</v>
      </c>
      <c r="F19" s="10">
        <f>'BS source'!L14</f>
        <v>149899</v>
      </c>
      <c r="G19" s="10"/>
      <c r="H19" s="21">
        <f>WC!H17</f>
        <v>131197.9662</v>
      </c>
      <c r="I19" s="21">
        <f>WC!I17</f>
        <v>137757.86450999998</v>
      </c>
      <c r="J19" s="21">
        <f>WC!J17</f>
        <v>144645.75773550002</v>
      </c>
      <c r="K19" s="21">
        <f>WC!K17</f>
        <v>151878.04562227501</v>
      </c>
      <c r="L19" s="21">
        <f>WC!L17</f>
        <v>159471.94790338876</v>
      </c>
      <c r="N19" s="437" t="s">
        <v>383</v>
      </c>
    </row>
    <row r="20" spans="2:14">
      <c r="B20" s="4" t="s">
        <v>130</v>
      </c>
      <c r="C20" s="10">
        <f>'BS source'!I15</f>
        <v>239187</v>
      </c>
      <c r="D20" s="10">
        <f>'BS source'!J15</f>
        <v>231133</v>
      </c>
      <c r="E20" s="10">
        <f>'BS source'!K15</f>
        <v>239699</v>
      </c>
      <c r="F20" s="10">
        <f>'BS source'!L15</f>
        <v>231720</v>
      </c>
      <c r="G20" s="10"/>
      <c r="H20" s="21">
        <f>WC!H16</f>
        <v>240529.6047</v>
      </c>
      <c r="I20" s="21">
        <f>WC!I16</f>
        <v>252556.08493499999</v>
      </c>
      <c r="J20" s="21">
        <f>WC!J16</f>
        <v>265183.88918175001</v>
      </c>
      <c r="K20" s="21">
        <f>WC!K16</f>
        <v>278443.08364083752</v>
      </c>
      <c r="L20" s="21">
        <f>WC!L16</f>
        <v>292365.2378228794</v>
      </c>
      <c r="N20" s="437" t="s">
        <v>383</v>
      </c>
    </row>
    <row r="21" spans="2:14">
      <c r="B21" s="88" t="s">
        <v>131</v>
      </c>
      <c r="C21" s="58">
        <f>SUM(C$17:C$20)</f>
        <v>636273</v>
      </c>
      <c r="D21" s="58">
        <f t="shared" ref="D21:L21" si="3">SUM(D$17:D$20)</f>
        <v>656678</v>
      </c>
      <c r="E21" s="58">
        <f t="shared" si="3"/>
        <v>660671</v>
      </c>
      <c r="F21" s="58">
        <f t="shared" si="3"/>
        <v>642607</v>
      </c>
      <c r="G21" s="10">
        <f t="shared" si="3"/>
        <v>0</v>
      </c>
      <c r="H21" s="89">
        <f t="shared" si="3"/>
        <v>657204.62698333338</v>
      </c>
      <c r="I21" s="89">
        <f t="shared" si="3"/>
        <v>690064.85833249998</v>
      </c>
      <c r="J21" s="89">
        <f t="shared" si="3"/>
        <v>724568.10124912509</v>
      </c>
      <c r="K21" s="89">
        <f t="shared" si="3"/>
        <v>760796.50631158124</v>
      </c>
      <c r="L21" s="89">
        <f t="shared" si="3"/>
        <v>798836.33162716043</v>
      </c>
    </row>
    <row r="22" spans="2:14" ht="12" customHeight="1">
      <c r="B22" s="4" t="s">
        <v>132</v>
      </c>
      <c r="C22" s="10">
        <f>'BS source'!I17</f>
        <v>466017</v>
      </c>
      <c r="D22" s="10">
        <f>'BS source'!J17</f>
        <v>468032</v>
      </c>
      <c r="E22" s="10">
        <f>'BS source'!K17</f>
        <v>470047</v>
      </c>
      <c r="F22" s="10">
        <f>'BS source'!L17</f>
        <v>471054</v>
      </c>
      <c r="G22" s="10"/>
      <c r="H22" s="21">
        <v>471054</v>
      </c>
      <c r="I22" s="21">
        <v>471054</v>
      </c>
      <c r="J22" s="21">
        <v>471054</v>
      </c>
      <c r="K22" s="21">
        <v>471054</v>
      </c>
      <c r="L22" s="21">
        <v>471054</v>
      </c>
      <c r="N22" s="437" t="s">
        <v>402</v>
      </c>
    </row>
    <row r="23" spans="2:14" ht="12" customHeight="1">
      <c r="B23" s="4" t="s">
        <v>129</v>
      </c>
      <c r="C23" s="10">
        <f>'BS source'!I18</f>
        <v>1218269</v>
      </c>
      <c r="D23" s="10">
        <f>'BS source'!J18</f>
        <v>1233497</v>
      </c>
      <c r="E23" s="10">
        <f>'BS source'!K18</f>
        <v>1254955</v>
      </c>
      <c r="F23" s="10">
        <f>'BS source'!L18</f>
        <v>1258933</v>
      </c>
      <c r="G23" s="10"/>
      <c r="H23" s="21">
        <f>'Other Long-term'!H11</f>
        <v>1272781.2629999998</v>
      </c>
      <c r="I23" s="21">
        <f>'Other Long-term'!I11</f>
        <v>1286781.8568929997</v>
      </c>
      <c r="J23" s="21">
        <f>'Other Long-term'!J11</f>
        <v>1300936.4573188226</v>
      </c>
      <c r="K23" s="21">
        <f>'Other Long-term'!K11</f>
        <v>1315246.7583493295</v>
      </c>
      <c r="L23" s="21">
        <f>'Other Long-term'!L11</f>
        <v>1329714.472691172</v>
      </c>
      <c r="N23" s="437" t="s">
        <v>123</v>
      </c>
    </row>
    <row r="24" spans="2:14" ht="12" customHeight="1">
      <c r="B24" s="4" t="s">
        <v>149</v>
      </c>
      <c r="C24" s="10">
        <f>'BS source'!I19</f>
        <v>147400</v>
      </c>
      <c r="D24" s="10">
        <f>'BS source'!J19</f>
        <v>125010</v>
      </c>
      <c r="E24" s="10">
        <f>'BS source'!K19</f>
        <v>136648</v>
      </c>
      <c r="F24" s="10">
        <f>'BS source'!L19</f>
        <v>133017</v>
      </c>
      <c r="G24" s="10"/>
      <c r="H24" s="21">
        <f>'Other Long-term'!H12</f>
        <v>129292.52399999999</v>
      </c>
      <c r="I24" s="21">
        <f>'Other Long-term'!I12</f>
        <v>125672.33332799999</v>
      </c>
      <c r="J24" s="21">
        <f>'Other Long-term'!J12</f>
        <v>122153.50799481598</v>
      </c>
      <c r="K24" s="21">
        <f>'Other Long-term'!K12</f>
        <v>118733.20977096113</v>
      </c>
      <c r="L24" s="21">
        <f>'Other Long-term'!L12</f>
        <v>115408.67989737421</v>
      </c>
      <c r="N24" s="437" t="s">
        <v>123</v>
      </c>
    </row>
    <row r="25" spans="2:14" ht="12" customHeight="1">
      <c r="B25" s="88" t="s">
        <v>134</v>
      </c>
      <c r="C25" s="58">
        <f>SUM(C21,C22:C24)</f>
        <v>2467959</v>
      </c>
      <c r="D25" s="58">
        <f t="shared" ref="D25:L25" si="4">SUM(D21,D22:D24)</f>
        <v>2483217</v>
      </c>
      <c r="E25" s="58">
        <f t="shared" si="4"/>
        <v>2522321</v>
      </c>
      <c r="F25" s="58">
        <f t="shared" si="4"/>
        <v>2505611</v>
      </c>
      <c r="G25" s="58">
        <f t="shared" si="4"/>
        <v>0</v>
      </c>
      <c r="H25" s="89">
        <f t="shared" si="4"/>
        <v>2530332.4139833334</v>
      </c>
      <c r="I25" s="89">
        <f t="shared" si="4"/>
        <v>2573573.0485534994</v>
      </c>
      <c r="J25" s="89">
        <f t="shared" si="4"/>
        <v>2618712.0665627639</v>
      </c>
      <c r="K25" s="89">
        <f t="shared" si="4"/>
        <v>2665830.4744318719</v>
      </c>
      <c r="L25" s="89">
        <f t="shared" si="4"/>
        <v>2715013.4842157061</v>
      </c>
    </row>
    <row r="26" spans="2:14" ht="3.75" customHeight="1">
      <c r="C26" s="10"/>
      <c r="D26" s="10"/>
      <c r="E26" s="10"/>
      <c r="F26" s="10"/>
      <c r="G26" s="10"/>
      <c r="H26" s="21"/>
      <c r="I26" s="21"/>
      <c r="J26" s="21"/>
      <c r="K26" s="21"/>
      <c r="L26" s="21"/>
    </row>
    <row r="27" spans="2:14">
      <c r="B27" s="4" t="s">
        <v>30</v>
      </c>
      <c r="C27" s="10">
        <f>'BS source'!I10</f>
        <v>330166</v>
      </c>
      <c r="D27" s="10">
        <f>'BS source'!J10</f>
        <v>292003</v>
      </c>
      <c r="E27" s="10">
        <f>'BS source'!K10</f>
        <v>318062</v>
      </c>
      <c r="F27" s="10">
        <f>'BS source'!L10</f>
        <v>373980</v>
      </c>
      <c r="G27" s="10"/>
      <c r="H27" s="21">
        <f>Equity!H12</f>
        <v>468215.88534632575</v>
      </c>
      <c r="I27" s="21">
        <f>Equity!I12</f>
        <v>561535.26815648703</v>
      </c>
      <c r="J27" s="21">
        <f>Equity!J12</f>
        <v>653905.45356518647</v>
      </c>
      <c r="K27" s="21">
        <f>Equity!K12</f>
        <v>745094.7895029824</v>
      </c>
      <c r="L27" s="21">
        <f>Equity!L12</f>
        <v>834858.28207312757</v>
      </c>
      <c r="N27" s="437" t="s">
        <v>403</v>
      </c>
    </row>
    <row r="28" spans="2:14" ht="7" customHeight="1">
      <c r="C28" s="10"/>
      <c r="D28" s="10"/>
      <c r="E28" s="10"/>
      <c r="F28" s="10"/>
      <c r="G28" s="10"/>
      <c r="H28" s="21"/>
      <c r="I28" s="21"/>
      <c r="J28" s="21"/>
      <c r="K28" s="21"/>
      <c r="L28" s="21"/>
    </row>
    <row r="29" spans="2:14" ht="12" thickBot="1">
      <c r="B29" s="34" t="s">
        <v>31</v>
      </c>
      <c r="C29" s="35">
        <f>SUM(C25,C27)</f>
        <v>2798125</v>
      </c>
      <c r="D29" s="35">
        <f t="shared" ref="D29:L29" si="5">SUM(D25,D27)</f>
        <v>2775220</v>
      </c>
      <c r="E29" s="35">
        <f t="shared" si="5"/>
        <v>2840383</v>
      </c>
      <c r="F29" s="35">
        <f t="shared" si="5"/>
        <v>2879591</v>
      </c>
      <c r="G29" s="36">
        <f t="shared" si="5"/>
        <v>0</v>
      </c>
      <c r="H29" s="37">
        <f t="shared" si="5"/>
        <v>2998548.299329659</v>
      </c>
      <c r="I29" s="37">
        <f t="shared" si="5"/>
        <v>3135108.3167099864</v>
      </c>
      <c r="J29" s="37">
        <f t="shared" si="5"/>
        <v>3272617.5201279502</v>
      </c>
      <c r="K29" s="37">
        <f t="shared" si="5"/>
        <v>3410925.2639348544</v>
      </c>
      <c r="L29" s="37">
        <f t="shared" si="5"/>
        <v>3549871.7662888337</v>
      </c>
    </row>
    <row r="30" spans="2:14">
      <c r="B30" s="94" t="s">
        <v>150</v>
      </c>
      <c r="C30" s="93">
        <f>C16-C29</f>
        <v>0</v>
      </c>
      <c r="D30" s="93">
        <f t="shared" ref="D30:L30" si="6">D16-D29</f>
        <v>0</v>
      </c>
      <c r="E30" s="93">
        <f t="shared" si="6"/>
        <v>0</v>
      </c>
      <c r="F30" s="93">
        <f t="shared" si="6"/>
        <v>0</v>
      </c>
      <c r="H30" s="10">
        <f t="shared" si="6"/>
        <v>0</v>
      </c>
      <c r="I30" s="10">
        <f t="shared" si="6"/>
        <v>0</v>
      </c>
      <c r="J30" s="10">
        <f t="shared" si="6"/>
        <v>0</v>
      </c>
      <c r="K30" s="10">
        <f t="shared" si="6"/>
        <v>0</v>
      </c>
      <c r="L30" s="10">
        <f t="shared" si="6"/>
        <v>0</v>
      </c>
    </row>
    <row r="31" spans="2:14">
      <c r="H31" s="10"/>
      <c r="I31" s="10"/>
      <c r="J31" s="10"/>
      <c r="K31" s="10"/>
      <c r="L31" s="10"/>
    </row>
    <row r="32" spans="2:14" ht="12" thickBot="1">
      <c r="B32" s="77" t="s">
        <v>103</v>
      </c>
      <c r="H32" s="10"/>
      <c r="I32" s="10"/>
      <c r="J32" s="10"/>
      <c r="K32" s="10"/>
      <c r="L32" s="10"/>
    </row>
    <row r="34" spans="2:3">
      <c r="B34" s="4" t="s">
        <v>110</v>
      </c>
      <c r="C34" s="75">
        <f>'P&amp;L'!$C$36</f>
        <v>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9A62-70B2-4F6B-9D0A-80D57FCA9B76}">
  <sheetPr codeName="Sheet24">
    <tabColor rgb="FF7030A0"/>
  </sheetPr>
  <dimension ref="B1:O68"/>
  <sheetViews>
    <sheetView workbookViewId="0">
      <selection activeCell="B1" sqref="B1"/>
    </sheetView>
  </sheetViews>
  <sheetFormatPr defaultColWidth="9.08984375" defaultRowHeight="11.5"/>
  <cols>
    <col min="1" max="1" width="2" style="4" customWidth="1"/>
    <col min="2" max="2" width="44.453125" style="4" bestFit="1" customWidth="1"/>
    <col min="3" max="3" width="11.1796875" style="4" hidden="1" customWidth="1"/>
    <col min="4" max="4" width="11.1796875" style="4" customWidth="1"/>
    <col min="5" max="5" width="9.54296875" style="4" bestFit="1" customWidth="1"/>
    <col min="6" max="6" width="9.54296875" style="4" customWidth="1"/>
    <col min="7" max="7" width="9.7265625" style="4" bestFit="1" customWidth="1"/>
    <col min="8" max="8" width="2" style="4" customWidth="1"/>
    <col min="9" max="9" width="12.36328125" style="4" bestFit="1" customWidth="1"/>
    <col min="10" max="12" width="9.08984375" style="4"/>
    <col min="13" max="13" width="9.7265625" style="4" bestFit="1" customWidth="1"/>
    <col min="14" max="14" width="2" style="4" customWidth="1"/>
    <col min="15" max="16384" width="9.08984375" style="4"/>
  </cols>
  <sheetData>
    <row r="1" spans="2:15" ht="15.5">
      <c r="B1" s="3" t="s">
        <v>310</v>
      </c>
    </row>
    <row r="3" spans="2:15" ht="23.5" thickBot="1">
      <c r="B3" s="13" t="s">
        <v>19</v>
      </c>
      <c r="C3" s="14" t="s">
        <v>92</v>
      </c>
      <c r="D3" s="14" t="s">
        <v>92</v>
      </c>
      <c r="E3" s="14" t="s">
        <v>93</v>
      </c>
      <c r="F3" s="14" t="s">
        <v>94</v>
      </c>
      <c r="G3" s="14" t="s">
        <v>95</v>
      </c>
      <c r="H3" s="17"/>
      <c r="I3" s="15" t="s">
        <v>97</v>
      </c>
      <c r="J3" s="15" t="s">
        <v>98</v>
      </c>
      <c r="K3" s="15" t="s">
        <v>99</v>
      </c>
      <c r="L3" s="15" t="s">
        <v>100</v>
      </c>
      <c r="M3" s="15" t="s">
        <v>101</v>
      </c>
      <c r="O3" s="18" t="s">
        <v>21</v>
      </c>
    </row>
    <row r="4" spans="2:15">
      <c r="B4" s="19"/>
      <c r="C4" s="17"/>
      <c r="D4" s="17"/>
      <c r="E4" s="17"/>
      <c r="F4" s="17"/>
      <c r="G4" s="17"/>
      <c r="H4" s="17"/>
      <c r="I4" s="124"/>
      <c r="J4" s="124"/>
      <c r="K4" s="124"/>
      <c r="L4" s="124"/>
      <c r="M4" s="124"/>
      <c r="O4" s="72"/>
    </row>
    <row r="5" spans="2:15" ht="13">
      <c r="B5" s="177" t="s">
        <v>311</v>
      </c>
      <c r="C5" s="21">
        <f>'PrelimSE_20-24'!R2</f>
        <v>288693</v>
      </c>
      <c r="D5" s="10"/>
      <c r="E5" s="10"/>
      <c r="F5" s="10"/>
      <c r="G5" s="10"/>
      <c r="I5" s="21">
        <f>G24</f>
        <v>0</v>
      </c>
      <c r="J5" s="21"/>
      <c r="K5" s="21"/>
      <c r="L5" s="21"/>
      <c r="M5" s="21"/>
    </row>
    <row r="6" spans="2:15">
      <c r="B6" s="67" t="s">
        <v>66</v>
      </c>
      <c r="C6" s="21">
        <f>'PrelimSE_20-24'!R5</f>
        <v>72373</v>
      </c>
      <c r="D6" s="182">
        <f>'CF source'!D6</f>
        <v>72373</v>
      </c>
      <c r="E6" s="182">
        <f>'CF source'!E6</f>
        <v>43123</v>
      </c>
      <c r="F6" s="182">
        <f>'CF source'!F6</f>
        <v>101351</v>
      </c>
      <c r="G6" s="182">
        <f>'CF source'!G6</f>
        <v>85635</v>
      </c>
      <c r="I6" s="21"/>
      <c r="J6" s="21"/>
      <c r="K6" s="21"/>
      <c r="L6" s="21"/>
      <c r="M6" s="21"/>
    </row>
    <row r="7" spans="2:15" ht="14" customHeight="1">
      <c r="B7" s="67" t="s">
        <v>394</v>
      </c>
      <c r="C7" s="21"/>
      <c r="D7" s="182">
        <f>'PrelimCF_21-24'!B6</f>
        <v>89654</v>
      </c>
      <c r="E7" s="182">
        <f>'PrelimCF_21-24'!C6</f>
        <v>92380</v>
      </c>
      <c r="F7" s="182">
        <f>'PrelimCF_21-24'!D6</f>
        <v>93136</v>
      </c>
      <c r="G7" s="182">
        <f>'PrelimCF_21-24'!E6</f>
        <v>49716</v>
      </c>
      <c r="I7" s="21"/>
      <c r="J7" s="21"/>
      <c r="K7" s="21"/>
      <c r="L7" s="21"/>
      <c r="M7" s="21"/>
    </row>
    <row r="8" spans="2:15" ht="14" customHeight="1">
      <c r="B8" s="67" t="s">
        <v>396</v>
      </c>
      <c r="C8" s="21">
        <f>'PrelimSE_20-24'!R9</f>
        <v>24786</v>
      </c>
      <c r="D8" s="182">
        <f>'PrelimCF_21-24'!B7</f>
        <v>17937</v>
      </c>
      <c r="E8" s="182">
        <f>'PrelimCF_21-24'!C7</f>
        <v>31327</v>
      </c>
      <c r="F8" s="182">
        <f>'PrelimCF_21-24'!D7</f>
        <v>26998</v>
      </c>
      <c r="G8" s="182">
        <f>'PrelimCF_21-24'!E7</f>
        <v>606</v>
      </c>
      <c r="I8" s="21"/>
      <c r="J8" s="21"/>
      <c r="K8" s="21"/>
      <c r="L8" s="21"/>
      <c r="M8" s="21"/>
    </row>
    <row r="9" spans="2:15" ht="14" customHeight="1">
      <c r="B9" s="67" t="s">
        <v>181</v>
      </c>
      <c r="C9" s="21"/>
      <c r="D9" s="182">
        <f>'PrelimCF_21-24'!B8</f>
        <v>-20849</v>
      </c>
      <c r="E9" s="182">
        <f>'PrelimCF_21-24'!C8</f>
        <v>-18646</v>
      </c>
      <c r="F9" s="182">
        <f>'PrelimCF_21-24'!D8</f>
        <v>-15715</v>
      </c>
      <c r="G9" s="182">
        <f>'PrelimCF_21-24'!E8</f>
        <v>2511</v>
      </c>
      <c r="I9" s="21"/>
      <c r="J9" s="21"/>
      <c r="K9" s="21"/>
      <c r="L9" s="21"/>
      <c r="M9" s="21"/>
    </row>
    <row r="10" spans="2:15" ht="14" customHeight="1">
      <c r="B10" s="67" t="s">
        <v>182</v>
      </c>
      <c r="C10" s="21"/>
      <c r="D10" s="182">
        <f>'PrelimCF_21-24'!B9</f>
        <v>22988</v>
      </c>
      <c r="E10" s="182">
        <f>'PrelimCF_21-24'!C9</f>
        <v>24426</v>
      </c>
      <c r="F10" s="182">
        <f>'PrelimCF_21-24'!D9</f>
        <v>25781</v>
      </c>
      <c r="G10" s="182">
        <f>'PrelimCF_21-24'!E9</f>
        <v>14475</v>
      </c>
      <c r="I10" s="21"/>
      <c r="J10" s="21"/>
      <c r="K10" s="21"/>
      <c r="L10" s="21"/>
      <c r="M10" s="21"/>
    </row>
    <row r="11" spans="2:15" ht="14" customHeight="1">
      <c r="B11" s="67" t="s">
        <v>395</v>
      </c>
      <c r="C11" s="21"/>
      <c r="D11" s="182">
        <f>'PrelimCF_21-24'!B10</f>
        <v>0</v>
      </c>
      <c r="E11" s="182">
        <f>'PrelimCF_21-24'!C10</f>
        <v>0</v>
      </c>
      <c r="F11" s="182">
        <f>'PrelimCF_21-24'!D10</f>
        <v>0</v>
      </c>
      <c r="G11" s="182">
        <f>'PrelimCF_21-24'!E10</f>
        <v>-6506</v>
      </c>
      <c r="I11" s="21"/>
      <c r="J11" s="21"/>
      <c r="K11" s="21"/>
      <c r="L11" s="21"/>
      <c r="M11" s="21"/>
    </row>
    <row r="12" spans="2:15" ht="14" customHeight="1">
      <c r="B12" s="87" t="s">
        <v>183</v>
      </c>
      <c r="C12" s="21"/>
      <c r="D12" s="182"/>
      <c r="E12" s="182"/>
      <c r="F12" s="182"/>
      <c r="G12" s="182"/>
      <c r="I12" s="21"/>
      <c r="J12" s="21"/>
      <c r="K12" s="21"/>
      <c r="L12" s="21"/>
      <c r="M12" s="21"/>
    </row>
    <row r="13" spans="2:15" ht="14" customHeight="1">
      <c r="B13" s="125" t="s">
        <v>114</v>
      </c>
      <c r="C13" s="21"/>
      <c r="D13" s="182">
        <f>'PrelimCF_21-24'!B12</f>
        <v>-24816</v>
      </c>
      <c r="E13" s="182">
        <f>'PrelimCF_21-24'!C12</f>
        <v>-12266</v>
      </c>
      <c r="F13" s="182">
        <f>'PrelimCF_21-24'!D12</f>
        <v>-98</v>
      </c>
      <c r="G13" s="182">
        <f>'PrelimCF_21-24'!E12</f>
        <v>28462</v>
      </c>
      <c r="I13" s="21"/>
      <c r="J13" s="21"/>
      <c r="K13" s="21"/>
      <c r="L13" s="21"/>
      <c r="M13" s="21"/>
    </row>
    <row r="14" spans="2:15" ht="14" customHeight="1">
      <c r="B14" s="125" t="s">
        <v>184</v>
      </c>
      <c r="C14" s="21"/>
      <c r="D14" s="182">
        <f>'PrelimCF_21-24'!B13</f>
        <v>715</v>
      </c>
      <c r="E14" s="182">
        <f>'PrelimCF_21-24'!C13</f>
        <v>14651</v>
      </c>
      <c r="F14" s="182">
        <f>'PrelimCF_21-24'!D13</f>
        <v>852</v>
      </c>
      <c r="G14" s="182">
        <f>'PrelimCF_21-24'!E13</f>
        <v>-4185</v>
      </c>
      <c r="I14" s="21"/>
      <c r="J14" s="21"/>
      <c r="K14" s="21"/>
      <c r="L14" s="21"/>
      <c r="M14" s="21"/>
    </row>
    <row r="15" spans="2:15" ht="14" customHeight="1">
      <c r="B15" s="125" t="s">
        <v>116</v>
      </c>
      <c r="C15" s="21"/>
      <c r="D15" s="181">
        <f>'PrelimCF_21-24'!B14</f>
        <v>-3478</v>
      </c>
      <c r="E15" s="181">
        <f>'PrelimCF_21-24'!C14</f>
        <v>-12725</v>
      </c>
      <c r="F15" s="181">
        <f>'PrelimCF_21-24'!D14</f>
        <v>-2092</v>
      </c>
      <c r="G15" s="181">
        <f>'PrelimCF_21-24'!E14</f>
        <v>-13342</v>
      </c>
      <c r="I15" s="21"/>
      <c r="J15" s="21"/>
      <c r="K15" s="21"/>
      <c r="L15" s="21"/>
      <c r="M15" s="21"/>
    </row>
    <row r="16" spans="2:15" ht="14" customHeight="1">
      <c r="B16" s="125" t="s">
        <v>117</v>
      </c>
      <c r="C16" s="21"/>
      <c r="D16" s="182">
        <f>'PrelimCF_21-24'!B15</f>
        <v>-1137</v>
      </c>
      <c r="E16" s="182">
        <f>'PrelimCF_21-24'!C15</f>
        <v>-11960</v>
      </c>
      <c r="F16" s="182">
        <f>'PrelimCF_21-24'!D15</f>
        <v>-14694</v>
      </c>
      <c r="G16" s="182">
        <f>'PrelimCF_21-24'!E15</f>
        <v>-5958</v>
      </c>
      <c r="I16" s="21"/>
      <c r="J16" s="21"/>
      <c r="K16" s="21"/>
      <c r="L16" s="21"/>
      <c r="M16" s="21"/>
    </row>
    <row r="17" spans="2:13" ht="14" customHeight="1">
      <c r="B17" s="125" t="s">
        <v>185</v>
      </c>
      <c r="C17" s="21"/>
      <c r="D17" s="182">
        <f>'PrelimCF_21-24'!B16</f>
        <v>-4106</v>
      </c>
      <c r="E17" s="182">
        <f>'PrelimCF_21-24'!C16</f>
        <v>-18404</v>
      </c>
      <c r="F17" s="182">
        <f>'PrelimCF_21-24'!D16</f>
        <v>-27113</v>
      </c>
      <c r="G17" s="182">
        <f>'PrelimCF_21-24'!E16</f>
        <v>-16729</v>
      </c>
      <c r="I17" s="21"/>
      <c r="J17" s="21"/>
      <c r="K17" s="21"/>
      <c r="L17" s="21"/>
      <c r="M17" s="21"/>
    </row>
    <row r="18" spans="2:13" ht="14" customHeight="1">
      <c r="B18" s="125" t="s">
        <v>11</v>
      </c>
      <c r="C18" s="21"/>
      <c r="D18" s="182">
        <f>'PrelimCF_21-24'!B17</f>
        <v>-9227</v>
      </c>
      <c r="E18" s="182">
        <f>'PrelimCF_21-24'!C17</f>
        <v>13739</v>
      </c>
      <c r="F18" s="182">
        <f>'PrelimCF_21-24'!D17</f>
        <v>-14504</v>
      </c>
      <c r="G18" s="182">
        <f>'PrelimCF_21-24'!E17</f>
        <v>-8838</v>
      </c>
      <c r="I18" s="21"/>
      <c r="J18" s="21"/>
      <c r="K18" s="21"/>
      <c r="L18" s="21"/>
      <c r="M18" s="21"/>
    </row>
    <row r="19" spans="2:13" ht="14" customHeight="1">
      <c r="B19" s="125" t="s">
        <v>127</v>
      </c>
      <c r="C19" s="21"/>
      <c r="D19" s="182">
        <f>'PrelimCF_21-24'!B18</f>
        <v>-3678</v>
      </c>
      <c r="E19" s="182">
        <f>'PrelimCF_21-24'!C18</f>
        <v>17586</v>
      </c>
      <c r="F19" s="182">
        <f>'PrelimCF_21-24'!D18</f>
        <v>3971</v>
      </c>
      <c r="G19" s="182">
        <f>'PrelimCF_21-24'!E18</f>
        <v>4351</v>
      </c>
      <c r="I19" s="21"/>
      <c r="J19" s="21"/>
      <c r="K19" s="21"/>
      <c r="L19" s="21"/>
      <c r="M19" s="21"/>
    </row>
    <row r="20" spans="2:13" ht="14" customHeight="1">
      <c r="B20" s="125" t="s">
        <v>128</v>
      </c>
      <c r="C20" s="21"/>
      <c r="D20" s="182">
        <f>'PrelimCF_21-24'!B19</f>
        <v>26527</v>
      </c>
      <c r="E20" s="182">
        <f>'PrelimCF_21-24'!C19</f>
        <v>8634</v>
      </c>
      <c r="F20" s="182">
        <f>'PrelimCF_21-24'!D19</f>
        <v>3104</v>
      </c>
      <c r="G20" s="182">
        <f>'PrelimCF_21-24'!E19</f>
        <v>-30568</v>
      </c>
      <c r="I20" s="21"/>
      <c r="J20" s="21"/>
      <c r="K20" s="21"/>
      <c r="L20" s="21"/>
      <c r="M20" s="21"/>
    </row>
    <row r="21" spans="2:13" ht="14" customHeight="1">
      <c r="B21" s="125" t="s">
        <v>130</v>
      </c>
      <c r="C21" s="21"/>
      <c r="D21" s="182">
        <f>'PrelimCF_21-24'!B20</f>
        <v>50103</v>
      </c>
      <c r="E21" s="182">
        <f>'PrelimCF_21-24'!C20</f>
        <v>-9939</v>
      </c>
      <c r="F21" s="182">
        <f>'PrelimCF_21-24'!D20</f>
        <v>37424</v>
      </c>
      <c r="G21" s="182">
        <f>'PrelimCF_21-24'!E20</f>
        <v>-5185</v>
      </c>
      <c r="I21" s="21"/>
      <c r="J21" s="21"/>
      <c r="K21" s="21"/>
      <c r="L21" s="21"/>
      <c r="M21" s="21"/>
    </row>
    <row r="22" spans="2:13" ht="14" customHeight="1">
      <c r="B22" s="178" t="s">
        <v>397</v>
      </c>
      <c r="C22" s="10">
        <f>'PrelimSE_20-24'!R15</f>
        <v>-5766</v>
      </c>
      <c r="D22" s="58">
        <f t="shared" ref="D22:F22" si="0">SUM(D6:D21)</f>
        <v>213006</v>
      </c>
      <c r="E22" s="58">
        <f t="shared" si="0"/>
        <v>161926</v>
      </c>
      <c r="F22" s="58">
        <f t="shared" si="0"/>
        <v>218401</v>
      </c>
      <c r="G22" s="58">
        <f>SUM(G6:G21)</f>
        <v>94445</v>
      </c>
      <c r="I22" s="21"/>
      <c r="J22" s="21"/>
      <c r="K22" s="21"/>
      <c r="L22" s="21"/>
      <c r="M22" s="21"/>
    </row>
    <row r="23" spans="2:13" ht="25" customHeight="1">
      <c r="B23" s="67"/>
      <c r="C23" s="10"/>
      <c r="D23" s="10"/>
      <c r="E23" s="10"/>
      <c r="F23" s="10"/>
      <c r="G23" s="10"/>
      <c r="H23" s="10"/>
      <c r="I23" s="21"/>
      <c r="J23" s="21"/>
      <c r="K23" s="21"/>
      <c r="L23" s="21"/>
      <c r="M23" s="21"/>
    </row>
    <row r="24" spans="2:13" ht="14" customHeight="1">
      <c r="B24" s="179" t="s">
        <v>313</v>
      </c>
      <c r="C24" s="58">
        <f>BS!C27</f>
        <v>330166</v>
      </c>
      <c r="D24" s="58"/>
      <c r="E24" s="10"/>
      <c r="F24" s="10"/>
      <c r="G24" s="10"/>
      <c r="I24" s="21"/>
      <c r="J24" s="21"/>
      <c r="K24" s="21"/>
      <c r="L24" s="21"/>
      <c r="M24" s="21"/>
    </row>
    <row r="25" spans="2:13" ht="14" customHeight="1">
      <c r="B25" s="67" t="s">
        <v>188</v>
      </c>
      <c r="C25" s="10"/>
      <c r="D25" s="182">
        <f>'PrelimCF_21-24'!B23</f>
        <v>-66943</v>
      </c>
      <c r="E25" s="182">
        <f>'PrelimCF_21-24'!C23</f>
        <v>-112464</v>
      </c>
      <c r="F25" s="182">
        <f>'PrelimCF_21-24'!D23</f>
        <v>-151565</v>
      </c>
      <c r="G25" s="182">
        <f>'PrelimCF_21-24'!E23</f>
        <v>-66297</v>
      </c>
      <c r="I25" s="21"/>
      <c r="J25" s="21"/>
      <c r="K25" s="21"/>
      <c r="L25" s="21"/>
      <c r="M25" s="21"/>
    </row>
    <row r="26" spans="2:13" ht="14" customHeight="1">
      <c r="B26" s="67" t="s">
        <v>189</v>
      </c>
      <c r="C26" s="58"/>
      <c r="D26" s="182">
        <f>'PrelimCF_21-24'!B24</f>
        <v>-606</v>
      </c>
      <c r="E26" s="182">
        <f>'PrelimCF_21-24'!C24</f>
        <v>-680</v>
      </c>
      <c r="F26" s="182">
        <f>'PrelimCF_21-24'!D24</f>
        <v>-1658</v>
      </c>
      <c r="G26" s="182">
        <f>'PrelimCF_21-24'!E24</f>
        <v>-680</v>
      </c>
      <c r="H26" s="57">
        <f>SUM(H24:H25)</f>
        <v>0</v>
      </c>
      <c r="I26" s="89"/>
      <c r="J26" s="89"/>
      <c r="K26" s="89"/>
      <c r="L26" s="89"/>
      <c r="M26" s="89"/>
    </row>
    <row r="27" spans="2:13" ht="14" customHeight="1">
      <c r="B27" s="67" t="s">
        <v>123</v>
      </c>
      <c r="C27" s="58"/>
      <c r="D27" s="182">
        <f>'PrelimCF_21-24'!B25</f>
        <v>-1061</v>
      </c>
      <c r="E27" s="182">
        <f>'PrelimCF_21-24'!C25</f>
        <v>329</v>
      </c>
      <c r="F27" s="182">
        <f>'PrelimCF_21-24'!D25</f>
        <v>-274</v>
      </c>
      <c r="G27" s="182">
        <f>'PrelimCF_21-24'!E25</f>
        <v>173</v>
      </c>
      <c r="H27" s="57"/>
      <c r="I27" s="89"/>
      <c r="J27" s="89"/>
      <c r="K27" s="89"/>
      <c r="L27" s="89"/>
      <c r="M27" s="89"/>
    </row>
    <row r="28" spans="2:13" ht="14" customHeight="1">
      <c r="B28" s="178" t="s">
        <v>398</v>
      </c>
      <c r="C28" s="58"/>
      <c r="D28" s="58">
        <f>SUM(D25:D27)</f>
        <v>-68610</v>
      </c>
      <c r="E28" s="58">
        <f t="shared" ref="E28:G28" si="1">SUM(E25:E27)</f>
        <v>-112815</v>
      </c>
      <c r="F28" s="58">
        <f t="shared" si="1"/>
        <v>-153497</v>
      </c>
      <c r="G28" s="58">
        <f t="shared" si="1"/>
        <v>-66804</v>
      </c>
      <c r="H28" s="57"/>
      <c r="I28" s="89"/>
      <c r="J28" s="89"/>
      <c r="K28" s="89"/>
      <c r="L28" s="89"/>
      <c r="M28" s="89"/>
    </row>
    <row r="29" spans="2:13" ht="30" customHeight="1">
      <c r="C29" s="58"/>
      <c r="D29" s="58"/>
      <c r="E29" s="10"/>
      <c r="F29" s="10"/>
      <c r="G29" s="10"/>
      <c r="H29" s="57"/>
      <c r="I29" s="89"/>
      <c r="J29" s="89"/>
      <c r="K29" s="89"/>
      <c r="L29" s="89"/>
      <c r="M29" s="89"/>
    </row>
    <row r="30" spans="2:13" ht="12" customHeight="1">
      <c r="B30" s="179" t="s">
        <v>312</v>
      </c>
      <c r="C30" s="10"/>
      <c r="D30" s="10"/>
      <c r="E30" s="10"/>
      <c r="F30" s="10"/>
      <c r="G30" s="10"/>
      <c r="H30" s="10"/>
      <c r="I30" s="21"/>
      <c r="J30" s="21"/>
      <c r="K30" s="21"/>
      <c r="L30" s="21"/>
      <c r="M30" s="21"/>
    </row>
    <row r="31" spans="2:13" ht="14" customHeight="1">
      <c r="B31" s="67" t="s">
        <v>192</v>
      </c>
      <c r="C31" s="10"/>
      <c r="D31" s="10">
        <f>'PrelimCF_21-24'!B28</f>
        <v>-17000</v>
      </c>
      <c r="E31" s="10">
        <f>'PrelimCF_21-24'!C28</f>
        <v>-18316</v>
      </c>
      <c r="F31" s="10">
        <f>'PrelimCF_21-24'!D28</f>
        <v>-24243</v>
      </c>
      <c r="G31" s="10">
        <f>'PrelimCF_21-24'!E28</f>
        <v>0</v>
      </c>
      <c r="H31" s="10"/>
      <c r="I31" s="21"/>
      <c r="J31" s="21"/>
      <c r="K31" s="21"/>
      <c r="L31" s="21"/>
      <c r="M31" s="21"/>
    </row>
    <row r="32" spans="2:13" ht="14" customHeight="1">
      <c r="B32" s="67" t="s">
        <v>193</v>
      </c>
      <c r="C32" s="10"/>
      <c r="D32" s="10" t="str">
        <f>'PrelimCF_21-24'!B29</f>
        <v> </v>
      </c>
      <c r="E32" s="10">
        <f>'PrelimCF_21-24'!C29</f>
        <v>130000</v>
      </c>
      <c r="F32" s="10">
        <f>'PrelimCF_21-24'!D29</f>
        <v>15000</v>
      </c>
      <c r="G32" s="10">
        <f>'PrelimCF_21-24'!E29</f>
        <v>0</v>
      </c>
      <c r="H32" s="10"/>
      <c r="I32" s="21"/>
      <c r="J32" s="21"/>
      <c r="K32" s="21"/>
      <c r="L32" s="21"/>
      <c r="M32" s="21"/>
    </row>
    <row r="33" spans="2:13" ht="14" customHeight="1">
      <c r="B33" s="67" t="s">
        <v>194</v>
      </c>
      <c r="C33" s="10"/>
      <c r="D33" s="10">
        <f>'PrelimCF_21-24'!B30</f>
        <v>-150000</v>
      </c>
      <c r="E33" s="10">
        <f>'PrelimCF_21-24'!C30</f>
        <v>-130000</v>
      </c>
      <c r="F33" s="10">
        <f>'PrelimCF_21-24'!D30</f>
        <v>-15000</v>
      </c>
      <c r="G33" s="10">
        <f>'PrelimCF_21-24'!E30</f>
        <v>0</v>
      </c>
      <c r="H33" s="10"/>
      <c r="I33" s="21"/>
      <c r="J33" s="21"/>
      <c r="K33" s="21"/>
      <c r="L33" s="21"/>
      <c r="M33" s="21"/>
    </row>
    <row r="34" spans="2:13" ht="14" customHeight="1">
      <c r="B34" s="67" t="s">
        <v>195</v>
      </c>
      <c r="C34" s="10"/>
      <c r="D34" s="10">
        <f>'PrelimCF_21-24'!B31</f>
        <v>345000</v>
      </c>
      <c r="E34" s="10" t="str">
        <f>'PrelimCF_21-24'!C31</f>
        <v> </v>
      </c>
      <c r="F34" s="10" t="str">
        <f>'PrelimCF_21-24'!D31</f>
        <v> </v>
      </c>
      <c r="G34" s="10">
        <f>'PrelimCF_21-24'!E31</f>
        <v>0</v>
      </c>
      <c r="H34" s="10"/>
      <c r="I34" s="21"/>
      <c r="J34" s="21"/>
      <c r="K34" s="21"/>
      <c r="L34" s="21"/>
      <c r="M34" s="21"/>
    </row>
    <row r="35" spans="2:13" ht="14" customHeight="1">
      <c r="B35" s="67" t="s">
        <v>196</v>
      </c>
      <c r="C35" s="10"/>
      <c r="D35" s="10">
        <f>'PrelimCF_21-24'!B32</f>
        <v>-10074</v>
      </c>
      <c r="E35" s="10" t="str">
        <f>'PrelimCF_21-24'!C32</f>
        <v> </v>
      </c>
      <c r="F35" s="10" t="str">
        <f>'PrelimCF_21-24'!D32</f>
        <v> </v>
      </c>
      <c r="G35" s="10">
        <f>'PrelimCF_21-24'!E32</f>
        <v>0</v>
      </c>
      <c r="H35" s="10"/>
      <c r="I35" s="21"/>
      <c r="J35" s="21"/>
      <c r="K35" s="21"/>
      <c r="L35" s="21"/>
      <c r="M35" s="21"/>
    </row>
    <row r="36" spans="2:13" ht="14" customHeight="1">
      <c r="B36" s="67" t="s">
        <v>197</v>
      </c>
      <c r="C36" s="10"/>
      <c r="D36" s="10">
        <f>'PrelimCF_21-24'!B33</f>
        <v>-443751</v>
      </c>
      <c r="E36" s="10" t="str">
        <f>'PrelimCF_21-24'!C33</f>
        <v> </v>
      </c>
      <c r="F36" s="10" t="str">
        <f>'PrelimCF_21-24'!D33</f>
        <v> </v>
      </c>
      <c r="G36" s="10">
        <f>'PrelimCF_21-24'!E33</f>
        <v>0</v>
      </c>
      <c r="H36" s="10"/>
      <c r="I36" s="21"/>
      <c r="J36" s="21"/>
      <c r="K36" s="21"/>
      <c r="L36" s="21"/>
      <c r="M36" s="21"/>
    </row>
    <row r="37" spans="2:13" ht="14" customHeight="1">
      <c r="B37" s="67" t="s">
        <v>198</v>
      </c>
      <c r="C37" s="10"/>
      <c r="D37" s="10">
        <f>'PrelimCF_21-24'!B34</f>
        <v>-74</v>
      </c>
      <c r="E37" s="10" t="str">
        <f>'PrelimCF_21-24'!C34</f>
        <v> </v>
      </c>
      <c r="F37" s="10" t="str">
        <f>'PrelimCF_21-24'!D34</f>
        <v> </v>
      </c>
      <c r="G37" s="10">
        <f>'PrelimCF_21-24'!E34</f>
        <v>0</v>
      </c>
      <c r="H37" s="10"/>
      <c r="I37" s="21"/>
      <c r="J37" s="21"/>
      <c r="K37" s="21"/>
      <c r="L37" s="21"/>
      <c r="M37" s="21"/>
    </row>
    <row r="38" spans="2:13" ht="14" customHeight="1">
      <c r="B38" s="67" t="s">
        <v>199</v>
      </c>
      <c r="C38" s="10"/>
      <c r="D38" s="10">
        <f>'PrelimCF_21-24'!B35</f>
        <v>-18661</v>
      </c>
      <c r="E38" s="10" t="str">
        <f>'PrelimCF_21-24'!C35</f>
        <v> </v>
      </c>
      <c r="F38" s="10" t="str">
        <f>'PrelimCF_21-24'!D35</f>
        <v> </v>
      </c>
      <c r="G38" s="10">
        <f>'PrelimCF_21-24'!E35</f>
        <v>0</v>
      </c>
      <c r="H38" s="10"/>
      <c r="I38" s="21"/>
      <c r="J38" s="21"/>
      <c r="K38" s="21"/>
      <c r="L38" s="21"/>
      <c r="M38" s="21"/>
    </row>
    <row r="39" spans="2:13" ht="14" customHeight="1">
      <c r="B39" s="67" t="s">
        <v>200</v>
      </c>
      <c r="C39" s="10"/>
      <c r="D39" s="10">
        <f>'PrelimCF_21-24'!B36</f>
        <v>175000</v>
      </c>
      <c r="E39" s="10" t="str">
        <f>'PrelimCF_21-24'!C36</f>
        <v> </v>
      </c>
      <c r="F39" s="10" t="str">
        <f>'PrelimCF_21-24'!D36</f>
        <v> </v>
      </c>
      <c r="G39" s="10">
        <f>'PrelimCF_21-24'!E36</f>
        <v>0</v>
      </c>
      <c r="H39" s="10"/>
      <c r="I39" s="21"/>
      <c r="J39" s="21"/>
      <c r="K39" s="21"/>
      <c r="L39" s="21"/>
      <c r="M39" s="21"/>
    </row>
    <row r="40" spans="2:13" ht="14" customHeight="1">
      <c r="B40" s="67" t="s">
        <v>201</v>
      </c>
      <c r="C40" s="10"/>
      <c r="D40" s="10">
        <f>'PrelimCF_21-24'!B37</f>
        <v>-7950</v>
      </c>
      <c r="E40" s="10" t="str">
        <f>'PrelimCF_21-24'!C37</f>
        <v> </v>
      </c>
      <c r="F40" s="10" t="str">
        <f>'PrelimCF_21-24'!D37</f>
        <v> </v>
      </c>
      <c r="G40" s="10">
        <f>'PrelimCF_21-24'!E37</f>
        <v>0</v>
      </c>
      <c r="H40" s="10"/>
      <c r="I40" s="21"/>
      <c r="J40" s="21"/>
      <c r="K40" s="21"/>
      <c r="L40" s="21"/>
      <c r="M40" s="21"/>
    </row>
    <row r="41" spans="2:13" ht="14" customHeight="1">
      <c r="B41" s="67" t="s">
        <v>202</v>
      </c>
      <c r="C41" s="10"/>
      <c r="D41" s="10">
        <f>'PrelimCF_21-24'!B38</f>
        <v>24786</v>
      </c>
      <c r="E41" s="10">
        <f>'PrelimCF_21-24'!C38</f>
        <v>84</v>
      </c>
      <c r="F41" s="10" t="str">
        <f>'PrelimCF_21-24'!D38</f>
        <v> </v>
      </c>
      <c r="G41" s="10">
        <f>'PrelimCF_21-24'!E38</f>
        <v>0</v>
      </c>
      <c r="H41" s="10"/>
      <c r="I41" s="21"/>
      <c r="J41" s="21"/>
      <c r="K41" s="21"/>
      <c r="L41" s="21"/>
      <c r="M41" s="21"/>
    </row>
    <row r="42" spans="2:13" ht="14" customHeight="1">
      <c r="B42" s="67" t="s">
        <v>203</v>
      </c>
      <c r="C42" s="10"/>
      <c r="D42" s="10">
        <f>'PrelimCF_21-24'!B39</f>
        <v>-337</v>
      </c>
      <c r="E42" s="10">
        <f>'PrelimCF_21-24'!C39</f>
        <v>-42272</v>
      </c>
      <c r="F42" s="10">
        <f>'PrelimCF_21-24'!D39</f>
        <v>-53207</v>
      </c>
      <c r="G42" s="10">
        <f>'PrelimCF_21-24'!E39</f>
        <v>-26693</v>
      </c>
      <c r="H42" s="10"/>
      <c r="I42" s="21"/>
      <c r="J42" s="21"/>
      <c r="K42" s="21"/>
      <c r="L42" s="21"/>
      <c r="M42" s="21"/>
    </row>
    <row r="43" spans="2:13" ht="14" customHeight="1">
      <c r="B43" s="67" t="s">
        <v>204</v>
      </c>
      <c r="C43" s="10"/>
      <c r="D43" s="10">
        <f>'PrelimCF_21-24'!B40</f>
        <v>-5766</v>
      </c>
      <c r="E43" s="10">
        <f>'PrelimCF_21-24'!C40</f>
        <v>-63132</v>
      </c>
      <c r="F43" s="10">
        <f>'PrelimCF_21-24'!D40</f>
        <v>-46085</v>
      </c>
      <c r="G43" s="10">
        <f>'PrelimCF_21-24'!E40</f>
        <v>-16365</v>
      </c>
      <c r="H43" s="10"/>
      <c r="I43" s="21"/>
      <c r="J43" s="21"/>
      <c r="K43" s="21"/>
      <c r="L43" s="21"/>
      <c r="M43" s="21"/>
    </row>
    <row r="44" spans="2:13" ht="14" customHeight="1">
      <c r="B44" s="178" t="s">
        <v>323</v>
      </c>
      <c r="C44" s="10"/>
      <c r="D44" s="58">
        <f t="shared" ref="D44:F44" si="2">SUM(D31:D43)</f>
        <v>-108827</v>
      </c>
      <c r="E44" s="58">
        <f t="shared" si="2"/>
        <v>-123636</v>
      </c>
      <c r="F44" s="58">
        <f t="shared" si="2"/>
        <v>-123535</v>
      </c>
      <c r="G44" s="58">
        <f>SUM(G31:G43)</f>
        <v>-43058</v>
      </c>
      <c r="H44" s="10"/>
      <c r="I44" s="21"/>
      <c r="J44" s="21"/>
      <c r="K44" s="21"/>
      <c r="L44" s="21"/>
      <c r="M44" s="21"/>
    </row>
    <row r="45" spans="2:13" ht="14" customHeight="1">
      <c r="B45" s="4" t="s">
        <v>206</v>
      </c>
      <c r="C45" s="58"/>
      <c r="D45" s="10">
        <f>'PrelimCF_21-24'!B42</f>
        <v>-27</v>
      </c>
      <c r="E45" s="10">
        <f>'PrelimCF_21-24'!C42</f>
        <v>-325</v>
      </c>
      <c r="F45" s="10">
        <f>'PrelimCF_21-24'!D42</f>
        <v>144</v>
      </c>
      <c r="G45" s="10">
        <f>'PrelimCF_21-24'!E42</f>
        <v>-219</v>
      </c>
      <c r="H45" s="10"/>
      <c r="I45" s="21"/>
      <c r="J45" s="21"/>
      <c r="K45" s="21"/>
      <c r="L45" s="21"/>
      <c r="M45" s="21"/>
    </row>
    <row r="46" spans="2:13" ht="12" customHeight="1">
      <c r="B46" s="87"/>
      <c r="C46" s="58"/>
      <c r="D46" s="58"/>
      <c r="E46" s="10"/>
      <c r="F46" s="10"/>
      <c r="G46" s="10"/>
      <c r="H46" s="10"/>
      <c r="I46" s="21"/>
      <c r="J46" s="21"/>
      <c r="K46" s="21"/>
      <c r="L46" s="21"/>
      <c r="M46" s="21"/>
    </row>
    <row r="47" spans="2:13" ht="12" customHeight="1">
      <c r="B47" s="178" t="s">
        <v>362</v>
      </c>
      <c r="C47" s="58"/>
      <c r="D47" s="58">
        <f>D49-D48</f>
        <v>35542</v>
      </c>
      <c r="E47" s="58">
        <f t="shared" ref="E47:G47" si="3">E49-E48</f>
        <v>-74850</v>
      </c>
      <c r="F47" s="58">
        <f t="shared" si="3"/>
        <v>-58487</v>
      </c>
      <c r="G47" s="58">
        <f t="shared" si="3"/>
        <v>-15636</v>
      </c>
      <c r="H47" s="10"/>
      <c r="I47" s="21"/>
      <c r="J47" s="21"/>
      <c r="K47" s="21"/>
      <c r="L47" s="21"/>
      <c r="M47" s="21"/>
    </row>
    <row r="48" spans="2:13" ht="12" customHeight="1">
      <c r="B48" s="67" t="s">
        <v>326</v>
      </c>
      <c r="C48" s="58"/>
      <c r="D48" s="10">
        <f>'PrelimCF_21-24'!B44</f>
        <v>154085</v>
      </c>
      <c r="E48" s="10">
        <f>'PrelimCF_21-24'!C44</f>
        <v>189627</v>
      </c>
      <c r="F48" s="10">
        <f>'PrelimCF_21-24'!D44</f>
        <v>114777</v>
      </c>
      <c r="G48" s="10">
        <f>'PrelimCF_21-24'!E44</f>
        <v>56290</v>
      </c>
      <c r="H48" s="10"/>
      <c r="I48" s="21"/>
      <c r="J48" s="21"/>
      <c r="K48" s="21"/>
      <c r="L48" s="21"/>
      <c r="M48" s="21"/>
    </row>
    <row r="49" spans="2:13" ht="12" customHeight="1">
      <c r="B49" s="67" t="s">
        <v>325</v>
      </c>
      <c r="C49" s="58"/>
      <c r="D49" s="10">
        <f>'PrelimCF_21-24'!B45</f>
        <v>189627</v>
      </c>
      <c r="E49" s="10">
        <f>'PrelimCF_21-24'!C45</f>
        <v>114777</v>
      </c>
      <c r="F49" s="10">
        <f>'PrelimCF_21-24'!D45</f>
        <v>56290</v>
      </c>
      <c r="G49" s="10">
        <f>'PrelimCF_21-24'!E45</f>
        <v>40654</v>
      </c>
      <c r="H49" s="10"/>
      <c r="I49" s="21"/>
      <c r="J49" s="21"/>
      <c r="K49" s="21"/>
      <c r="L49" s="21"/>
      <c r="M49" s="21"/>
    </row>
    <row r="50" spans="2:13" ht="12" customHeight="1">
      <c r="B50" s="87"/>
      <c r="C50" s="58"/>
      <c r="D50" s="58"/>
      <c r="E50" s="10"/>
      <c r="F50" s="10"/>
      <c r="G50" s="10"/>
      <c r="H50" s="10"/>
      <c r="I50" s="21"/>
      <c r="J50" s="21"/>
      <c r="K50" s="21"/>
      <c r="L50" s="21"/>
      <c r="M50" s="21"/>
    </row>
    <row r="51" spans="2:13" ht="7" customHeight="1">
      <c r="B51" s="78"/>
      <c r="C51" s="96"/>
      <c r="D51" s="96"/>
      <c r="E51" s="96"/>
      <c r="F51" s="96"/>
      <c r="G51" s="96"/>
      <c r="H51" s="96"/>
      <c r="I51" s="97"/>
      <c r="J51" s="97"/>
      <c r="K51" s="97"/>
      <c r="L51" s="97"/>
      <c r="M51" s="97"/>
    </row>
    <row r="52" spans="2:13">
      <c r="C52" s="10"/>
      <c r="D52" s="10"/>
      <c r="E52" s="10"/>
      <c r="F52" s="10"/>
      <c r="G52" s="10"/>
      <c r="H52" s="10"/>
      <c r="I52" s="10"/>
      <c r="J52" s="10"/>
      <c r="K52" s="10"/>
      <c r="L52" s="10"/>
      <c r="M52" s="10"/>
    </row>
    <row r="53" spans="2:13" ht="7" customHeight="1">
      <c r="C53" s="10"/>
      <c r="D53" s="10"/>
      <c r="E53" s="10"/>
      <c r="F53" s="10"/>
      <c r="G53" s="10"/>
      <c r="H53" s="10"/>
      <c r="I53" s="10"/>
      <c r="J53" s="10"/>
      <c r="K53" s="10"/>
      <c r="L53" s="10"/>
      <c r="M53" s="10"/>
    </row>
    <row r="54" spans="2:13" ht="12" thickBot="1">
      <c r="B54" s="77"/>
      <c r="C54" s="77"/>
      <c r="D54" s="77"/>
      <c r="E54" s="77"/>
      <c r="F54" s="77"/>
      <c r="G54" s="77"/>
      <c r="H54" s="77"/>
      <c r="I54" s="77"/>
      <c r="J54" s="77"/>
      <c r="K54" s="77"/>
      <c r="L54" s="77"/>
      <c r="M54" s="77"/>
    </row>
    <row r="55" spans="2:13">
      <c r="C55" s="10"/>
      <c r="D55" s="10"/>
      <c r="I55" s="10"/>
      <c r="J55" s="10"/>
      <c r="K55" s="10"/>
      <c r="L55" s="10"/>
      <c r="M55" s="10"/>
    </row>
    <row r="56" spans="2:13" ht="7" hidden="1" customHeight="1">
      <c r="B56" s="4" t="s">
        <v>399</v>
      </c>
      <c r="I56" s="10"/>
      <c r="J56" s="10"/>
      <c r="K56" s="10"/>
      <c r="L56" s="10"/>
      <c r="M56" s="10"/>
    </row>
    <row r="57" spans="2:13" ht="14" hidden="1" customHeight="1">
      <c r="B57" s="57" t="s">
        <v>312</v>
      </c>
    </row>
    <row r="58" spans="2:13" ht="14" hidden="1" customHeight="1">
      <c r="B58" s="67" t="s">
        <v>319</v>
      </c>
    </row>
    <row r="59" spans="2:13" ht="14" hidden="1" customHeight="1">
      <c r="B59" s="67" t="s">
        <v>320</v>
      </c>
      <c r="C59" s="20"/>
      <c r="D59" s="20"/>
      <c r="E59" s="20"/>
      <c r="F59" s="20"/>
      <c r="G59" s="20"/>
      <c r="I59" s="20"/>
      <c r="J59" s="20"/>
      <c r="K59" s="20"/>
      <c r="L59" s="20"/>
      <c r="M59" s="20"/>
    </row>
    <row r="60" spans="2:13" ht="14" hidden="1" customHeight="1">
      <c r="B60" s="67" t="s">
        <v>321</v>
      </c>
    </row>
    <row r="61" spans="2:13" ht="14" hidden="1" customHeight="1">
      <c r="B61" s="67" t="s">
        <v>240</v>
      </c>
    </row>
    <row r="62" spans="2:13" ht="14" hidden="1" customHeight="1">
      <c r="B62" s="67" t="s">
        <v>241</v>
      </c>
      <c r="C62" s="20"/>
      <c r="D62" s="20"/>
      <c r="E62" s="20"/>
      <c r="F62" s="20"/>
      <c r="G62" s="20"/>
      <c r="I62" s="20"/>
      <c r="J62" s="20"/>
      <c r="K62" s="20"/>
      <c r="L62" s="20"/>
      <c r="M62" s="20"/>
    </row>
    <row r="63" spans="2:13" ht="14" hidden="1" customHeight="1">
      <c r="B63" s="67" t="s">
        <v>322</v>
      </c>
      <c r="C63" s="20"/>
      <c r="D63" s="20"/>
      <c r="E63" s="20"/>
      <c r="F63" s="20"/>
      <c r="G63" s="20"/>
      <c r="I63" s="20"/>
      <c r="J63" s="20"/>
      <c r="K63" s="20"/>
      <c r="L63" s="20"/>
      <c r="M63" s="20"/>
    </row>
    <row r="64" spans="2:13" ht="14" hidden="1" customHeight="1">
      <c r="B64" s="87" t="s">
        <v>323</v>
      </c>
    </row>
    <row r="65" spans="3:4" hidden="1"/>
    <row r="67" spans="3:4">
      <c r="C67" s="70"/>
      <c r="D67" s="70"/>
    </row>
    <row r="68" spans="3:4">
      <c r="C68" s="10"/>
      <c r="D68" s="1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FD87-FED7-43A4-9F93-842558C7A512}">
  <sheetPr codeName="Sheet35">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8" t="s">
        <v>401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0571-4168-49C8-8253-1B59C3520691}">
  <dimension ref="A1:H76"/>
  <sheetViews>
    <sheetView topLeftCell="A30" workbookViewId="0">
      <selection activeCell="E50" sqref="E50"/>
    </sheetView>
  </sheetViews>
  <sheetFormatPr defaultRowHeight="14.5"/>
  <cols>
    <col min="1" max="1" width="63.54296875" bestFit="1" customWidth="1"/>
    <col min="2" max="2" width="11.7265625" style="340" bestFit="1" customWidth="1"/>
    <col min="3" max="3" width="18.453125" style="341" bestFit="1" customWidth="1"/>
    <col min="4" max="4" width="13.81640625" style="341" bestFit="1" customWidth="1"/>
    <col min="5" max="5" width="11.453125" style="341" bestFit="1" customWidth="1"/>
    <col min="6" max="6" width="17.36328125" style="341" customWidth="1"/>
    <col min="7" max="7" width="11.81640625" style="342" bestFit="1" customWidth="1"/>
  </cols>
  <sheetData>
    <row r="1" spans="1:7">
      <c r="A1" s="261" t="s">
        <v>480</v>
      </c>
      <c r="B1" s="476" t="s">
        <v>255</v>
      </c>
      <c r="C1" s="478" t="s">
        <v>257</v>
      </c>
      <c r="D1" s="478" t="s">
        <v>260</v>
      </c>
      <c r="E1" s="478" t="s">
        <v>262</v>
      </c>
      <c r="F1" s="478" t="s">
        <v>459</v>
      </c>
      <c r="G1" s="480" t="s">
        <v>267</v>
      </c>
    </row>
    <row r="2" spans="1:7">
      <c r="A2" s="262" t="s">
        <v>458</v>
      </c>
      <c r="B2" s="477"/>
      <c r="C2" s="479"/>
      <c r="D2" s="479"/>
      <c r="E2" s="479"/>
      <c r="F2" s="479"/>
      <c r="G2" s="481"/>
    </row>
    <row r="3" spans="1:7">
      <c r="A3" t="s">
        <v>460</v>
      </c>
      <c r="B3" s="320">
        <v>1063</v>
      </c>
      <c r="C3" s="321">
        <v>887485</v>
      </c>
      <c r="D3" s="321">
        <v>1170078</v>
      </c>
      <c r="E3" s="321">
        <v>-1765641</v>
      </c>
      <c r="F3" s="321">
        <v>-982</v>
      </c>
      <c r="G3" s="322">
        <v>292003</v>
      </c>
    </row>
    <row r="4" spans="1:7">
      <c r="A4" t="s">
        <v>461</v>
      </c>
      <c r="B4" s="320">
        <v>106323</v>
      </c>
      <c r="C4" s="323"/>
      <c r="D4" s="323"/>
      <c r="E4" s="323"/>
      <c r="F4" s="323"/>
      <c r="G4" s="324"/>
    </row>
    <row r="5" spans="1:7">
      <c r="A5" t="s">
        <v>270</v>
      </c>
      <c r="B5" s="325"/>
      <c r="C5" s="326"/>
      <c r="D5" s="326"/>
      <c r="E5" s="326"/>
      <c r="F5" s="326"/>
      <c r="G5" s="327"/>
    </row>
    <row r="6" spans="1:7">
      <c r="A6" t="s">
        <v>66</v>
      </c>
      <c r="B6" s="328"/>
      <c r="C6" s="329"/>
      <c r="D6" s="330">
        <v>28050</v>
      </c>
      <c r="E6" s="329"/>
      <c r="F6" s="329"/>
      <c r="G6" s="331">
        <v>28050</v>
      </c>
    </row>
    <row r="7" spans="1:7">
      <c r="A7" t="s">
        <v>206</v>
      </c>
      <c r="B7" s="325"/>
      <c r="C7" s="326"/>
      <c r="D7" s="326"/>
      <c r="E7" s="326"/>
      <c r="F7" s="332">
        <v>147</v>
      </c>
      <c r="G7" s="333">
        <v>147</v>
      </c>
    </row>
    <row r="8" spans="1:7">
      <c r="A8" t="s">
        <v>292</v>
      </c>
      <c r="B8" s="328"/>
      <c r="C8" s="329"/>
      <c r="D8" s="330">
        <v>-13929</v>
      </c>
      <c r="E8" s="329"/>
      <c r="F8" s="329"/>
      <c r="G8" s="331">
        <v>-13929</v>
      </c>
    </row>
    <row r="9" spans="1:7">
      <c r="A9" t="s">
        <v>182</v>
      </c>
      <c r="B9" s="334">
        <v>6</v>
      </c>
      <c r="C9" s="332">
        <v>5938</v>
      </c>
      <c r="D9" s="326"/>
      <c r="E9" s="326"/>
      <c r="F9" s="326"/>
      <c r="G9" s="333">
        <v>5944</v>
      </c>
    </row>
    <row r="10" spans="1:7">
      <c r="A10" t="s">
        <v>273</v>
      </c>
      <c r="B10" s="335">
        <v>628</v>
      </c>
      <c r="C10" s="329"/>
      <c r="D10" s="329"/>
      <c r="E10" s="329"/>
      <c r="F10" s="329"/>
      <c r="G10" s="336"/>
    </row>
    <row r="11" spans="1:7">
      <c r="A11" t="s">
        <v>293</v>
      </c>
      <c r="B11" s="325"/>
      <c r="C11" s="326"/>
      <c r="D11" s="326"/>
      <c r="E11" s="332">
        <v>-12376</v>
      </c>
      <c r="F11" s="326"/>
      <c r="G11" s="333">
        <v>-12376</v>
      </c>
    </row>
    <row r="12" spans="1:7">
      <c r="A12" t="s">
        <v>462</v>
      </c>
      <c r="B12" s="320">
        <v>1069</v>
      </c>
      <c r="C12" s="321">
        <v>893423</v>
      </c>
      <c r="D12" s="321">
        <v>1184199</v>
      </c>
      <c r="E12" s="321">
        <v>-1778017</v>
      </c>
      <c r="F12" s="321">
        <v>-835</v>
      </c>
      <c r="G12" s="322">
        <v>299839</v>
      </c>
    </row>
    <row r="13" spans="1:7">
      <c r="A13" t="s">
        <v>463</v>
      </c>
      <c r="B13" s="320">
        <v>106951</v>
      </c>
      <c r="C13" s="323"/>
      <c r="D13" s="323"/>
      <c r="E13" s="323"/>
      <c r="F13" s="323"/>
      <c r="G13" s="324"/>
    </row>
    <row r="14" spans="1:7" s="112" customFormat="1">
      <c r="A14" s="343"/>
      <c r="B14" s="344"/>
      <c r="C14" s="345"/>
      <c r="D14" s="345"/>
      <c r="E14" s="345"/>
      <c r="F14" s="345"/>
      <c r="G14" s="346"/>
    </row>
    <row r="15" spans="1:7" s="112" customFormat="1">
      <c r="A15" s="343"/>
      <c r="B15" s="344"/>
      <c r="C15" s="345"/>
      <c r="D15" s="345"/>
      <c r="E15" s="345"/>
      <c r="F15" s="345"/>
      <c r="G15" s="346"/>
    </row>
    <row r="16" spans="1:7" hidden="1">
      <c r="A16" t="s">
        <v>460</v>
      </c>
      <c r="B16" s="320">
        <v>1063</v>
      </c>
      <c r="C16" s="321">
        <v>887485</v>
      </c>
      <c r="D16" s="321">
        <v>1170078</v>
      </c>
      <c r="E16" s="321">
        <v>-1765641</v>
      </c>
      <c r="F16" s="321">
        <v>-982</v>
      </c>
      <c r="G16" s="322">
        <v>292003</v>
      </c>
    </row>
    <row r="17" spans="1:7" hidden="1">
      <c r="A17" t="s">
        <v>461</v>
      </c>
      <c r="B17" s="320">
        <v>106323</v>
      </c>
      <c r="C17" s="323"/>
      <c r="D17" s="323"/>
      <c r="E17" s="323"/>
      <c r="F17" s="323"/>
      <c r="G17" s="324"/>
    </row>
    <row r="18" spans="1:7" hidden="1">
      <c r="A18" t="s">
        <v>270</v>
      </c>
      <c r="B18" s="328"/>
      <c r="C18" s="329"/>
      <c r="D18" s="329"/>
      <c r="E18" s="329"/>
      <c r="F18" s="329"/>
      <c r="G18" s="336"/>
    </row>
    <row r="19" spans="1:7" hidden="1">
      <c r="A19" t="s">
        <v>66</v>
      </c>
      <c r="B19" s="325"/>
      <c r="C19" s="326"/>
      <c r="D19" s="326"/>
      <c r="E19" s="326"/>
      <c r="F19" s="326"/>
      <c r="G19" s="333">
        <v>70725</v>
      </c>
    </row>
    <row r="20" spans="1:7" hidden="1">
      <c r="A20" t="s">
        <v>206</v>
      </c>
      <c r="B20" s="328"/>
      <c r="C20" s="329"/>
      <c r="D20" s="329"/>
      <c r="E20" s="329"/>
      <c r="F20" s="329"/>
      <c r="G20" s="331">
        <v>327</v>
      </c>
    </row>
    <row r="21" spans="1:7" hidden="1">
      <c r="A21" t="s">
        <v>468</v>
      </c>
      <c r="B21" s="320">
        <v>1070</v>
      </c>
      <c r="C21" s="321">
        <v>899792</v>
      </c>
      <c r="D21" s="321">
        <v>1213115</v>
      </c>
      <c r="E21" s="321">
        <v>-1787419</v>
      </c>
      <c r="F21" s="321">
        <v>-655</v>
      </c>
      <c r="G21" s="322">
        <v>325903</v>
      </c>
    </row>
    <row r="22" spans="1:7" hidden="1">
      <c r="A22" t="s">
        <v>469</v>
      </c>
      <c r="B22" s="320">
        <v>107043</v>
      </c>
      <c r="C22" s="323"/>
      <c r="D22" s="323"/>
      <c r="E22" s="323"/>
      <c r="F22" s="323"/>
      <c r="G22" s="324"/>
    </row>
    <row r="23" spans="1:7" s="112" customFormat="1">
      <c r="A23" s="343"/>
      <c r="B23" s="344"/>
      <c r="C23" s="345"/>
      <c r="D23" s="345"/>
      <c r="E23" s="345"/>
      <c r="F23" s="345"/>
      <c r="G23" s="346"/>
    </row>
    <row r="24" spans="1:7">
      <c r="A24" t="s">
        <v>466</v>
      </c>
      <c r="B24" s="320">
        <v>1069</v>
      </c>
      <c r="C24" s="321">
        <v>893423</v>
      </c>
      <c r="D24" s="321">
        <v>1184199</v>
      </c>
      <c r="E24" s="321">
        <v>-1778017</v>
      </c>
      <c r="F24" s="321">
        <v>-835</v>
      </c>
      <c r="G24" s="322">
        <v>299839</v>
      </c>
    </row>
    <row r="25" spans="1:7">
      <c r="A25" t="s">
        <v>467</v>
      </c>
      <c r="B25" s="320">
        <v>106951</v>
      </c>
      <c r="C25" s="323"/>
      <c r="D25" s="323"/>
      <c r="E25" s="323"/>
      <c r="F25" s="323"/>
      <c r="G25" s="324"/>
    </row>
    <row r="26" spans="1:7">
      <c r="A26" t="s">
        <v>270</v>
      </c>
      <c r="B26" s="325"/>
      <c r="C26" s="326"/>
      <c r="D26" s="326"/>
      <c r="E26" s="326"/>
      <c r="F26" s="326"/>
      <c r="G26" s="327"/>
    </row>
    <row r="27" spans="1:7">
      <c r="A27" t="s">
        <v>66</v>
      </c>
      <c r="B27" s="328"/>
      <c r="C27" s="329"/>
      <c r="D27" s="330">
        <v>42675</v>
      </c>
      <c r="E27" s="329"/>
      <c r="F27" s="329"/>
      <c r="G27" s="331">
        <v>42675</v>
      </c>
    </row>
    <row r="28" spans="1:7">
      <c r="A28" t="s">
        <v>206</v>
      </c>
      <c r="B28" s="325"/>
      <c r="C28" s="326"/>
      <c r="D28" s="326"/>
      <c r="E28" s="326"/>
      <c r="F28" s="332">
        <v>180</v>
      </c>
      <c r="G28" s="333">
        <v>180</v>
      </c>
    </row>
    <row r="29" spans="1:7">
      <c r="A29" t="s">
        <v>292</v>
      </c>
      <c r="B29" s="328"/>
      <c r="C29" s="329"/>
      <c r="D29" s="330">
        <v>-13759</v>
      </c>
      <c r="E29" s="329"/>
      <c r="F29" s="329"/>
      <c r="G29" s="331">
        <v>-13759</v>
      </c>
    </row>
    <row r="30" spans="1:7">
      <c r="A30" t="s">
        <v>182</v>
      </c>
      <c r="B30" s="334">
        <v>1</v>
      </c>
      <c r="C30" s="332">
        <v>6369</v>
      </c>
      <c r="D30" s="326"/>
      <c r="E30" s="326"/>
      <c r="F30" s="326"/>
      <c r="G30" s="333">
        <v>6370</v>
      </c>
    </row>
    <row r="31" spans="1:7">
      <c r="A31" t="s">
        <v>273</v>
      </c>
      <c r="B31" s="335">
        <v>92</v>
      </c>
      <c r="C31" s="329"/>
      <c r="D31" s="329"/>
      <c r="E31" s="329"/>
      <c r="F31" s="329"/>
      <c r="G31" s="336"/>
    </row>
    <row r="32" spans="1:7">
      <c r="A32" t="s">
        <v>293</v>
      </c>
      <c r="B32" s="325"/>
      <c r="C32" s="326"/>
      <c r="D32" s="326"/>
      <c r="E32" s="332">
        <v>-9402</v>
      </c>
      <c r="F32" s="326"/>
      <c r="G32" s="333">
        <v>-9402</v>
      </c>
    </row>
    <row r="33" spans="1:7">
      <c r="A33" t="s">
        <v>468</v>
      </c>
      <c r="B33" s="320">
        <v>1070</v>
      </c>
      <c r="C33" s="321">
        <v>899792</v>
      </c>
      <c r="D33" s="321">
        <v>1213115</v>
      </c>
      <c r="E33" s="321">
        <v>-1787419</v>
      </c>
      <c r="F33" s="321">
        <v>-655</v>
      </c>
      <c r="G33" s="322">
        <v>325903</v>
      </c>
    </row>
    <row r="34" spans="1:7">
      <c r="A34" t="s">
        <v>469</v>
      </c>
      <c r="B34" s="320">
        <v>107043</v>
      </c>
      <c r="C34" s="323"/>
      <c r="D34" s="323"/>
      <c r="E34" s="323"/>
      <c r="F34" s="323"/>
      <c r="G34" s="324"/>
    </row>
    <row r="35" spans="1:7" s="112" customFormat="1">
      <c r="A35" s="343"/>
      <c r="B35" s="344"/>
      <c r="C35" s="345"/>
      <c r="D35" s="345"/>
      <c r="E35" s="345"/>
      <c r="F35" s="345"/>
      <c r="G35" s="346"/>
    </row>
    <row r="36" spans="1:7" s="112" customFormat="1">
      <c r="A36" s="343"/>
      <c r="B36" s="344"/>
      <c r="C36" s="345"/>
      <c r="D36" s="345"/>
      <c r="E36" s="345"/>
      <c r="F36" s="345"/>
      <c r="G36" s="346"/>
    </row>
    <row r="37" spans="1:7">
      <c r="A37" t="s">
        <v>290</v>
      </c>
      <c r="B37" s="320">
        <v>1072</v>
      </c>
      <c r="C37" s="321">
        <v>913442</v>
      </c>
      <c r="D37" s="321">
        <v>1216239</v>
      </c>
      <c r="E37" s="321">
        <v>-1811997</v>
      </c>
      <c r="F37" s="321">
        <v>-694</v>
      </c>
      <c r="G37" s="322">
        <v>318062</v>
      </c>
    </row>
    <row r="38" spans="1:7">
      <c r="A38" t="s">
        <v>291</v>
      </c>
      <c r="B38" s="320">
        <v>107195</v>
      </c>
      <c r="C38" s="323"/>
      <c r="D38" s="323"/>
      <c r="E38" s="323"/>
      <c r="F38" s="323"/>
      <c r="G38" s="324"/>
    </row>
    <row r="39" spans="1:7">
      <c r="A39" t="s">
        <v>270</v>
      </c>
      <c r="B39" s="328"/>
      <c r="C39" s="329"/>
      <c r="D39" s="329"/>
      <c r="E39" s="329"/>
      <c r="F39" s="329"/>
      <c r="G39" s="336"/>
    </row>
    <row r="40" spans="1:7">
      <c r="A40" t="s">
        <v>66</v>
      </c>
      <c r="B40" s="325"/>
      <c r="C40" s="326"/>
      <c r="D40" s="332">
        <v>33191</v>
      </c>
      <c r="E40" s="326"/>
      <c r="F40" s="326"/>
      <c r="G40" s="333">
        <v>33191</v>
      </c>
    </row>
    <row r="41" spans="1:7">
      <c r="A41" t="s">
        <v>206</v>
      </c>
      <c r="B41" s="328"/>
      <c r="C41" s="329"/>
      <c r="D41" s="329"/>
      <c r="E41" s="329"/>
      <c r="F41" s="330">
        <v>-253</v>
      </c>
      <c r="G41" s="331">
        <v>-253</v>
      </c>
    </row>
    <row r="42" spans="1:7">
      <c r="A42" t="s">
        <v>292</v>
      </c>
      <c r="B42" s="325"/>
      <c r="C42" s="326"/>
      <c r="D42" s="332">
        <v>-13764</v>
      </c>
      <c r="E42" s="326"/>
      <c r="F42" s="326"/>
      <c r="G42" s="333">
        <v>-13764</v>
      </c>
    </row>
    <row r="43" spans="1:7">
      <c r="A43" t="s">
        <v>182</v>
      </c>
      <c r="B43" s="335">
        <v>7</v>
      </c>
      <c r="C43" s="330">
        <v>7691</v>
      </c>
      <c r="D43" s="329"/>
      <c r="E43" s="329"/>
      <c r="F43" s="329"/>
      <c r="G43" s="331">
        <v>7698</v>
      </c>
    </row>
    <row r="44" spans="1:7">
      <c r="A44" t="s">
        <v>273</v>
      </c>
      <c r="B44" s="334">
        <v>680</v>
      </c>
      <c r="C44" s="326"/>
      <c r="D44" s="326"/>
      <c r="E44" s="326"/>
      <c r="F44" s="326"/>
      <c r="G44" s="327"/>
    </row>
    <row r="45" spans="1:7">
      <c r="A45" t="s">
        <v>293</v>
      </c>
      <c r="B45" s="352"/>
      <c r="C45" s="353"/>
      <c r="D45" s="353"/>
      <c r="E45" s="351">
        <v>-12496</v>
      </c>
      <c r="F45" s="353"/>
      <c r="G45" s="354">
        <v>-12496</v>
      </c>
    </row>
    <row r="46" spans="1:7">
      <c r="A46" t="s">
        <v>294</v>
      </c>
      <c r="B46" s="320">
        <v>1079</v>
      </c>
      <c r="C46" s="321">
        <v>921133</v>
      </c>
      <c r="D46" s="321">
        <v>1235666</v>
      </c>
      <c r="E46" s="321">
        <v>-1824493</v>
      </c>
      <c r="F46" s="321">
        <v>-947</v>
      </c>
      <c r="G46" s="322">
        <v>332438</v>
      </c>
    </row>
    <row r="47" spans="1:7">
      <c r="A47" t="s">
        <v>295</v>
      </c>
      <c r="B47" s="320">
        <v>107875</v>
      </c>
      <c r="C47" s="323"/>
      <c r="D47" s="323"/>
      <c r="E47" s="323"/>
      <c r="F47" s="323"/>
      <c r="G47" s="324"/>
    </row>
    <row r="48" spans="1:7" s="112" customFormat="1">
      <c r="A48" s="343"/>
      <c r="B48" s="344"/>
      <c r="C48" s="345"/>
      <c r="D48" s="345"/>
      <c r="E48" s="345"/>
      <c r="F48" s="345"/>
      <c r="G48" s="346"/>
    </row>
    <row r="49" spans="1:7" s="112" customFormat="1" ht="23.5">
      <c r="A49" s="347">
        <v>2024</v>
      </c>
      <c r="B49" s="344"/>
      <c r="C49" s="345"/>
      <c r="D49" s="345"/>
      <c r="E49" s="345"/>
      <c r="F49" s="345"/>
      <c r="G49" s="346"/>
    </row>
    <row r="50" spans="1:7">
      <c r="A50" t="s">
        <v>290</v>
      </c>
      <c r="B50" s="320">
        <v>1072</v>
      </c>
      <c r="C50" s="321">
        <v>913442</v>
      </c>
      <c r="D50" s="321">
        <v>1216239</v>
      </c>
      <c r="E50" s="321">
        <v>-1811997</v>
      </c>
      <c r="F50" s="321">
        <v>-694</v>
      </c>
      <c r="G50" s="322">
        <v>318062</v>
      </c>
    </row>
    <row r="51" spans="1:7">
      <c r="A51" t="s">
        <v>291</v>
      </c>
      <c r="B51" s="320">
        <v>107195</v>
      </c>
      <c r="C51" s="323"/>
      <c r="D51" s="323"/>
      <c r="E51" s="323"/>
      <c r="F51" s="323"/>
      <c r="G51" s="324"/>
    </row>
    <row r="52" spans="1:7">
      <c r="A52" t="s">
        <v>270</v>
      </c>
      <c r="B52" s="325"/>
      <c r="C52" s="326"/>
      <c r="D52" s="326"/>
      <c r="E52" s="326"/>
      <c r="F52" s="326"/>
      <c r="G52" s="327"/>
    </row>
    <row r="53" spans="1:7">
      <c r="A53" t="s">
        <v>66</v>
      </c>
      <c r="B53" s="328"/>
      <c r="C53" s="329"/>
      <c r="D53" s="329"/>
      <c r="E53" s="329"/>
      <c r="F53" s="329"/>
      <c r="G53" s="331">
        <v>85635</v>
      </c>
    </row>
    <row r="54" spans="1:7">
      <c r="A54" t="s">
        <v>206</v>
      </c>
      <c r="B54" s="325"/>
      <c r="C54" s="326"/>
      <c r="D54" s="326"/>
      <c r="E54" s="326"/>
      <c r="F54" s="326"/>
      <c r="G54" s="333">
        <v>-377</v>
      </c>
    </row>
    <row r="55" spans="1:7">
      <c r="A55" s="107" t="s">
        <v>296</v>
      </c>
      <c r="B55" s="349"/>
      <c r="C55" s="350"/>
      <c r="D55" s="350"/>
      <c r="E55" s="350"/>
      <c r="F55" s="350"/>
      <c r="G55" s="348">
        <v>500</v>
      </c>
    </row>
    <row r="56" spans="1:7">
      <c r="A56" t="s">
        <v>297</v>
      </c>
      <c r="B56" s="320">
        <v>1079</v>
      </c>
      <c r="C56" s="321">
        <v>928015</v>
      </c>
      <c r="D56" s="321">
        <v>1274339</v>
      </c>
      <c r="E56" s="321">
        <v>-1828382</v>
      </c>
      <c r="F56" s="321">
        <v>-1071</v>
      </c>
      <c r="G56" s="322">
        <v>373980</v>
      </c>
    </row>
    <row r="57" spans="1:7">
      <c r="A57" t="s">
        <v>298</v>
      </c>
      <c r="B57" s="320">
        <v>107917</v>
      </c>
      <c r="C57" s="323"/>
      <c r="D57" s="323"/>
      <c r="E57" s="323"/>
      <c r="F57" s="323"/>
      <c r="G57" s="324"/>
    </row>
    <row r="58" spans="1:7">
      <c r="B58" s="320"/>
      <c r="C58" s="323"/>
      <c r="D58" s="323"/>
      <c r="E58" s="323"/>
      <c r="F58" s="323"/>
      <c r="G58" s="324"/>
    </row>
    <row r="59" spans="1:7">
      <c r="A59" t="s">
        <v>299</v>
      </c>
      <c r="B59" s="320">
        <v>1079</v>
      </c>
      <c r="C59" s="321">
        <v>921133</v>
      </c>
      <c r="D59" s="321">
        <v>1235666</v>
      </c>
      <c r="E59" s="321">
        <v>-1824493</v>
      </c>
      <c r="F59" s="321">
        <v>-947</v>
      </c>
      <c r="G59" s="322">
        <v>332438</v>
      </c>
    </row>
    <row r="60" spans="1:7">
      <c r="A60" t="s">
        <v>300</v>
      </c>
      <c r="B60" s="320">
        <v>107875</v>
      </c>
      <c r="C60" s="323"/>
      <c r="D60" s="323"/>
      <c r="E60" s="323"/>
      <c r="F60" s="323"/>
      <c r="G60" s="324"/>
    </row>
    <row r="61" spans="1:7">
      <c r="A61" t="s">
        <v>270</v>
      </c>
      <c r="B61" s="325"/>
      <c r="C61" s="326"/>
      <c r="D61" s="326"/>
      <c r="E61" s="326"/>
      <c r="F61" s="326"/>
      <c r="G61" s="327"/>
    </row>
    <row r="62" spans="1:7">
      <c r="A62" t="s">
        <v>66</v>
      </c>
      <c r="B62" s="328"/>
      <c r="C62" s="329"/>
      <c r="D62" s="330">
        <v>52444</v>
      </c>
      <c r="E62" s="329"/>
      <c r="F62" s="329"/>
      <c r="G62" s="331">
        <v>52444</v>
      </c>
    </row>
    <row r="63" spans="1:7">
      <c r="A63" t="s">
        <v>206</v>
      </c>
      <c r="B63" s="325"/>
      <c r="C63" s="326"/>
      <c r="D63" s="326"/>
      <c r="E63" s="326"/>
      <c r="F63" s="332">
        <v>-124</v>
      </c>
      <c r="G63" s="333">
        <v>-124</v>
      </c>
    </row>
    <row r="64" spans="1:7">
      <c r="A64" t="s">
        <v>292</v>
      </c>
      <c r="B64" s="328"/>
      <c r="C64" s="329"/>
      <c r="D64" s="330">
        <v>-13771</v>
      </c>
      <c r="E64" s="329"/>
      <c r="F64" s="329"/>
      <c r="G64" s="331">
        <v>-13771</v>
      </c>
    </row>
    <row r="65" spans="1:8">
      <c r="A65" t="s">
        <v>182</v>
      </c>
      <c r="B65" s="334">
        <v>0</v>
      </c>
      <c r="C65" s="332">
        <v>6882</v>
      </c>
      <c r="D65" s="326"/>
      <c r="E65" s="326"/>
      <c r="F65" s="326"/>
      <c r="G65" s="333">
        <v>6882</v>
      </c>
    </row>
    <row r="66" spans="1:8">
      <c r="A66" t="s">
        <v>273</v>
      </c>
      <c r="B66" s="335">
        <v>42</v>
      </c>
      <c r="C66" s="329"/>
      <c r="D66" s="329"/>
      <c r="E66" s="329"/>
      <c r="F66" s="329"/>
      <c r="G66" s="336"/>
    </row>
    <row r="67" spans="1:8">
      <c r="A67" t="s">
        <v>293</v>
      </c>
      <c r="B67" s="325"/>
      <c r="C67" s="326"/>
      <c r="D67" s="326"/>
      <c r="E67" s="351">
        <v>-3889</v>
      </c>
      <c r="F67" s="326"/>
      <c r="G67" s="333">
        <v>-3889</v>
      </c>
    </row>
    <row r="68" spans="1:8">
      <c r="A68" s="107" t="s">
        <v>296</v>
      </c>
      <c r="B68" s="349"/>
      <c r="C68" s="350"/>
      <c r="D68" s="350"/>
      <c r="E68" s="350"/>
      <c r="F68" s="350"/>
      <c r="G68" s="348">
        <v>100</v>
      </c>
    </row>
    <row r="69" spans="1:8">
      <c r="A69" t="s">
        <v>297</v>
      </c>
      <c r="B69" s="320">
        <v>1079</v>
      </c>
      <c r="C69" s="321">
        <v>928015</v>
      </c>
      <c r="D69" s="321">
        <v>1274339</v>
      </c>
      <c r="E69" s="321">
        <v>-1828382</v>
      </c>
      <c r="F69" s="321">
        <v>-1071</v>
      </c>
      <c r="G69" s="322">
        <v>373980</v>
      </c>
    </row>
    <row r="70" spans="1:8" ht="15" thickBot="1">
      <c r="A70" t="s">
        <v>298</v>
      </c>
      <c r="B70" s="337">
        <v>107917</v>
      </c>
      <c r="C70" s="338"/>
      <c r="D70" s="338"/>
      <c r="E70" s="338"/>
      <c r="F70" s="338"/>
      <c r="G70" s="339"/>
    </row>
    <row r="71" spans="1:8">
      <c r="A71" s="474"/>
      <c r="B71" s="474"/>
      <c r="C71" s="474"/>
      <c r="D71" s="474"/>
      <c r="E71" s="474"/>
      <c r="F71" s="474"/>
      <c r="G71" s="474"/>
    </row>
    <row r="72" spans="1:8">
      <c r="A72" s="475"/>
      <c r="B72" s="475"/>
      <c r="C72" s="475"/>
      <c r="D72" s="475"/>
      <c r="E72" s="475"/>
      <c r="F72" s="475"/>
      <c r="G72" s="475"/>
    </row>
    <row r="73" spans="1:8">
      <c r="A73" t="s">
        <v>290</v>
      </c>
      <c r="B73" s="320">
        <v>1072</v>
      </c>
      <c r="C73" s="321">
        <v>913442</v>
      </c>
      <c r="D73" s="321">
        <v>1216239</v>
      </c>
      <c r="E73" s="321">
        <v>-1811997</v>
      </c>
      <c r="F73" s="321">
        <v>-694</v>
      </c>
      <c r="G73" s="322">
        <v>318062</v>
      </c>
    </row>
    <row r="74" spans="1:8">
      <c r="A74" t="s">
        <v>299</v>
      </c>
      <c r="B74" s="320">
        <v>1079</v>
      </c>
      <c r="C74" s="321">
        <v>921133</v>
      </c>
      <c r="D74" s="321">
        <v>1235666</v>
      </c>
      <c r="E74" s="321">
        <v>-1824493</v>
      </c>
      <c r="F74" s="321">
        <v>-947</v>
      </c>
      <c r="G74" s="322">
        <v>332438</v>
      </c>
      <c r="H74" s="108">
        <f>-E74+E73</f>
        <v>12496</v>
      </c>
    </row>
    <row r="75" spans="1:8">
      <c r="A75" t="s">
        <v>297</v>
      </c>
      <c r="B75" s="320">
        <v>1079</v>
      </c>
      <c r="C75" s="321">
        <v>928015</v>
      </c>
      <c r="D75" s="321">
        <v>1274339</v>
      </c>
      <c r="E75" s="321">
        <v>-1828382</v>
      </c>
      <c r="F75" s="321">
        <v>-1071</v>
      </c>
      <c r="G75" s="322">
        <v>373980</v>
      </c>
      <c r="H75" s="108">
        <f>-E75+E74</f>
        <v>3889</v>
      </c>
    </row>
    <row r="76" spans="1:8">
      <c r="H76" s="108">
        <f>SUM(H74:H75)</f>
        <v>16385</v>
      </c>
    </row>
  </sheetData>
  <mergeCells count="8">
    <mergeCell ref="A71:G71"/>
    <mergeCell ref="A72:G72"/>
    <mergeCell ref="B1:B2"/>
    <mergeCell ref="C1:C2"/>
    <mergeCell ref="D1:D2"/>
    <mergeCell ref="E1:E2"/>
    <mergeCell ref="F1:F2"/>
    <mergeCell ref="G1: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4616-B2A0-4C72-AF2E-B27956E53F8B}">
  <sheetPr>
    <tabColor rgb="FF002060"/>
  </sheetPr>
  <dimension ref="B11"/>
  <sheetViews>
    <sheetView workbookViewId="0"/>
  </sheetViews>
  <sheetFormatPr defaultRowHeight="14.5"/>
  <cols>
    <col min="1" max="1" width="23" style="112" customWidth="1"/>
    <col min="2" max="2" width="12.453125" style="112" customWidth="1"/>
    <col min="3" max="16384" width="8.7265625" style="112"/>
  </cols>
  <sheetData>
    <row r="11" spans="2:2" ht="50.5">
      <c r="B11" s="38" t="s">
        <v>390</v>
      </c>
    </row>
  </sheetData>
  <dataValidations count="1">
    <dataValidation type="list" allowBlank="1" showInputMessage="1" showErrorMessage="1" sqref="B3" xr:uid="{CA90F13E-F6C6-42C5-AEA9-8026C35D98E3}">
      <formula1>"1,2,3"</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3A9D-EDAC-47D2-9B01-0E552407C6EA}">
  <dimension ref="A1:R45"/>
  <sheetViews>
    <sheetView zoomScale="60" zoomScaleNormal="60" workbookViewId="0">
      <pane ySplit="2" topLeftCell="A27" activePane="bottomLeft" state="frozen"/>
      <selection activeCell="E50" sqref="E50"/>
      <selection pane="bottomLeft" activeCell="E50" sqref="E50"/>
    </sheetView>
  </sheetViews>
  <sheetFormatPr defaultRowHeight="14.5"/>
  <cols>
    <col min="1" max="1" width="89.26953125" bestFit="1" customWidth="1"/>
    <col min="2" max="2" width="8.81640625" style="319" bestFit="1" customWidth="1"/>
    <col min="3" max="4" width="11.7265625" style="318" bestFit="1" customWidth="1"/>
    <col min="5" max="5" width="10.90625" style="318" bestFit="1" customWidth="1"/>
    <col min="6" max="6" width="12.453125" style="318" bestFit="1" customWidth="1"/>
    <col min="7" max="7" width="11.7265625" style="318" bestFit="1" customWidth="1"/>
    <col min="8" max="8" width="12.6328125" style="318" bestFit="1" customWidth="1"/>
    <col min="9" max="9" width="10.08984375" style="318" bestFit="1" customWidth="1"/>
    <col min="10" max="10" width="13" style="318" bestFit="1" customWidth="1"/>
    <col min="11" max="11" width="13.90625" style="318" bestFit="1" customWidth="1"/>
    <col min="12" max="12" width="10.6328125" style="318" bestFit="1" customWidth="1"/>
    <col min="13" max="13" width="11.7265625" style="318" bestFit="1" customWidth="1"/>
    <col min="14" max="14" width="8.81640625" style="319" bestFit="1" customWidth="1"/>
    <col min="15" max="16" width="10.08984375" style="318" bestFit="1" customWidth="1"/>
    <col min="17" max="17" width="11.7265625" style="319" bestFit="1" customWidth="1"/>
    <col min="18" max="18" width="12.6328125" style="54" bestFit="1" customWidth="1"/>
  </cols>
  <sheetData>
    <row r="1" spans="1:18" ht="42">
      <c r="A1" s="261" t="s">
        <v>481</v>
      </c>
      <c r="B1" s="304" t="s">
        <v>482</v>
      </c>
      <c r="C1" s="302" t="s">
        <v>482</v>
      </c>
      <c r="D1" s="302" t="s">
        <v>482</v>
      </c>
      <c r="E1" s="302" t="s">
        <v>255</v>
      </c>
      <c r="F1" s="485" t="s">
        <v>255</v>
      </c>
      <c r="G1" s="302" t="s">
        <v>257</v>
      </c>
      <c r="H1" s="485" t="s">
        <v>257</v>
      </c>
      <c r="I1" s="302" t="s">
        <v>260</v>
      </c>
      <c r="J1" s="302" t="s">
        <v>260</v>
      </c>
      <c r="K1" s="485" t="s">
        <v>260</v>
      </c>
      <c r="L1" s="302" t="s">
        <v>262</v>
      </c>
      <c r="M1" s="485" t="s">
        <v>262</v>
      </c>
      <c r="N1" s="304" t="s">
        <v>264</v>
      </c>
      <c r="O1" s="485" t="s">
        <v>264</v>
      </c>
      <c r="P1" s="485" t="s">
        <v>265</v>
      </c>
      <c r="Q1" s="482" t="s">
        <v>266</v>
      </c>
      <c r="R1" s="466" t="s">
        <v>267</v>
      </c>
    </row>
    <row r="2" spans="1:18" ht="73.5">
      <c r="A2" s="262" t="s">
        <v>458</v>
      </c>
      <c r="B2" s="267" t="s">
        <v>265</v>
      </c>
      <c r="C2" s="303" t="s">
        <v>266</v>
      </c>
      <c r="D2" s="303" t="s">
        <v>483</v>
      </c>
      <c r="E2" s="303" t="s">
        <v>266</v>
      </c>
      <c r="F2" s="486"/>
      <c r="G2" s="303" t="s">
        <v>266</v>
      </c>
      <c r="H2" s="486"/>
      <c r="I2" s="303" t="s">
        <v>265</v>
      </c>
      <c r="J2" s="303" t="s">
        <v>266</v>
      </c>
      <c r="K2" s="486"/>
      <c r="L2" s="303" t="s">
        <v>266</v>
      </c>
      <c r="M2" s="486"/>
      <c r="N2" s="267" t="s">
        <v>266</v>
      </c>
      <c r="O2" s="486"/>
      <c r="P2" s="486"/>
      <c r="Q2" s="483"/>
      <c r="R2" s="484"/>
    </row>
    <row r="3" spans="1:18" ht="42">
      <c r="A3" s="355"/>
      <c r="B3" s="267" t="s">
        <v>483</v>
      </c>
      <c r="C3" s="303" t="s">
        <v>483</v>
      </c>
      <c r="D3" s="356"/>
      <c r="E3" s="356"/>
      <c r="F3" s="486"/>
      <c r="G3" s="356"/>
      <c r="H3" s="486"/>
      <c r="I3" s="356"/>
      <c r="J3" s="356"/>
      <c r="K3" s="486"/>
      <c r="L3" s="356"/>
      <c r="M3" s="486"/>
      <c r="N3" s="369"/>
      <c r="O3" s="486"/>
      <c r="P3" s="486"/>
      <c r="Q3" s="483"/>
      <c r="R3" s="484"/>
    </row>
    <row r="4" spans="1:18">
      <c r="A4" s="375" t="s">
        <v>268</v>
      </c>
      <c r="B4" s="309">
        <v>-4763</v>
      </c>
      <c r="C4" s="307">
        <v>213485</v>
      </c>
      <c r="D4" s="307">
        <v>218248</v>
      </c>
      <c r="E4" s="307">
        <v>986</v>
      </c>
      <c r="F4" s="307">
        <v>986</v>
      </c>
      <c r="G4" s="307">
        <v>878148</v>
      </c>
      <c r="H4" s="307">
        <v>878148</v>
      </c>
      <c r="I4" s="307">
        <v>4763</v>
      </c>
      <c r="J4" s="307">
        <v>1114850</v>
      </c>
      <c r="K4" s="307">
        <v>1110087</v>
      </c>
      <c r="L4" s="368">
        <v>-1696743</v>
      </c>
      <c r="M4" s="368">
        <v>-1696743</v>
      </c>
      <c r="N4" s="309">
        <v>-3785</v>
      </c>
      <c r="O4" s="368">
        <v>-3785</v>
      </c>
      <c r="P4" s="307">
        <v>4763</v>
      </c>
      <c r="Q4" s="308">
        <v>293456</v>
      </c>
      <c r="R4" s="278">
        <v>288693</v>
      </c>
    </row>
    <row r="5" spans="1:18">
      <c r="A5" s="375" t="s">
        <v>269</v>
      </c>
      <c r="B5" s="310"/>
      <c r="C5" s="307">
        <v>200</v>
      </c>
      <c r="D5" s="307">
        <v>200</v>
      </c>
      <c r="E5" s="307">
        <v>98645</v>
      </c>
      <c r="F5" s="307">
        <v>98645</v>
      </c>
      <c r="G5" s="367"/>
      <c r="H5" s="367"/>
      <c r="I5" s="367"/>
      <c r="J5" s="367"/>
      <c r="K5" s="367"/>
      <c r="L5" s="367"/>
      <c r="M5" s="367"/>
      <c r="N5" s="310"/>
      <c r="O5" s="367"/>
      <c r="P5" s="367"/>
      <c r="Q5" s="310"/>
      <c r="R5" s="279"/>
    </row>
    <row r="6" spans="1:18">
      <c r="A6" t="s">
        <v>270</v>
      </c>
      <c r="B6" s="312"/>
      <c r="C6" s="311"/>
      <c r="D6" s="311"/>
      <c r="E6" s="311"/>
      <c r="F6" s="311"/>
      <c r="G6" s="311"/>
      <c r="H6" s="311"/>
      <c r="I6" s="311"/>
      <c r="J6" s="311"/>
      <c r="K6" s="311"/>
      <c r="L6" s="311"/>
      <c r="M6" s="311"/>
      <c r="N6" s="312"/>
      <c r="O6" s="311"/>
      <c r="P6" s="311"/>
      <c r="Q6" s="312"/>
      <c r="R6" s="280"/>
    </row>
    <row r="7" spans="1:18">
      <c r="A7" t="s">
        <v>66</v>
      </c>
      <c r="B7" s="314"/>
      <c r="C7" s="313"/>
      <c r="D7" s="313"/>
      <c r="E7" s="313"/>
      <c r="F7" s="313"/>
      <c r="G7" s="313"/>
      <c r="H7" s="313"/>
      <c r="I7" s="313"/>
      <c r="J7" s="313"/>
      <c r="K7" s="317">
        <v>72373</v>
      </c>
      <c r="L7" s="313"/>
      <c r="M7" s="313"/>
      <c r="N7" s="314"/>
      <c r="O7" s="313"/>
      <c r="P7" s="313"/>
      <c r="Q7" s="314"/>
      <c r="R7" s="281">
        <v>72373</v>
      </c>
    </row>
    <row r="8" spans="1:18">
      <c r="A8" t="s">
        <v>206</v>
      </c>
      <c r="B8" s="312"/>
      <c r="C8" s="311"/>
      <c r="D8" s="311"/>
      <c r="E8" s="311"/>
      <c r="F8" s="311"/>
      <c r="G8" s="311"/>
      <c r="H8" s="311"/>
      <c r="I8" s="311"/>
      <c r="J8" s="311"/>
      <c r="K8" s="311"/>
      <c r="L8" s="311"/>
      <c r="M8" s="311"/>
      <c r="N8" s="312"/>
      <c r="O8" s="316">
        <v>34</v>
      </c>
      <c r="P8" s="311"/>
      <c r="Q8" s="312"/>
      <c r="R8" s="282">
        <v>34</v>
      </c>
    </row>
    <row r="9" spans="1:18">
      <c r="A9" t="s">
        <v>271</v>
      </c>
      <c r="B9" s="314"/>
      <c r="C9" s="313"/>
      <c r="D9" s="313"/>
      <c r="E9" s="313"/>
      <c r="F9" s="313"/>
      <c r="G9" s="313"/>
      <c r="H9" s="313"/>
      <c r="I9" s="313"/>
      <c r="J9" s="313"/>
      <c r="K9" s="313"/>
      <c r="L9" s="313"/>
      <c r="M9" s="313"/>
      <c r="N9" s="314"/>
      <c r="O9" s="317">
        <v>3464</v>
      </c>
      <c r="P9" s="313"/>
      <c r="Q9" s="314"/>
      <c r="R9" s="281">
        <v>3464</v>
      </c>
    </row>
    <row r="10" spans="1:18">
      <c r="A10" t="s">
        <v>272</v>
      </c>
      <c r="B10" s="312"/>
      <c r="C10" s="311"/>
      <c r="D10" s="311"/>
      <c r="E10" s="311"/>
      <c r="F10" s="311"/>
      <c r="G10" s="311"/>
      <c r="H10" s="311"/>
      <c r="I10" s="311"/>
      <c r="J10" s="311"/>
      <c r="K10" s="316">
        <v>588</v>
      </c>
      <c r="L10" s="311"/>
      <c r="M10" s="311"/>
      <c r="N10" s="312"/>
      <c r="O10" s="311"/>
      <c r="P10" s="311"/>
      <c r="Q10" s="312"/>
      <c r="R10" s="282">
        <v>588</v>
      </c>
    </row>
    <row r="11" spans="1:18">
      <c r="A11" t="s">
        <v>182</v>
      </c>
      <c r="B11" s="314"/>
      <c r="C11" s="313"/>
      <c r="D11" s="313"/>
      <c r="E11" s="313"/>
      <c r="F11" s="317">
        <v>8</v>
      </c>
      <c r="G11" s="313"/>
      <c r="H11" s="317">
        <v>24778</v>
      </c>
      <c r="I11" s="313"/>
      <c r="J11" s="313"/>
      <c r="K11" s="313"/>
      <c r="L11" s="313"/>
      <c r="M11" s="313"/>
      <c r="N11" s="314"/>
      <c r="O11" s="313"/>
      <c r="P11" s="313"/>
      <c r="Q11" s="314"/>
      <c r="R11" s="281">
        <v>24786</v>
      </c>
    </row>
    <row r="12" spans="1:18">
      <c r="A12" t="s">
        <v>273</v>
      </c>
      <c r="B12" s="312"/>
      <c r="C12" s="311"/>
      <c r="D12" s="311"/>
      <c r="E12" s="311"/>
      <c r="F12" s="316">
        <v>759</v>
      </c>
      <c r="G12" s="311"/>
      <c r="H12" s="311"/>
      <c r="I12" s="311"/>
      <c r="J12" s="311"/>
      <c r="K12" s="311"/>
      <c r="L12" s="311"/>
      <c r="M12" s="311"/>
      <c r="N12" s="312"/>
      <c r="O12" s="311"/>
      <c r="P12" s="311"/>
      <c r="Q12" s="312"/>
      <c r="R12" s="280"/>
    </row>
    <row r="13" spans="1:18">
      <c r="A13" t="s">
        <v>274</v>
      </c>
      <c r="B13" s="314"/>
      <c r="C13" s="313"/>
      <c r="D13" s="313"/>
      <c r="E13" s="313"/>
      <c r="F13" s="317">
        <v>5</v>
      </c>
      <c r="G13" s="313"/>
      <c r="H13" s="317">
        <v>23177</v>
      </c>
      <c r="I13" s="313"/>
      <c r="J13" s="313"/>
      <c r="K13" s="313"/>
      <c r="L13" s="313"/>
      <c r="M13" s="313"/>
      <c r="N13" s="314"/>
      <c r="O13" s="313"/>
      <c r="P13" s="313"/>
      <c r="Q13" s="314"/>
      <c r="R13" s="281">
        <v>23182</v>
      </c>
    </row>
    <row r="14" spans="1:18">
      <c r="A14" t="s">
        <v>275</v>
      </c>
      <c r="B14" s="312"/>
      <c r="C14" s="311"/>
      <c r="D14" s="311"/>
      <c r="E14" s="311"/>
      <c r="F14" s="316">
        <v>436</v>
      </c>
      <c r="G14" s="311"/>
      <c r="H14" s="311"/>
      <c r="I14" s="311"/>
      <c r="J14" s="311"/>
      <c r="K14" s="311"/>
      <c r="L14" s="311"/>
      <c r="M14" s="311"/>
      <c r="N14" s="312"/>
      <c r="O14" s="311"/>
      <c r="P14" s="311"/>
      <c r="Q14" s="312"/>
      <c r="R14" s="280"/>
    </row>
    <row r="15" spans="1:18">
      <c r="A15" t="s">
        <v>200</v>
      </c>
      <c r="B15" s="314"/>
      <c r="C15" s="313"/>
      <c r="D15" s="313"/>
      <c r="E15" s="313"/>
      <c r="F15" s="317">
        <v>31</v>
      </c>
      <c r="G15" s="313"/>
      <c r="H15" s="317">
        <v>167019</v>
      </c>
      <c r="I15" s="313"/>
      <c r="J15" s="313"/>
      <c r="K15" s="313"/>
      <c r="L15" s="313"/>
      <c r="M15" s="313"/>
      <c r="N15" s="314"/>
      <c r="O15" s="313"/>
      <c r="P15" s="313"/>
      <c r="Q15" s="314"/>
      <c r="R15" s="281">
        <v>167050</v>
      </c>
    </row>
    <row r="16" spans="1:18">
      <c r="A16" t="s">
        <v>276</v>
      </c>
      <c r="B16" s="312"/>
      <c r="C16" s="311"/>
      <c r="D16" s="311"/>
      <c r="E16" s="311"/>
      <c r="F16" s="316">
        <v>3125</v>
      </c>
      <c r="G16" s="311"/>
      <c r="H16" s="311"/>
      <c r="I16" s="311"/>
      <c r="J16" s="311"/>
      <c r="K16" s="311"/>
      <c r="L16" s="311"/>
      <c r="M16" s="311"/>
      <c r="N16" s="312"/>
      <c r="O16" s="311"/>
      <c r="P16" s="311"/>
      <c r="Q16" s="312"/>
      <c r="R16" s="280"/>
    </row>
    <row r="17" spans="1:18">
      <c r="A17" s="107" t="s">
        <v>204</v>
      </c>
      <c r="B17" s="382"/>
      <c r="C17" s="383"/>
      <c r="D17" s="383"/>
      <c r="E17" s="383"/>
      <c r="F17" s="383"/>
      <c r="G17" s="383"/>
      <c r="H17" s="383"/>
      <c r="I17" s="383"/>
      <c r="J17" s="383"/>
      <c r="K17" s="383"/>
      <c r="L17" s="383"/>
      <c r="M17" s="381">
        <v>-5766</v>
      </c>
      <c r="N17" s="314"/>
      <c r="O17" s="313"/>
      <c r="P17" s="313"/>
      <c r="Q17" s="314"/>
      <c r="R17" s="283">
        <v>-5766</v>
      </c>
    </row>
    <row r="18" spans="1:18">
      <c r="A18" t="s">
        <v>197</v>
      </c>
      <c r="B18" s="312"/>
      <c r="C18" s="311"/>
      <c r="D18" s="364">
        <v>-160114</v>
      </c>
      <c r="E18" s="311"/>
      <c r="F18" s="311"/>
      <c r="G18" s="311"/>
      <c r="H18" s="364">
        <v>-283637</v>
      </c>
      <c r="I18" s="311"/>
      <c r="J18" s="311"/>
      <c r="K18" s="311"/>
      <c r="L18" s="311"/>
      <c r="M18" s="311"/>
      <c r="N18" s="312"/>
      <c r="O18" s="311"/>
      <c r="P18" s="311"/>
      <c r="Q18" s="312"/>
      <c r="R18" s="285">
        <v>-283637</v>
      </c>
    </row>
    <row r="19" spans="1:18">
      <c r="A19" t="s">
        <v>277</v>
      </c>
      <c r="B19" s="314"/>
      <c r="C19" s="313"/>
      <c r="D19" s="317">
        <v>150</v>
      </c>
      <c r="E19" s="313"/>
      <c r="F19" s="313"/>
      <c r="G19" s="313"/>
      <c r="H19" s="313"/>
      <c r="I19" s="313"/>
      <c r="J19" s="313"/>
      <c r="K19" s="313"/>
      <c r="L19" s="313"/>
      <c r="M19" s="313"/>
      <c r="N19" s="314"/>
      <c r="O19" s="313"/>
      <c r="P19" s="313"/>
      <c r="Q19" s="314"/>
      <c r="R19" s="284"/>
    </row>
    <row r="20" spans="1:18">
      <c r="A20" t="s">
        <v>278</v>
      </c>
      <c r="B20" s="312"/>
      <c r="C20" s="311"/>
      <c r="D20" s="364">
        <v>-53371</v>
      </c>
      <c r="E20" s="311"/>
      <c r="F20" s="316">
        <v>24</v>
      </c>
      <c r="G20" s="311"/>
      <c r="H20" s="316">
        <v>53273</v>
      </c>
      <c r="I20" s="311"/>
      <c r="J20" s="311"/>
      <c r="K20" s="311"/>
      <c r="L20" s="311"/>
      <c r="M20" s="311"/>
      <c r="N20" s="312"/>
      <c r="O20" s="311"/>
      <c r="P20" s="311"/>
      <c r="Q20" s="312"/>
      <c r="R20" s="282">
        <v>53297</v>
      </c>
    </row>
    <row r="21" spans="1:18">
      <c r="A21" t="s">
        <v>279</v>
      </c>
      <c r="B21" s="314"/>
      <c r="C21" s="313"/>
      <c r="D21" s="366">
        <v>-50</v>
      </c>
      <c r="E21" s="313"/>
      <c r="F21" s="317">
        <v>2401</v>
      </c>
      <c r="G21" s="313"/>
      <c r="H21" s="313"/>
      <c r="I21" s="313"/>
      <c r="J21" s="313"/>
      <c r="K21" s="313"/>
      <c r="L21" s="313"/>
      <c r="M21" s="313"/>
      <c r="N21" s="314"/>
      <c r="O21" s="313"/>
      <c r="P21" s="313"/>
      <c r="Q21" s="314"/>
      <c r="R21" s="284"/>
    </row>
    <row r="22" spans="1:18">
      <c r="A22" t="s">
        <v>280</v>
      </c>
      <c r="B22" s="312"/>
      <c r="C22" s="311"/>
      <c r="D22" s="311"/>
      <c r="E22" s="311"/>
      <c r="F22" s="311"/>
      <c r="G22" s="311"/>
      <c r="H22" s="311"/>
      <c r="I22" s="311"/>
      <c r="J22" s="311"/>
      <c r="K22" s="364">
        <v>-13591</v>
      </c>
      <c r="L22" s="311"/>
      <c r="M22" s="311"/>
      <c r="N22" s="312"/>
      <c r="O22" s="311"/>
      <c r="P22" s="311"/>
      <c r="Q22" s="312"/>
      <c r="R22" s="285">
        <v>-13591</v>
      </c>
    </row>
    <row r="23" spans="1:18">
      <c r="A23" t="s">
        <v>281</v>
      </c>
      <c r="B23" s="314"/>
      <c r="C23" s="313"/>
      <c r="D23" s="313"/>
      <c r="E23" s="313"/>
      <c r="F23" s="313"/>
      <c r="G23" s="313"/>
      <c r="H23" s="313"/>
      <c r="I23" s="313"/>
      <c r="J23" s="313"/>
      <c r="K23" s="366">
        <v>-5070</v>
      </c>
      <c r="L23" s="313"/>
      <c r="M23" s="313"/>
      <c r="N23" s="314"/>
      <c r="O23" s="313"/>
      <c r="P23" s="313"/>
      <c r="Q23" s="314"/>
      <c r="R23" s="283">
        <v>-5070</v>
      </c>
    </row>
    <row r="24" spans="1:18" s="375" customFormat="1">
      <c r="A24" s="375" t="s">
        <v>282</v>
      </c>
      <c r="B24" s="370"/>
      <c r="C24" s="371"/>
      <c r="D24" s="371"/>
      <c r="E24" s="371"/>
      <c r="F24" s="372">
        <v>1054</v>
      </c>
      <c r="G24" s="371"/>
      <c r="H24" s="372">
        <v>862758</v>
      </c>
      <c r="I24" s="371"/>
      <c r="J24" s="371"/>
      <c r="K24" s="372">
        <v>1169150</v>
      </c>
      <c r="L24" s="371"/>
      <c r="M24" s="373">
        <v>-1702509</v>
      </c>
      <c r="N24" s="370"/>
      <c r="O24" s="373">
        <v>-287</v>
      </c>
      <c r="P24" s="371"/>
      <c r="Q24" s="370"/>
      <c r="R24" s="374">
        <v>330166</v>
      </c>
    </row>
    <row r="25" spans="1:18" s="375" customFormat="1">
      <c r="A25" s="375" t="s">
        <v>283</v>
      </c>
      <c r="B25" s="370"/>
      <c r="C25" s="371"/>
      <c r="D25" s="371"/>
      <c r="E25" s="371"/>
      <c r="F25" s="372">
        <v>105366</v>
      </c>
      <c r="G25" s="371"/>
      <c r="H25" s="371"/>
      <c r="I25" s="371"/>
      <c r="J25" s="371"/>
      <c r="K25" s="371"/>
      <c r="L25" s="371"/>
      <c r="M25" s="371"/>
      <c r="N25" s="370"/>
      <c r="O25" s="371"/>
      <c r="P25" s="371"/>
      <c r="Q25" s="370"/>
      <c r="R25" s="376"/>
    </row>
    <row r="26" spans="1:18">
      <c r="A26" t="s">
        <v>270</v>
      </c>
      <c r="B26" s="312"/>
      <c r="C26" s="311"/>
      <c r="D26" s="311"/>
      <c r="E26" s="311"/>
      <c r="F26" s="311"/>
      <c r="G26" s="311"/>
      <c r="H26" s="311"/>
      <c r="I26" s="311"/>
      <c r="J26" s="311"/>
      <c r="K26" s="311"/>
      <c r="L26" s="311"/>
      <c r="M26" s="311"/>
      <c r="N26" s="312"/>
      <c r="O26" s="311"/>
      <c r="P26" s="311"/>
      <c r="Q26" s="312"/>
      <c r="R26" s="280"/>
    </row>
    <row r="27" spans="1:18">
      <c r="A27" t="s">
        <v>66</v>
      </c>
      <c r="B27" s="314"/>
      <c r="C27" s="313"/>
      <c r="D27" s="313"/>
      <c r="E27" s="313"/>
      <c r="F27" s="313"/>
      <c r="G27" s="313"/>
      <c r="H27" s="313"/>
      <c r="I27" s="313"/>
      <c r="J27" s="313"/>
      <c r="K27" s="317">
        <v>43123</v>
      </c>
      <c r="L27" s="313"/>
      <c r="M27" s="313"/>
      <c r="N27" s="314"/>
      <c r="O27" s="313"/>
      <c r="P27" s="313"/>
      <c r="Q27" s="314"/>
      <c r="R27" s="281">
        <v>43123</v>
      </c>
    </row>
    <row r="28" spans="1:18">
      <c r="A28" t="s">
        <v>206</v>
      </c>
      <c r="B28" s="312"/>
      <c r="C28" s="311"/>
      <c r="D28" s="311"/>
      <c r="E28" s="311"/>
      <c r="F28" s="311"/>
      <c r="G28" s="311"/>
      <c r="H28" s="311"/>
      <c r="I28" s="311"/>
      <c r="J28" s="311"/>
      <c r="K28" s="311"/>
      <c r="L28" s="311"/>
      <c r="M28" s="311"/>
      <c r="N28" s="312"/>
      <c r="O28" s="364">
        <v>-695</v>
      </c>
      <c r="P28" s="311"/>
      <c r="Q28" s="312"/>
      <c r="R28" s="285">
        <v>-695</v>
      </c>
    </row>
    <row r="29" spans="1:18">
      <c r="A29" t="s">
        <v>272</v>
      </c>
      <c r="B29" s="314"/>
      <c r="C29" s="313"/>
      <c r="D29" s="313"/>
      <c r="E29" s="313"/>
      <c r="F29" s="313"/>
      <c r="G29" s="313"/>
      <c r="H29" s="313"/>
      <c r="I29" s="313"/>
      <c r="J29" s="313"/>
      <c r="K29" s="366">
        <v>-42195</v>
      </c>
      <c r="L29" s="313"/>
      <c r="M29" s="313"/>
      <c r="N29" s="314"/>
      <c r="O29" s="313"/>
      <c r="P29" s="313"/>
      <c r="Q29" s="314"/>
      <c r="R29" s="283">
        <v>-42195</v>
      </c>
    </row>
    <row r="30" spans="1:18">
      <c r="A30" t="s">
        <v>182</v>
      </c>
      <c r="B30" s="312"/>
      <c r="C30" s="311"/>
      <c r="D30" s="311"/>
      <c r="E30" s="311"/>
      <c r="F30" s="316">
        <v>8</v>
      </c>
      <c r="G30" s="311"/>
      <c r="H30" s="316">
        <v>24644</v>
      </c>
      <c r="I30" s="311"/>
      <c r="J30" s="311"/>
      <c r="K30" s="311"/>
      <c r="L30" s="311"/>
      <c r="M30" s="311"/>
      <c r="N30" s="312"/>
      <c r="O30" s="311"/>
      <c r="P30" s="311"/>
      <c r="Q30" s="312"/>
      <c r="R30" s="282">
        <v>24652</v>
      </c>
    </row>
    <row r="31" spans="1:18">
      <c r="A31" t="s">
        <v>273</v>
      </c>
      <c r="B31" s="314"/>
      <c r="C31" s="313"/>
      <c r="D31" s="313"/>
      <c r="E31" s="313"/>
      <c r="F31" s="317">
        <v>788</v>
      </c>
      <c r="G31" s="313"/>
      <c r="H31" s="313"/>
      <c r="I31" s="313"/>
      <c r="J31" s="313"/>
      <c r="K31" s="313"/>
      <c r="L31" s="313"/>
      <c r="M31" s="313"/>
      <c r="N31" s="314"/>
      <c r="O31" s="313"/>
      <c r="P31" s="313"/>
      <c r="Q31" s="314"/>
      <c r="R31" s="284"/>
    </row>
    <row r="32" spans="1:18">
      <c r="A32" t="s">
        <v>274</v>
      </c>
      <c r="B32" s="312"/>
      <c r="C32" s="311"/>
      <c r="D32" s="311"/>
      <c r="E32" s="311"/>
      <c r="F32" s="316">
        <v>1</v>
      </c>
      <c r="G32" s="311"/>
      <c r="H32" s="316">
        <v>83</v>
      </c>
      <c r="I32" s="311"/>
      <c r="J32" s="311"/>
      <c r="K32" s="311"/>
      <c r="L32" s="311"/>
      <c r="M32" s="311"/>
      <c r="N32" s="312"/>
      <c r="O32" s="311"/>
      <c r="P32" s="311"/>
      <c r="Q32" s="312"/>
      <c r="R32" s="282">
        <v>84</v>
      </c>
    </row>
    <row r="33" spans="1:18">
      <c r="A33" t="s">
        <v>275</v>
      </c>
      <c r="B33" s="314"/>
      <c r="C33" s="313"/>
      <c r="D33" s="313"/>
      <c r="E33" s="313"/>
      <c r="F33" s="317">
        <v>169</v>
      </c>
      <c r="G33" s="313"/>
      <c r="H33" s="313"/>
      <c r="I33" s="313"/>
      <c r="J33" s="313"/>
      <c r="K33" s="313"/>
      <c r="L33" s="313"/>
      <c r="M33" s="313"/>
      <c r="N33" s="314"/>
      <c r="O33" s="313"/>
      <c r="P33" s="313"/>
      <c r="Q33" s="314"/>
      <c r="R33" s="284"/>
    </row>
    <row r="34" spans="1:18">
      <c r="A34" t="s">
        <v>204</v>
      </c>
      <c r="B34" s="312"/>
      <c r="C34" s="311"/>
      <c r="D34" s="311"/>
      <c r="E34" s="311"/>
      <c r="F34" s="311"/>
      <c r="G34" s="311"/>
      <c r="H34" s="311"/>
      <c r="I34" s="311"/>
      <c r="J34" s="311"/>
      <c r="K34" s="311"/>
      <c r="L34" s="311"/>
      <c r="M34" s="381">
        <v>-63132</v>
      </c>
      <c r="N34" s="312"/>
      <c r="O34" s="311"/>
      <c r="P34" s="311"/>
      <c r="Q34" s="312"/>
      <c r="R34" s="285">
        <v>-63132</v>
      </c>
    </row>
    <row r="35" spans="1:18" s="375" customFormat="1">
      <c r="A35" s="375" t="s">
        <v>284</v>
      </c>
      <c r="B35" s="370"/>
      <c r="C35" s="371"/>
      <c r="D35" s="371"/>
      <c r="E35" s="371"/>
      <c r="F35" s="372">
        <v>1063</v>
      </c>
      <c r="G35" s="371"/>
      <c r="H35" s="372">
        <v>887485</v>
      </c>
      <c r="I35" s="371"/>
      <c r="J35" s="371"/>
      <c r="K35" s="372">
        <v>1170078</v>
      </c>
      <c r="L35" s="371"/>
      <c r="M35" s="373">
        <v>-1765641</v>
      </c>
      <c r="N35" s="370"/>
      <c r="O35" s="373">
        <v>-982</v>
      </c>
      <c r="P35" s="371"/>
      <c r="Q35" s="370"/>
      <c r="R35" s="374">
        <v>292003</v>
      </c>
    </row>
    <row r="36" spans="1:18" s="375" customFormat="1">
      <c r="A36" s="375" t="s">
        <v>285</v>
      </c>
      <c r="B36" s="370"/>
      <c r="C36" s="371"/>
      <c r="D36" s="371"/>
      <c r="E36" s="371"/>
      <c r="F36" s="372">
        <v>106323</v>
      </c>
      <c r="G36" s="371"/>
      <c r="H36" s="371"/>
      <c r="I36" s="371"/>
      <c r="J36" s="371"/>
      <c r="K36" s="371"/>
      <c r="L36" s="371"/>
      <c r="M36" s="371"/>
      <c r="N36" s="370"/>
      <c r="O36" s="371"/>
      <c r="P36" s="371"/>
      <c r="Q36" s="370"/>
      <c r="R36" s="376"/>
    </row>
    <row r="37" spans="1:18">
      <c r="A37" t="s">
        <v>270</v>
      </c>
      <c r="B37" s="314"/>
      <c r="C37" s="313"/>
      <c r="D37" s="313"/>
      <c r="E37" s="313"/>
      <c r="F37" s="313"/>
      <c r="G37" s="313"/>
      <c r="H37" s="313"/>
      <c r="I37" s="313"/>
      <c r="J37" s="313"/>
      <c r="K37" s="313"/>
      <c r="L37" s="313"/>
      <c r="M37" s="313"/>
      <c r="N37" s="314"/>
      <c r="O37" s="313"/>
      <c r="P37" s="313"/>
      <c r="Q37" s="314"/>
      <c r="R37" s="284"/>
    </row>
    <row r="38" spans="1:18">
      <c r="A38" t="s">
        <v>66</v>
      </c>
      <c r="B38" s="312"/>
      <c r="C38" s="311"/>
      <c r="D38" s="311"/>
      <c r="E38" s="311"/>
      <c r="F38" s="311"/>
      <c r="G38" s="311"/>
      <c r="H38" s="311"/>
      <c r="I38" s="311"/>
      <c r="J38" s="311"/>
      <c r="K38" s="316">
        <v>101351</v>
      </c>
      <c r="L38" s="311"/>
      <c r="M38" s="311"/>
      <c r="N38" s="312"/>
      <c r="O38" s="311"/>
      <c r="P38" s="311"/>
      <c r="Q38" s="312"/>
      <c r="R38" s="282">
        <v>101351</v>
      </c>
    </row>
    <row r="39" spans="1:18">
      <c r="A39" t="s">
        <v>206</v>
      </c>
      <c r="B39" s="314"/>
      <c r="C39" s="313"/>
      <c r="D39" s="313"/>
      <c r="E39" s="313"/>
      <c r="F39" s="313"/>
      <c r="G39" s="313"/>
      <c r="H39" s="313"/>
      <c r="I39" s="313"/>
      <c r="J39" s="313"/>
      <c r="K39" s="313"/>
      <c r="L39" s="313"/>
      <c r="M39" s="313"/>
      <c r="N39" s="314"/>
      <c r="O39" s="317">
        <v>288</v>
      </c>
      <c r="P39" s="313"/>
      <c r="Q39" s="314"/>
      <c r="R39" s="281">
        <v>288</v>
      </c>
    </row>
    <row r="40" spans="1:18">
      <c r="A40" t="s">
        <v>272</v>
      </c>
      <c r="B40" s="312"/>
      <c r="C40" s="311"/>
      <c r="D40" s="311"/>
      <c r="E40" s="311"/>
      <c r="F40" s="311"/>
      <c r="G40" s="311"/>
      <c r="H40" s="311"/>
      <c r="I40" s="311"/>
      <c r="J40" s="311"/>
      <c r="K40" s="364">
        <v>-55190</v>
      </c>
      <c r="L40" s="311"/>
      <c r="M40" s="311"/>
      <c r="N40" s="312"/>
      <c r="O40" s="311"/>
      <c r="P40" s="311"/>
      <c r="Q40" s="312"/>
      <c r="R40" s="285">
        <v>-55190</v>
      </c>
    </row>
    <row r="41" spans="1:18">
      <c r="A41" t="s">
        <v>182</v>
      </c>
      <c r="B41" s="314"/>
      <c r="C41" s="313"/>
      <c r="D41" s="313"/>
      <c r="E41" s="313"/>
      <c r="F41" s="317">
        <v>9</v>
      </c>
      <c r="G41" s="313"/>
      <c r="H41" s="317">
        <v>25957</v>
      </c>
      <c r="I41" s="313"/>
      <c r="J41" s="313"/>
      <c r="K41" s="313"/>
      <c r="L41" s="313"/>
      <c r="M41" s="313"/>
      <c r="N41" s="314"/>
      <c r="O41" s="313"/>
      <c r="P41" s="313"/>
      <c r="Q41" s="314"/>
      <c r="R41" s="281">
        <v>25966</v>
      </c>
    </row>
    <row r="42" spans="1:18">
      <c r="A42" t="s">
        <v>273</v>
      </c>
      <c r="B42" s="312"/>
      <c r="C42" s="311"/>
      <c r="D42" s="311"/>
      <c r="E42" s="311"/>
      <c r="F42" s="316">
        <v>872</v>
      </c>
      <c r="G42" s="311"/>
      <c r="H42" s="311"/>
      <c r="I42" s="311"/>
      <c r="J42" s="311"/>
      <c r="K42" s="311"/>
      <c r="L42" s="311"/>
      <c r="M42" s="311"/>
      <c r="N42" s="312"/>
      <c r="O42" s="311"/>
      <c r="P42" s="311"/>
      <c r="Q42" s="312"/>
      <c r="R42" s="280"/>
    </row>
    <row r="43" spans="1:18">
      <c r="A43" t="s">
        <v>204</v>
      </c>
      <c r="B43" s="314"/>
      <c r="C43" s="313"/>
      <c r="D43" s="313"/>
      <c r="E43" s="313"/>
      <c r="F43" s="313"/>
      <c r="G43" s="313"/>
      <c r="H43" s="313"/>
      <c r="I43" s="313"/>
      <c r="J43" s="313"/>
      <c r="K43" s="313"/>
      <c r="L43" s="313"/>
      <c r="M43" s="381">
        <v>-46356</v>
      </c>
      <c r="N43" s="314"/>
      <c r="O43" s="313"/>
      <c r="P43" s="313"/>
      <c r="Q43" s="314"/>
      <c r="R43" s="283">
        <v>-46356</v>
      </c>
    </row>
    <row r="44" spans="1:18" s="375" customFormat="1">
      <c r="A44" s="375" t="s">
        <v>286</v>
      </c>
      <c r="B44" s="370"/>
      <c r="C44" s="371"/>
      <c r="D44" s="371"/>
      <c r="E44" s="371"/>
      <c r="F44" s="372">
        <v>1072</v>
      </c>
      <c r="G44" s="371"/>
      <c r="H44" s="372">
        <v>913442</v>
      </c>
      <c r="I44" s="371"/>
      <c r="J44" s="371"/>
      <c r="K44" s="372">
        <v>1216239</v>
      </c>
      <c r="L44" s="371"/>
      <c r="M44" s="373">
        <v>-1811997</v>
      </c>
      <c r="N44" s="370"/>
      <c r="O44" s="373">
        <v>-694</v>
      </c>
      <c r="P44" s="371"/>
      <c r="Q44" s="370"/>
      <c r="R44" s="374">
        <v>318062</v>
      </c>
    </row>
    <row r="45" spans="1:18" s="375" customFormat="1" ht="15" thickBot="1">
      <c r="A45" s="375" t="s">
        <v>287</v>
      </c>
      <c r="B45" s="377"/>
      <c r="C45" s="378"/>
      <c r="D45" s="378"/>
      <c r="E45" s="378"/>
      <c r="F45" s="379">
        <v>107195</v>
      </c>
      <c r="G45" s="378"/>
      <c r="H45" s="378"/>
      <c r="I45" s="378"/>
      <c r="J45" s="378"/>
      <c r="K45" s="378"/>
      <c r="L45" s="378"/>
      <c r="M45" s="378"/>
      <c r="N45" s="377"/>
      <c r="O45" s="378"/>
      <c r="P45" s="378"/>
      <c r="Q45" s="377"/>
      <c r="R45" s="380"/>
    </row>
  </sheetData>
  <mergeCells count="8">
    <mergeCell ref="Q1:Q3"/>
    <mergeCell ref="R1:R3"/>
    <mergeCell ref="F1:F3"/>
    <mergeCell ref="H1:H3"/>
    <mergeCell ref="K1:K3"/>
    <mergeCell ref="M1:M3"/>
    <mergeCell ref="O1:O3"/>
    <mergeCell ref="P1:P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5E371-81E1-401A-8B82-EF4756D6FBA2}">
  <sheetPr codeName="Sheet6">
    <tabColor theme="7" tint="0.39997558519241921"/>
  </sheetPr>
  <dimension ref="B1:U55"/>
  <sheetViews>
    <sheetView zoomScale="80" zoomScaleNormal="80" workbookViewId="0">
      <selection activeCell="O13" sqref="O13"/>
    </sheetView>
  </sheetViews>
  <sheetFormatPr defaultColWidth="9.08984375" defaultRowHeight="11.5"/>
  <cols>
    <col min="1" max="1" width="2" style="4" customWidth="1"/>
    <col min="2" max="2" width="40.08984375" style="4" customWidth="1"/>
    <col min="3" max="3" width="11.1796875" style="4" hidden="1" customWidth="1"/>
    <col min="4" max="4" width="11.453125" style="4" bestFit="1" customWidth="1"/>
    <col min="5" max="5" width="11" style="4" bestFit="1" customWidth="1"/>
    <col min="6" max="6" width="10.81640625" style="4" bestFit="1" customWidth="1"/>
    <col min="7" max="7" width="2" style="4" customWidth="1"/>
    <col min="8" max="8" width="12.453125" style="4" bestFit="1" customWidth="1"/>
    <col min="9" max="12" width="11.26953125" style="4" bestFit="1" customWidth="1"/>
    <col min="13" max="13" width="2" style="4" customWidth="1"/>
    <col min="14" max="14" width="9.08984375" style="437"/>
    <col min="15" max="18" width="9.08984375" style="4"/>
    <col min="19" max="19" width="22.1796875" style="4" customWidth="1"/>
    <col min="20" max="20" width="10.54296875" style="4" bestFit="1" customWidth="1"/>
    <col min="21" max="21" width="11.453125" style="4" bestFit="1" customWidth="1"/>
    <col min="22" max="16384" width="9.08984375" style="4"/>
  </cols>
  <sheetData>
    <row r="1" spans="2:21" ht="15.5">
      <c r="B1" s="3" t="s">
        <v>237</v>
      </c>
    </row>
    <row r="3" spans="2:21" ht="23.5" thickBot="1">
      <c r="B3" s="13" t="s">
        <v>19</v>
      </c>
      <c r="C3" s="14" t="s">
        <v>92</v>
      </c>
      <c r="D3" s="14" t="s">
        <v>93</v>
      </c>
      <c r="E3" s="14" t="s">
        <v>94</v>
      </c>
      <c r="F3" s="14" t="s">
        <v>95</v>
      </c>
      <c r="G3" s="17"/>
      <c r="H3" s="15" t="s">
        <v>97</v>
      </c>
      <c r="I3" s="15" t="s">
        <v>98</v>
      </c>
      <c r="J3" s="15" t="s">
        <v>99</v>
      </c>
      <c r="K3" s="15" t="s">
        <v>100</v>
      </c>
      <c r="L3" s="15" t="s">
        <v>101</v>
      </c>
      <c r="N3" s="443" t="s">
        <v>21</v>
      </c>
    </row>
    <row r="4" spans="2:21" ht="14" customHeight="1">
      <c r="B4" s="19" t="s">
        <v>25</v>
      </c>
      <c r="C4" s="17"/>
      <c r="D4" s="17">
        <f>'P&amp;L'!D4</f>
        <v>3303156</v>
      </c>
      <c r="E4" s="17">
        <f>'P&amp;L'!E4</f>
        <v>3439503</v>
      </c>
      <c r="F4" s="17">
        <f>'P&amp;L'!F4</f>
        <v>1795265</v>
      </c>
      <c r="G4" s="17"/>
      <c r="H4" s="133">
        <f>'P&amp;L'!H4</f>
        <v>3770056.5</v>
      </c>
      <c r="I4" s="133">
        <f>'P&amp;L'!I4</f>
        <v>3958559.3250000002</v>
      </c>
      <c r="J4" s="133">
        <f>'P&amp;L'!J4</f>
        <v>4156487.2912500002</v>
      </c>
      <c r="K4" s="133">
        <f>'P&amp;L'!K4</f>
        <v>4364311.6558125</v>
      </c>
      <c r="L4" s="133">
        <f>'P&amp;L'!L4</f>
        <v>4582527.2386031253</v>
      </c>
      <c r="N4" s="449"/>
      <c r="T4" s="57"/>
      <c r="U4" s="57"/>
    </row>
    <row r="5" spans="2:21" ht="14" customHeight="1">
      <c r="B5" s="57" t="s">
        <v>238</v>
      </c>
      <c r="C5" s="21">
        <f>'PrelimSE_20-24'!R2</f>
        <v>288693</v>
      </c>
      <c r="D5" s="21">
        <f>C12</f>
        <v>330166</v>
      </c>
      <c r="E5" s="21">
        <f t="shared" ref="E5:F5" si="0">D12</f>
        <v>292003</v>
      </c>
      <c r="F5" s="21">
        <f t="shared" si="0"/>
        <v>318062</v>
      </c>
      <c r="H5" s="21">
        <f>F12</f>
        <v>373980</v>
      </c>
      <c r="I5" s="21">
        <f>H12</f>
        <v>468215.88534632575</v>
      </c>
      <c r="J5" s="21">
        <f t="shared" ref="J5:L5" si="1">I12</f>
        <v>561535.26815648703</v>
      </c>
      <c r="K5" s="21">
        <f t="shared" si="1"/>
        <v>653905.45356518647</v>
      </c>
      <c r="L5" s="21">
        <f t="shared" si="1"/>
        <v>745094.7895029824</v>
      </c>
    </row>
    <row r="6" spans="2:21" ht="14" customHeight="1">
      <c r="B6" s="67" t="s">
        <v>66</v>
      </c>
      <c r="C6" s="21">
        <f>'PrelimSE_20-24'!R5</f>
        <v>72373</v>
      </c>
      <c r="D6" s="21">
        <f>'PrelimSE_20-24'!R25</f>
        <v>43123</v>
      </c>
      <c r="E6" s="21">
        <f>'PrelimSE_20-24'!R36</f>
        <v>101351</v>
      </c>
      <c r="F6" s="21">
        <f>'PrelimSE_20-24'!G97</f>
        <v>85635</v>
      </c>
      <c r="H6" s="21">
        <f>'P&amp;L'!H25</f>
        <v>117511.78947200008</v>
      </c>
      <c r="I6" s="21">
        <f>'P&amp;L'!I25</f>
        <v>122181.3814529001</v>
      </c>
      <c r="J6" s="21">
        <f>'P&amp;L'!J25</f>
        <v>127006.07355820992</v>
      </c>
      <c r="K6" s="21">
        <f>'P&amp;L'!K25</f>
        <v>131989.70182041882</v>
      </c>
      <c r="L6" s="21">
        <f>'P&amp;L'!L25</f>
        <v>137136.0981249529</v>
      </c>
    </row>
    <row r="7" spans="2:21" ht="14" customHeight="1">
      <c r="B7" s="67" t="s">
        <v>345</v>
      </c>
      <c r="C7" s="21"/>
      <c r="D7" s="21">
        <f>'PrelimSE_20-24'!R28</f>
        <v>24652</v>
      </c>
      <c r="E7" s="21">
        <f>'PrelimSE_20-24'!R39</f>
        <v>25966</v>
      </c>
      <c r="F7" s="21">
        <f>'PrelimSE_20-24'!G100</f>
        <v>14580</v>
      </c>
      <c r="H7" s="21">
        <f>H4*H34</f>
        <v>28461.462914554806</v>
      </c>
      <c r="I7" s="21">
        <f>I4*I49</f>
        <v>29689.1949375</v>
      </c>
      <c r="J7" s="21">
        <f>J4*J49</f>
        <v>31173.654684375</v>
      </c>
      <c r="K7" s="21">
        <f>K4*K49</f>
        <v>32732.33741859375</v>
      </c>
      <c r="L7" s="21">
        <f>L4*L49</f>
        <v>34368.954289523441</v>
      </c>
    </row>
    <row r="8" spans="2:21" ht="14" customHeight="1">
      <c r="B8" s="67" t="s">
        <v>288</v>
      </c>
      <c r="C8" s="21"/>
      <c r="D8" s="21">
        <f>'PrelimSE_20-24'!R26</f>
        <v>-695</v>
      </c>
      <c r="E8" s="21">
        <f>'PrelimSE_20-24'!R37</f>
        <v>288</v>
      </c>
      <c r="F8" s="21">
        <f>'PrelimSE_20-24'!G98</f>
        <v>-377</v>
      </c>
      <c r="H8" s="21">
        <v>-261</v>
      </c>
      <c r="I8" s="21">
        <v>-261</v>
      </c>
      <c r="J8" s="21">
        <v>-261</v>
      </c>
      <c r="K8" s="21">
        <v>-261</v>
      </c>
      <c r="L8" s="21">
        <v>-261</v>
      </c>
      <c r="N8" s="437" t="s">
        <v>219</v>
      </c>
    </row>
    <row r="9" spans="2:21" ht="14" customHeight="1">
      <c r="B9" s="114" t="s">
        <v>241</v>
      </c>
      <c r="C9" s="21">
        <f>'PrelimSE_20-24'!R9</f>
        <v>24786</v>
      </c>
      <c r="D9" s="21">
        <f>'PrelimSE_20-24'!R27</f>
        <v>-42195</v>
      </c>
      <c r="E9" s="21">
        <f>'PrelimSE_20-24'!R38</f>
        <v>-55190</v>
      </c>
      <c r="F9" s="21">
        <f>'PrelimSE_20-24'!G99</f>
        <v>-27535</v>
      </c>
      <c r="H9" s="21">
        <f>H27</f>
        <v>-42304.244209920027</v>
      </c>
      <c r="I9" s="21">
        <f t="shared" ref="I9:L9" si="2">I27</f>
        <v>-43985.297323044033</v>
      </c>
      <c r="J9" s="21">
        <f t="shared" si="2"/>
        <v>-45722.18648095557</v>
      </c>
      <c r="K9" s="21">
        <f t="shared" si="2"/>
        <v>-47516.292655350771</v>
      </c>
      <c r="L9" s="21">
        <f t="shared" si="2"/>
        <v>-49368.995324983043</v>
      </c>
    </row>
    <row r="10" spans="2:21" ht="14" customHeight="1">
      <c r="B10" s="67" t="s">
        <v>289</v>
      </c>
      <c r="C10" s="21"/>
      <c r="D10" s="21">
        <f>'PrelimSE_20-24'!R30</f>
        <v>84</v>
      </c>
      <c r="E10" s="21"/>
      <c r="F10" s="21"/>
      <c r="G10" s="10"/>
      <c r="H10" s="21"/>
      <c r="I10" s="21"/>
      <c r="J10" s="21"/>
      <c r="K10" s="21"/>
      <c r="L10" s="21"/>
    </row>
    <row r="11" spans="2:21" s="189" customFormat="1" ht="18" customHeight="1">
      <c r="B11" s="39" t="s">
        <v>240</v>
      </c>
      <c r="C11" s="430"/>
      <c r="D11" s="430">
        <f>'PrelimSE_20-24'!R32</f>
        <v>-63132</v>
      </c>
      <c r="E11" s="430">
        <f>'PrelimSE_20-24'!R41</f>
        <v>-46356</v>
      </c>
      <c r="F11" s="430">
        <f>'PrelimSE_20-24'!G102</f>
        <v>-16385</v>
      </c>
      <c r="H11" s="430">
        <f>-H24</f>
        <v>-9172.1228303091357</v>
      </c>
      <c r="I11" s="430">
        <f>-I24</f>
        <v>-14304.896257194834</v>
      </c>
      <c r="J11" s="430">
        <f>-J24</f>
        <v>-19826.356352929964</v>
      </c>
      <c r="K11" s="430">
        <f>-K24</f>
        <v>-25755.410645865846</v>
      </c>
      <c r="L11" s="430">
        <f>-L24</f>
        <v>-32111.564519348118</v>
      </c>
      <c r="N11" s="453"/>
    </row>
    <row r="12" spans="2:21" s="189" customFormat="1" ht="15" customHeight="1">
      <c r="B12" s="427" t="s">
        <v>239</v>
      </c>
      <c r="C12" s="428">
        <f>BS!C27</f>
        <v>330166</v>
      </c>
      <c r="D12" s="428">
        <f>BS!D27</f>
        <v>292003</v>
      </c>
      <c r="E12" s="428">
        <f>BS!E27</f>
        <v>318062</v>
      </c>
      <c r="F12" s="428">
        <f>BS!F27</f>
        <v>373980</v>
      </c>
      <c r="G12" s="429"/>
      <c r="H12" s="428">
        <f>SUM(H5:H11)</f>
        <v>468215.88534632575</v>
      </c>
      <c r="I12" s="428">
        <f t="shared" ref="I12:L12" si="3">SUM(I5:I11)</f>
        <v>561535.26815648703</v>
      </c>
      <c r="J12" s="428">
        <f t="shared" si="3"/>
        <v>653905.45356518647</v>
      </c>
      <c r="K12" s="428">
        <f t="shared" si="3"/>
        <v>745094.7895029824</v>
      </c>
      <c r="L12" s="428">
        <f t="shared" si="3"/>
        <v>834858.28207312757</v>
      </c>
      <c r="N12" s="453"/>
    </row>
    <row r="13" spans="2:21" ht="14" customHeight="1">
      <c r="B13" s="57"/>
      <c r="C13" s="58"/>
      <c r="D13" s="58"/>
      <c r="E13" s="58"/>
      <c r="F13" s="58"/>
      <c r="H13" s="10"/>
      <c r="I13" s="10"/>
      <c r="J13" s="10"/>
      <c r="K13" s="10"/>
      <c r="L13" s="10"/>
    </row>
    <row r="14" spans="2:21" ht="14" customHeight="1">
      <c r="B14" s="67" t="s">
        <v>150</v>
      </c>
      <c r="C14" s="10"/>
      <c r="D14" s="10">
        <f>D5+SUM(D6:D11)</f>
        <v>292003</v>
      </c>
      <c r="E14" s="10">
        <f>E5+SUM(E6:E11)</f>
        <v>318062</v>
      </c>
      <c r="F14" s="10">
        <f>F5+SUM(F6:F11)</f>
        <v>373980</v>
      </c>
      <c r="H14" s="10"/>
      <c r="I14" s="10"/>
      <c r="J14" s="10"/>
      <c r="K14" s="10"/>
      <c r="L14" s="10"/>
    </row>
    <row r="15" spans="2:21" ht="14" customHeight="1"/>
    <row r="16" spans="2:21" ht="14" customHeight="1"/>
    <row r="17" spans="2:14" ht="14" customHeight="1"/>
    <row r="18" spans="2:14" ht="14" customHeight="1"/>
    <row r="19" spans="2:14" ht="14" customHeight="1">
      <c r="B19" s="57" t="s">
        <v>242</v>
      </c>
      <c r="C19" s="58"/>
      <c r="D19" s="58"/>
      <c r="E19" s="58"/>
      <c r="F19" s="58">
        <f>F14-F12</f>
        <v>0</v>
      </c>
      <c r="G19" s="57">
        <f t="shared" ref="G19:L19" si="4">SUM(G11:G14)</f>
        <v>0</v>
      </c>
      <c r="H19" s="58">
        <f t="shared" si="4"/>
        <v>459043.76251601661</v>
      </c>
      <c r="I19" s="58">
        <f t="shared" si="4"/>
        <v>547230.37189929222</v>
      </c>
      <c r="J19" s="58">
        <f t="shared" si="4"/>
        <v>634079.09721225651</v>
      </c>
      <c r="K19" s="58">
        <f t="shared" si="4"/>
        <v>719339.37885711656</v>
      </c>
      <c r="L19" s="58">
        <f t="shared" si="4"/>
        <v>802746.71755377948</v>
      </c>
    </row>
    <row r="20" spans="2:14" ht="14" customHeight="1">
      <c r="B20" s="67" t="s">
        <v>243</v>
      </c>
      <c r="C20" s="58"/>
      <c r="D20" s="58"/>
      <c r="E20" s="58"/>
      <c r="F20" s="71">
        <v>2.64</v>
      </c>
      <c r="G20" s="57"/>
      <c r="H20" s="400">
        <f>'P&amp;L'!H32</f>
        <v>2.4137165342918778</v>
      </c>
      <c r="I20" s="400">
        <f>'P&amp;L'!I32</f>
        <v>2.5096309223148832</v>
      </c>
      <c r="J20" s="400">
        <f>'P&amp;L'!J32</f>
        <v>2.6087310990697321</v>
      </c>
      <c r="K20" s="400">
        <f>'P&amp;L'!K32</f>
        <v>2.7110958574595627</v>
      </c>
      <c r="L20" s="400">
        <f>'P&amp;L'!L32</f>
        <v>2.8168039052059752</v>
      </c>
    </row>
    <row r="21" spans="2:14" ht="14" customHeight="1">
      <c r="B21" s="67" t="s">
        <v>244</v>
      </c>
      <c r="C21" s="10"/>
      <c r="D21" s="10"/>
      <c r="E21" s="10"/>
      <c r="F21" s="28">
        <v>19.09</v>
      </c>
      <c r="H21" s="406">
        <v>19</v>
      </c>
      <c r="I21" s="407">
        <v>19</v>
      </c>
      <c r="J21" s="407">
        <v>19</v>
      </c>
      <c r="K21" s="407">
        <v>19</v>
      </c>
      <c r="L21" s="408">
        <v>19</v>
      </c>
      <c r="N21" s="437" t="s">
        <v>510</v>
      </c>
    </row>
    <row r="22" spans="2:14" ht="14" customHeight="1">
      <c r="B22" s="67" t="s">
        <v>245</v>
      </c>
      <c r="C22" s="10"/>
      <c r="D22" s="10">
        <f>D24/D23</f>
        <v>31.565999999999999</v>
      </c>
      <c r="E22" s="10">
        <f>E24/E23</f>
        <v>32.928571428571431</v>
      </c>
      <c r="F22" s="28">
        <f>F24/F23</f>
        <v>32.770000000000003</v>
      </c>
      <c r="H22" s="401">
        <f>H20*H21</f>
        <v>45.860614151545676</v>
      </c>
      <c r="I22" s="401">
        <f t="shared" ref="I22:L22" si="5">I20*I21</f>
        <v>47.682987523982781</v>
      </c>
      <c r="J22" s="401">
        <f t="shared" si="5"/>
        <v>49.565890882324908</v>
      </c>
      <c r="K22" s="401">
        <f t="shared" si="5"/>
        <v>51.510821291731695</v>
      </c>
      <c r="L22" s="401">
        <f t="shared" si="5"/>
        <v>53.519274198913529</v>
      </c>
    </row>
    <row r="23" spans="2:14" ht="14" customHeight="1">
      <c r="B23" s="67" t="s">
        <v>246</v>
      </c>
      <c r="C23" s="10"/>
      <c r="D23" s="10">
        <v>2000</v>
      </c>
      <c r="E23" s="10">
        <v>1400</v>
      </c>
      <c r="F23" s="10">
        <f>'PrelimSE_23-24'!G58</f>
        <v>500</v>
      </c>
      <c r="H23" s="403">
        <v>200</v>
      </c>
      <c r="I23" s="404">
        <v>300</v>
      </c>
      <c r="J23" s="404">
        <v>400</v>
      </c>
      <c r="K23" s="404">
        <v>500</v>
      </c>
      <c r="L23" s="405">
        <v>600</v>
      </c>
      <c r="N23" s="437" t="s">
        <v>509</v>
      </c>
    </row>
    <row r="24" spans="2:14" ht="14" customHeight="1">
      <c r="B24" s="4" t="s">
        <v>247</v>
      </c>
      <c r="C24" s="10">
        <f>SUM(C21:C23)</f>
        <v>0</v>
      </c>
      <c r="D24" s="396">
        <f>-(PrelimSE_21_22!P55)</f>
        <v>63132</v>
      </c>
      <c r="E24" s="396">
        <v>46100</v>
      </c>
      <c r="F24" s="396">
        <f>-('PrelimSE_23-24'!E50+'PrelimSE_23-24'!E69)</f>
        <v>16385</v>
      </c>
      <c r="H24" s="402">
        <f>H22*H23</f>
        <v>9172.1228303091357</v>
      </c>
      <c r="I24" s="402">
        <f t="shared" ref="I24:L24" si="6">I22*I23</f>
        <v>14304.896257194834</v>
      </c>
      <c r="J24" s="402">
        <f t="shared" si="6"/>
        <v>19826.356352929964</v>
      </c>
      <c r="K24" s="402">
        <f t="shared" si="6"/>
        <v>25755.410645865846</v>
      </c>
      <c r="L24" s="402">
        <f t="shared" si="6"/>
        <v>32111.564519348118</v>
      </c>
    </row>
    <row r="25" spans="2:14" ht="14" customHeight="1">
      <c r="C25" s="10"/>
      <c r="D25" s="10"/>
      <c r="E25" s="10"/>
      <c r="F25" s="10"/>
      <c r="H25" s="10"/>
      <c r="I25" s="10"/>
      <c r="J25" s="10"/>
      <c r="K25" s="10"/>
      <c r="L25" s="10"/>
    </row>
    <row r="26" spans="2:14" ht="14" customHeight="1">
      <c r="B26" s="57" t="s">
        <v>249</v>
      </c>
      <c r="C26" s="10"/>
      <c r="D26" s="10"/>
      <c r="E26" s="10"/>
      <c r="F26" s="10"/>
      <c r="G26" s="10"/>
      <c r="H26" s="10"/>
      <c r="I26" s="10"/>
      <c r="J26" s="10"/>
      <c r="K26" s="10"/>
      <c r="L26" s="10"/>
    </row>
    <row r="27" spans="2:14" ht="14" customHeight="1">
      <c r="B27" s="67" t="s">
        <v>520</v>
      </c>
      <c r="C27" s="10">
        <f>C19-C24</f>
        <v>0</v>
      </c>
      <c r="D27" s="402">
        <f>PrelimSE_21_22!N50</f>
        <v>-42195</v>
      </c>
      <c r="E27" s="402">
        <f>'PrelimSE_23-24'!D8+'PrelimSE_23-24'!D26+'PrelimSE_23-24'!D35</f>
        <v>-41477</v>
      </c>
      <c r="F27" s="402">
        <f>'PrelimSE_23-24'!D47+'PrelimSE_23-24'!D66</f>
        <v>-27535</v>
      </c>
      <c r="G27" s="10"/>
      <c r="H27" s="425">
        <f>H28*H29</f>
        <v>-42304.244209920027</v>
      </c>
      <c r="I27" s="425">
        <f t="shared" ref="I27:L27" si="7">I28*I29</f>
        <v>-43985.297323044033</v>
      </c>
      <c r="J27" s="425">
        <f t="shared" si="7"/>
        <v>-45722.18648095557</v>
      </c>
      <c r="K27" s="425">
        <f t="shared" si="7"/>
        <v>-47516.292655350771</v>
      </c>
      <c r="L27" s="425">
        <f t="shared" si="7"/>
        <v>-49368.995324983043</v>
      </c>
    </row>
    <row r="28" spans="2:14" ht="14" customHeight="1">
      <c r="B28" s="67" t="s">
        <v>66</v>
      </c>
      <c r="C28" s="10"/>
      <c r="D28" s="424">
        <f>'P&amp;L'!D25</f>
        <v>43123</v>
      </c>
      <c r="E28" s="424">
        <f>'P&amp;L'!E25</f>
        <v>101351</v>
      </c>
      <c r="F28" s="424">
        <f>'P&amp;L'!F25</f>
        <v>85635</v>
      </c>
      <c r="G28" s="10">
        <f>'P&amp;L'!G25</f>
        <v>171270</v>
      </c>
      <c r="H28" s="10">
        <f>'P&amp;L'!H25</f>
        <v>117511.78947200008</v>
      </c>
      <c r="I28" s="10">
        <f>'P&amp;L'!I25</f>
        <v>122181.3814529001</v>
      </c>
      <c r="J28" s="10">
        <f>'P&amp;L'!J25</f>
        <v>127006.07355820992</v>
      </c>
      <c r="K28" s="10">
        <f>'P&amp;L'!K25</f>
        <v>131989.70182041882</v>
      </c>
      <c r="L28" s="10">
        <f>'P&amp;L'!L25</f>
        <v>137136.0981249529</v>
      </c>
    </row>
    <row r="29" spans="2:14" ht="14" customHeight="1">
      <c r="B29" s="67" t="s">
        <v>248</v>
      </c>
      <c r="C29" s="10"/>
      <c r="D29" s="70">
        <f>D27/D28</f>
        <v>-0.97848016139878946</v>
      </c>
      <c r="E29" s="70">
        <f>E27/E28</f>
        <v>-0.4092411520359937</v>
      </c>
      <c r="F29" s="70">
        <f>F27/F28</f>
        <v>-0.32153909032521749</v>
      </c>
      <c r="G29" s="70"/>
      <c r="H29" s="409">
        <v>-0.36</v>
      </c>
      <c r="I29" s="410">
        <v>-0.36</v>
      </c>
      <c r="J29" s="410">
        <v>-0.36</v>
      </c>
      <c r="K29" s="410">
        <v>-0.36</v>
      </c>
      <c r="L29" s="411">
        <v>-0.36</v>
      </c>
      <c r="N29" s="437" t="s">
        <v>511</v>
      </c>
    </row>
    <row r="30" spans="2:14" ht="14" customHeight="1">
      <c r="B30" s="67"/>
      <c r="C30" s="10"/>
      <c r="D30" s="10"/>
      <c r="E30" s="10"/>
      <c r="F30" s="10"/>
      <c r="G30" s="10"/>
      <c r="H30" s="10"/>
      <c r="I30" s="10"/>
      <c r="J30" s="10"/>
      <c r="K30" s="10"/>
      <c r="L30" s="10"/>
    </row>
    <row r="31" spans="2:14" ht="14" customHeight="1">
      <c r="B31" s="87" t="s">
        <v>512</v>
      </c>
      <c r="C31" s="10"/>
      <c r="D31" s="10"/>
      <c r="E31" s="10"/>
      <c r="F31" s="10"/>
      <c r="G31" s="10"/>
      <c r="H31" s="10"/>
      <c r="I31" s="10"/>
      <c r="J31" s="10"/>
      <c r="K31" s="10"/>
      <c r="L31" s="10"/>
    </row>
    <row r="32" spans="2:14" ht="14" customHeight="1">
      <c r="B32" s="67" t="s">
        <v>513</v>
      </c>
      <c r="C32" s="10"/>
      <c r="D32" s="10"/>
      <c r="E32" s="10"/>
      <c r="F32" s="10"/>
      <c r="G32" s="10"/>
      <c r="H32" s="10"/>
      <c r="I32" s="10"/>
      <c r="J32" s="10"/>
      <c r="K32" s="10"/>
      <c r="L32" s="10"/>
    </row>
    <row r="33" spans="2:14" ht="14" customHeight="1">
      <c r="B33" s="67" t="s">
        <v>514</v>
      </c>
      <c r="C33" s="10"/>
      <c r="D33" s="10"/>
      <c r="E33" s="10"/>
      <c r="F33" s="10"/>
      <c r="G33" s="10"/>
      <c r="H33" s="10"/>
      <c r="I33" s="10"/>
      <c r="J33" s="10"/>
      <c r="K33" s="10"/>
      <c r="L33" s="10"/>
    </row>
    <row r="34" spans="2:14" ht="14" customHeight="1">
      <c r="B34" s="67" t="s">
        <v>515</v>
      </c>
      <c r="C34" s="58"/>
      <c r="D34" s="70">
        <f>D7/D4</f>
        <v>7.4631655301778061E-3</v>
      </c>
      <c r="E34" s="70">
        <f t="shared" ref="E34:F34" si="8">E7/E4</f>
        <v>7.5493465189592802E-3</v>
      </c>
      <c r="F34" s="70">
        <f t="shared" si="8"/>
        <v>8.1213636983955007E-3</v>
      </c>
      <c r="G34" s="10"/>
      <c r="H34" s="409">
        <f>E34</f>
        <v>7.5493465189592802E-3</v>
      </c>
      <c r="I34" s="410">
        <v>7.5493465189592802E-3</v>
      </c>
      <c r="J34" s="410">
        <v>7.5493465189592802E-3</v>
      </c>
      <c r="K34" s="410">
        <v>7.5493465189592802E-3</v>
      </c>
      <c r="L34" s="411">
        <v>7.5493465189592802E-3</v>
      </c>
      <c r="N34" s="437" t="s">
        <v>525</v>
      </c>
    </row>
    <row r="35" spans="2:14" ht="14" customHeight="1">
      <c r="B35" s="67"/>
      <c r="C35" s="58"/>
      <c r="D35" s="70"/>
      <c r="E35" s="70"/>
      <c r="F35" s="70"/>
      <c r="G35" s="10"/>
      <c r="H35" s="426"/>
      <c r="I35" s="426"/>
      <c r="J35" s="426"/>
      <c r="K35" s="426"/>
      <c r="L35" s="426"/>
    </row>
    <row r="36" spans="2:14" ht="14" customHeight="1">
      <c r="B36" s="67"/>
      <c r="C36" s="58"/>
      <c r="D36" s="70"/>
      <c r="E36" s="70"/>
      <c r="F36" s="70"/>
      <c r="G36" s="10"/>
      <c r="H36" s="112"/>
      <c r="I36" s="112"/>
      <c r="J36" s="112"/>
      <c r="K36" s="112"/>
      <c r="L36" s="112"/>
    </row>
    <row r="37" spans="2:14" ht="14" customHeight="1">
      <c r="B37" s="67"/>
      <c r="C37" s="58"/>
      <c r="D37" s="70"/>
      <c r="E37" s="70"/>
      <c r="F37" s="70"/>
      <c r="G37" s="10"/>
      <c r="H37" s="112"/>
      <c r="I37" s="112"/>
      <c r="J37" s="112"/>
      <c r="K37" s="112"/>
      <c r="L37" s="112"/>
    </row>
    <row r="38" spans="2:14" ht="14" customHeight="1">
      <c r="B38" s="67"/>
      <c r="C38" s="58"/>
      <c r="D38" s="70"/>
      <c r="E38" s="70"/>
      <c r="F38" s="70"/>
      <c r="G38" s="10"/>
      <c r="H38" s="112"/>
      <c r="I38" s="112"/>
      <c r="J38" s="112"/>
      <c r="K38" s="112"/>
      <c r="L38" s="112"/>
    </row>
    <row r="39" spans="2:14" ht="14" customHeight="1">
      <c r="B39" s="67"/>
      <c r="C39" s="58"/>
      <c r="D39" s="70"/>
      <c r="E39" s="70"/>
      <c r="F39" s="70"/>
      <c r="G39" s="10"/>
      <c r="H39" s="112"/>
      <c r="I39" s="112"/>
      <c r="J39" s="112"/>
      <c r="K39" s="112"/>
      <c r="L39" s="112"/>
    </row>
    <row r="40" spans="2:14" ht="14" customHeight="1">
      <c r="B40" s="67"/>
      <c r="C40" s="58"/>
      <c r="D40" s="70"/>
      <c r="E40" s="70"/>
      <c r="F40" s="70"/>
      <c r="G40" s="10"/>
      <c r="H40" s="112"/>
      <c r="I40" s="112"/>
      <c r="J40" s="112"/>
      <c r="K40" s="112"/>
      <c r="L40" s="112"/>
    </row>
    <row r="41" spans="2:14" ht="14" customHeight="1">
      <c r="B41" s="67"/>
      <c r="C41" s="58"/>
      <c r="D41" s="70"/>
      <c r="E41" s="70"/>
      <c r="F41" s="70"/>
      <c r="G41" s="10"/>
      <c r="H41" s="112"/>
      <c r="I41" s="112"/>
      <c r="J41" s="112"/>
      <c r="K41" s="112"/>
      <c r="L41" s="112"/>
    </row>
    <row r="42" spans="2:14" ht="14" customHeight="1">
      <c r="B42" s="78"/>
      <c r="C42" s="96"/>
      <c r="D42" s="96"/>
      <c r="E42" s="96"/>
      <c r="F42" s="96"/>
      <c r="G42" s="96"/>
      <c r="H42" s="112"/>
      <c r="I42" s="112"/>
      <c r="J42" s="112"/>
      <c r="K42" s="112"/>
      <c r="L42" s="112"/>
    </row>
    <row r="43" spans="2:14" ht="14" customHeight="1">
      <c r="C43" s="10"/>
      <c r="D43" s="10"/>
      <c r="E43" s="10"/>
      <c r="F43" s="10"/>
      <c r="G43" s="10"/>
      <c r="H43" s="112"/>
      <c r="I43" s="112"/>
      <c r="J43" s="112"/>
      <c r="K43" s="112"/>
      <c r="L43" s="112"/>
    </row>
    <row r="44" spans="2:14" ht="14" customHeight="1">
      <c r="C44" s="10"/>
      <c r="D44" s="10"/>
      <c r="E44" s="10"/>
      <c r="F44" s="10"/>
      <c r="G44" s="10"/>
      <c r="H44" s="10"/>
      <c r="I44" s="10"/>
      <c r="J44" s="10"/>
      <c r="K44" s="10"/>
      <c r="L44" s="10"/>
    </row>
    <row r="45" spans="2:14" ht="14" customHeight="1" thickBot="1">
      <c r="B45" s="77" t="s">
        <v>103</v>
      </c>
      <c r="C45" s="77"/>
      <c r="D45" s="77"/>
      <c r="E45" s="77"/>
      <c r="F45" s="77"/>
      <c r="G45" s="77"/>
      <c r="H45" s="77"/>
      <c r="I45" s="77"/>
      <c r="J45" s="77"/>
      <c r="K45" s="77"/>
      <c r="L45" s="77"/>
      <c r="N45" s="437" t="s">
        <v>347</v>
      </c>
    </row>
    <row r="46" spans="2:14" ht="14" customHeight="1">
      <c r="C46" s="10">
        <v>360</v>
      </c>
      <c r="H46" s="10"/>
      <c r="I46" s="10"/>
      <c r="J46" s="10"/>
      <c r="K46" s="10"/>
      <c r="L46" s="10"/>
      <c r="N46" s="437" t="s">
        <v>219</v>
      </c>
    </row>
    <row r="47" spans="2:14" ht="14" customHeight="1">
      <c r="H47" s="10"/>
      <c r="I47" s="10"/>
      <c r="J47" s="10"/>
      <c r="K47" s="10"/>
      <c r="L47" s="10"/>
    </row>
    <row r="48" spans="2:14" ht="14" customHeight="1">
      <c r="C48" s="4">
        <f>(C$11/C$5)*360</f>
        <v>0</v>
      </c>
    </row>
    <row r="49" spans="2:12">
      <c r="B49" s="67" t="s">
        <v>346</v>
      </c>
      <c r="C49" s="4">
        <f>(C$12/C$6)*360</f>
        <v>1642.32186036229</v>
      </c>
      <c r="D49" s="70"/>
      <c r="E49" s="70"/>
      <c r="F49" s="70"/>
      <c r="H49" s="70">
        <v>7.4999999999999997E-3</v>
      </c>
      <c r="I49" s="70">
        <v>7.4999999999999997E-3</v>
      </c>
      <c r="J49" s="70">
        <v>7.4999999999999997E-3</v>
      </c>
      <c r="K49" s="70">
        <v>7.4999999999999997E-3</v>
      </c>
      <c r="L49" s="70">
        <v>7.4999999999999997E-3</v>
      </c>
    </row>
    <row r="50" spans="2:12">
      <c r="B50" s="67" t="s">
        <v>288</v>
      </c>
      <c r="C50" s="20">
        <f>(C$14/C$5)</f>
        <v>0</v>
      </c>
      <c r="D50" s="10">
        <v>-695</v>
      </c>
      <c r="E50" s="10">
        <v>288</v>
      </c>
      <c r="F50" s="10">
        <v>-377</v>
      </c>
      <c r="H50" s="27">
        <f>AVERAGE(D50:F50)</f>
        <v>-261.33333333333331</v>
      </c>
      <c r="I50" s="27">
        <v>-261.33333333333331</v>
      </c>
      <c r="J50" s="27">
        <v>-261.33333333333331</v>
      </c>
      <c r="K50" s="27">
        <v>-261.33333333333331</v>
      </c>
      <c r="L50" s="27">
        <v>-261.33333333333331</v>
      </c>
    </row>
    <row r="54" spans="2:12">
      <c r="C54" s="70"/>
    </row>
    <row r="55" spans="2:12">
      <c r="C55" s="10"/>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AFDB-8ED1-4135-BC18-86ACC36E27DD}">
  <sheetPr codeName="Sheet12">
    <tabColor theme="7" tint="0.39997558519241921"/>
  </sheetPr>
  <dimension ref="B1:N59"/>
  <sheetViews>
    <sheetView zoomScale="90" zoomScaleNormal="90" workbookViewId="0"/>
  </sheetViews>
  <sheetFormatPr defaultColWidth="9.08984375" defaultRowHeight="11.5"/>
  <cols>
    <col min="1" max="1" width="2" style="4" customWidth="1"/>
    <col min="2" max="2" width="40.08984375" style="4" customWidth="1"/>
    <col min="3" max="3" width="11.1796875" style="4" customWidth="1"/>
    <col min="4" max="4" width="9.7265625" style="4" bestFit="1" customWidth="1"/>
    <col min="5" max="5" width="9.54296875" style="4" customWidth="1"/>
    <col min="6" max="6" width="9.8164062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4" width="9.08984375" style="4"/>
    <col min="15" max="15" width="5.453125" style="4" customWidth="1"/>
    <col min="16" max="16384" width="9.08984375" style="4"/>
  </cols>
  <sheetData>
    <row r="1" spans="2:14" ht="15.5">
      <c r="B1" s="3" t="s">
        <v>151</v>
      </c>
    </row>
    <row r="2" spans="2:14">
      <c r="F2" s="4" t="s">
        <v>375</v>
      </c>
    </row>
    <row r="3" spans="2:14" ht="23.5" thickBot="1">
      <c r="B3" s="13" t="s">
        <v>19</v>
      </c>
      <c r="C3" s="14" t="s">
        <v>92</v>
      </c>
      <c r="D3" s="14" t="s">
        <v>93</v>
      </c>
      <c r="E3" s="14" t="s">
        <v>94</v>
      </c>
      <c r="F3" s="14" t="s">
        <v>95</v>
      </c>
      <c r="G3" s="17"/>
      <c r="H3" s="15" t="s">
        <v>97</v>
      </c>
      <c r="I3" s="15" t="s">
        <v>98</v>
      </c>
      <c r="J3" s="15" t="s">
        <v>99</v>
      </c>
      <c r="K3" s="15" t="s">
        <v>100</v>
      </c>
      <c r="L3" s="15" t="s">
        <v>101</v>
      </c>
      <c r="N3" s="18" t="s">
        <v>21</v>
      </c>
    </row>
    <row r="4" spans="2:14">
      <c r="B4" s="4" t="s">
        <v>25</v>
      </c>
      <c r="C4" s="10">
        <f>'P&amp;L'!C4</f>
        <v>2927540</v>
      </c>
      <c r="D4" s="10">
        <f>'P&amp;L'!D4</f>
        <v>3303156</v>
      </c>
      <c r="E4" s="10">
        <f>'P&amp;L'!E4</f>
        <v>3439503</v>
      </c>
      <c r="F4" s="10">
        <f>'P&amp;L'!F4</f>
        <v>1795265</v>
      </c>
      <c r="H4" s="21">
        <f>'P&amp;L'!H4</f>
        <v>3770056.5</v>
      </c>
      <c r="I4" s="21">
        <f>'P&amp;L'!I4</f>
        <v>3958559.3250000002</v>
      </c>
      <c r="J4" s="21">
        <f>'P&amp;L'!J4</f>
        <v>4156487.2912500002</v>
      </c>
      <c r="K4" s="21">
        <f>'P&amp;L'!K4</f>
        <v>4364311.6558125</v>
      </c>
      <c r="L4" s="21">
        <f>'P&amp;L'!L4</f>
        <v>4582527.2386031253</v>
      </c>
      <c r="N4" s="438"/>
    </row>
    <row r="5" spans="2:14">
      <c r="B5" s="4" t="s">
        <v>152</v>
      </c>
      <c r="C5" s="10">
        <f>-'P&amp;L'!C8</f>
        <v>1725761</v>
      </c>
      <c r="D5" s="10">
        <f>-'P&amp;L'!D8</f>
        <v>2022877</v>
      </c>
      <c r="E5" s="10">
        <f>-'P&amp;L'!E8</f>
        <v>2031395</v>
      </c>
      <c r="F5" s="10">
        <f>-'P&amp;L'!F8</f>
        <v>1043159</v>
      </c>
      <c r="H5" s="21">
        <f>-'P&amp;L'!H8</f>
        <v>2186632.77</v>
      </c>
      <c r="I5" s="21">
        <f>-'P&amp;L'!I8</f>
        <v>2295964.4084999999</v>
      </c>
      <c r="J5" s="21">
        <f>-'P&amp;L'!J8</f>
        <v>2410762.6289250003</v>
      </c>
      <c r="K5" s="21">
        <f>-'P&amp;L'!K8</f>
        <v>2531300.7603712501</v>
      </c>
      <c r="L5" s="21">
        <f>-'P&amp;L'!L8</f>
        <v>2657865.7983898129</v>
      </c>
      <c r="N5" s="438" t="s">
        <v>155</v>
      </c>
    </row>
    <row r="6" spans="2:14">
      <c r="C6" s="10"/>
      <c r="D6" s="10"/>
      <c r="E6" s="10"/>
      <c r="F6" s="10"/>
      <c r="H6" s="21"/>
      <c r="I6" s="21"/>
      <c r="J6" s="21"/>
      <c r="K6" s="21"/>
      <c r="L6" s="21"/>
      <c r="N6" s="438"/>
    </row>
    <row r="7" spans="2:14" ht="3.75" customHeight="1">
      <c r="C7" s="10"/>
      <c r="D7" s="10"/>
      <c r="E7" s="10"/>
      <c r="F7" s="10"/>
      <c r="H7" s="21"/>
      <c r="I7" s="21"/>
      <c r="J7" s="21"/>
      <c r="K7" s="21"/>
      <c r="L7" s="21"/>
      <c r="N7" s="438"/>
    </row>
    <row r="8" spans="2:14">
      <c r="B8" s="95" t="s">
        <v>153</v>
      </c>
      <c r="C8" s="10"/>
      <c r="D8" s="10"/>
      <c r="E8" s="10"/>
      <c r="F8" s="10"/>
      <c r="G8" s="10"/>
      <c r="H8" s="21"/>
      <c r="I8" s="21"/>
      <c r="J8" s="21"/>
      <c r="K8" s="21"/>
      <c r="L8" s="21"/>
      <c r="N8" s="438"/>
    </row>
    <row r="9" spans="2:14">
      <c r="B9" s="67" t="s">
        <v>154</v>
      </c>
      <c r="C9" s="10">
        <f>BS!C5</f>
        <v>100504</v>
      </c>
      <c r="D9" s="10">
        <f>BS!D5</f>
        <v>105511</v>
      </c>
      <c r="E9" s="10">
        <f>BS!E5</f>
        <v>103094</v>
      </c>
      <c r="F9" s="10">
        <f>BS!F5</f>
        <v>72420</v>
      </c>
      <c r="H9" s="21">
        <f>(H$32*H$4)/360</f>
        <v>104723.79166666667</v>
      </c>
      <c r="I9" s="21">
        <f t="shared" ref="I9:L9" si="0">(I$32*I$4)/360</f>
        <v>109959.98125</v>
      </c>
      <c r="J9" s="21">
        <f t="shared" si="0"/>
        <v>115457.9803125</v>
      </c>
      <c r="K9" s="21">
        <f t="shared" si="0"/>
        <v>121230.87932812501</v>
      </c>
      <c r="L9" s="21">
        <f t="shared" si="0"/>
        <v>127292.42329453127</v>
      </c>
      <c r="N9" s="438" t="s">
        <v>385</v>
      </c>
    </row>
    <row r="10" spans="2:14">
      <c r="B10" s="67" t="s">
        <v>116</v>
      </c>
      <c r="C10" s="10">
        <f>BS!C6</f>
        <v>42839</v>
      </c>
      <c r="D10" s="10">
        <f>BS!D6</f>
        <v>55559</v>
      </c>
      <c r="E10" s="10">
        <f>BS!E6</f>
        <v>57654</v>
      </c>
      <c r="F10" s="10">
        <f>BS!F6</f>
        <v>70987</v>
      </c>
      <c r="H10" s="21">
        <f>(H$36*H$5)/360</f>
        <v>48591.839333333337</v>
      </c>
      <c r="I10" s="21">
        <f t="shared" ref="I10:L10" si="1">(I$36*I$5)/360</f>
        <v>51021.431299999997</v>
      </c>
      <c r="J10" s="21">
        <f t="shared" si="1"/>
        <v>53572.502865000009</v>
      </c>
      <c r="K10" s="21">
        <f t="shared" si="1"/>
        <v>56251.128008250002</v>
      </c>
      <c r="L10" s="21">
        <f t="shared" si="1"/>
        <v>59063.684408662506</v>
      </c>
      <c r="N10" s="438" t="s">
        <v>386</v>
      </c>
    </row>
    <row r="11" spans="2:14" ht="12" customHeight="1">
      <c r="B11" s="67" t="s">
        <v>146</v>
      </c>
      <c r="C11" s="10">
        <f>BS!C8</f>
        <v>72619</v>
      </c>
      <c r="D11" s="10">
        <f>BS!D8</f>
        <v>69921</v>
      </c>
      <c r="E11" s="10">
        <f>BS!E8</f>
        <v>83760</v>
      </c>
      <c r="F11" s="10">
        <f>BS!F8</f>
        <v>93874</v>
      </c>
      <c r="G11" s="4">
        <f t="shared" ref="G11" si="2">SUM(G$4:G$6,G$8)</f>
        <v>0</v>
      </c>
      <c r="H11" s="21">
        <f>H$40*H$4</f>
        <v>75401.13</v>
      </c>
      <c r="I11" s="21">
        <f t="shared" ref="I11:L11" si="3">I$40*I$4</f>
        <v>79171.186500000011</v>
      </c>
      <c r="J11" s="21">
        <f t="shared" si="3"/>
        <v>83129.745825000005</v>
      </c>
      <c r="K11" s="21">
        <f t="shared" si="3"/>
        <v>87286.233116250005</v>
      </c>
      <c r="L11" s="21">
        <f t="shared" si="3"/>
        <v>91650.544772062509</v>
      </c>
      <c r="N11" s="438" t="s">
        <v>387</v>
      </c>
    </row>
    <row r="12" spans="2:14" ht="12" customHeight="1">
      <c r="B12" s="57" t="s">
        <v>157</v>
      </c>
      <c r="C12" s="58">
        <f>SUM(C9:C11)</f>
        <v>215962</v>
      </c>
      <c r="D12" s="58">
        <f t="shared" ref="D12:L12" si="4">SUM(D9:D11)</f>
        <v>230991</v>
      </c>
      <c r="E12" s="58">
        <f t="shared" si="4"/>
        <v>244508</v>
      </c>
      <c r="F12" s="58">
        <f t="shared" si="4"/>
        <v>237281</v>
      </c>
      <c r="G12" s="57">
        <f t="shared" si="4"/>
        <v>0</v>
      </c>
      <c r="H12" s="89">
        <f t="shared" si="4"/>
        <v>228716.761</v>
      </c>
      <c r="I12" s="89">
        <f t="shared" si="4"/>
        <v>240152.59905000002</v>
      </c>
      <c r="J12" s="89">
        <f t="shared" si="4"/>
        <v>252160.22900250001</v>
      </c>
      <c r="K12" s="89">
        <f t="shared" si="4"/>
        <v>264768.24045262503</v>
      </c>
      <c r="L12" s="89">
        <f t="shared" si="4"/>
        <v>278006.6524752563</v>
      </c>
      <c r="N12" s="438"/>
    </row>
    <row r="13" spans="2:14" ht="12" customHeight="1">
      <c r="B13" s="57"/>
      <c r="C13" s="28"/>
      <c r="D13" s="28"/>
      <c r="E13" s="28"/>
      <c r="F13" s="28"/>
      <c r="G13" s="57"/>
      <c r="H13" s="89"/>
      <c r="I13" s="89"/>
      <c r="J13" s="89"/>
      <c r="K13" s="89"/>
      <c r="L13" s="89"/>
      <c r="N13" s="438"/>
    </row>
    <row r="14" spans="2:14" ht="12" customHeight="1">
      <c r="B14" s="67" t="s">
        <v>128</v>
      </c>
      <c r="C14" s="10">
        <f>BS!C18</f>
        <v>211182</v>
      </c>
      <c r="D14" s="10">
        <f>BS!D18</f>
        <v>219808</v>
      </c>
      <c r="E14" s="10">
        <f>BS!E18</f>
        <v>222915</v>
      </c>
      <c r="F14" s="10">
        <f>BS!F18</f>
        <v>192344</v>
      </c>
      <c r="G14" s="57"/>
      <c r="H14" s="21">
        <f t="shared" ref="H14:K14" si="5">H5*H56</f>
        <v>218663.277</v>
      </c>
      <c r="I14" s="21">
        <f t="shared" si="5"/>
        <v>229596.44085000001</v>
      </c>
      <c r="J14" s="21">
        <f t="shared" si="5"/>
        <v>241076.26289250003</v>
      </c>
      <c r="K14" s="21">
        <f t="shared" si="5"/>
        <v>253130.07603712502</v>
      </c>
      <c r="L14" s="21">
        <f>L5*L56</f>
        <v>265786.57983898133</v>
      </c>
      <c r="N14" s="438" t="s">
        <v>388</v>
      </c>
    </row>
    <row r="15" spans="2:14" ht="12" customHeight="1">
      <c r="B15" s="67" t="s">
        <v>127</v>
      </c>
      <c r="C15" s="10">
        <f>BS!C17</f>
        <v>54086</v>
      </c>
      <c r="D15" s="10">
        <f>BS!D17</f>
        <v>66638</v>
      </c>
      <c r="E15" s="10">
        <f>BS!E17</f>
        <v>63152</v>
      </c>
      <c r="F15" s="10">
        <f>BS!F17</f>
        <v>68644</v>
      </c>
      <c r="H15" s="21">
        <f>(H$44*H$5)/360</f>
        <v>66813.779083333327</v>
      </c>
      <c r="I15" s="21">
        <f t="shared" ref="I15:L15" si="6">(I$44*I$5)/360</f>
        <v>70154.468037499988</v>
      </c>
      <c r="J15" s="21">
        <f t="shared" si="6"/>
        <v>73662.191439375019</v>
      </c>
      <c r="K15" s="21">
        <f t="shared" si="6"/>
        <v>77345.301011343749</v>
      </c>
      <c r="L15" s="21">
        <f t="shared" si="6"/>
        <v>81212.56606191094</v>
      </c>
      <c r="N15" s="438" t="s">
        <v>386</v>
      </c>
    </row>
    <row r="16" spans="2:14" ht="12" customHeight="1">
      <c r="B16" s="67" t="s">
        <v>156</v>
      </c>
      <c r="C16" s="10">
        <f>BS!C20</f>
        <v>239187</v>
      </c>
      <c r="D16" s="10">
        <f>BS!D20</f>
        <v>231133</v>
      </c>
      <c r="E16" s="10">
        <f>BS!E20</f>
        <v>239699</v>
      </c>
      <c r="F16" s="10">
        <f>BS!F20</f>
        <v>231720</v>
      </c>
      <c r="H16" s="21">
        <f>H$48*H$5</f>
        <v>240529.6047</v>
      </c>
      <c r="I16" s="21">
        <f t="shared" ref="I16:L16" si="7">I$48*I$5</f>
        <v>252556.08493499999</v>
      </c>
      <c r="J16" s="21">
        <f t="shared" si="7"/>
        <v>265183.88918175001</v>
      </c>
      <c r="K16" s="21">
        <f t="shared" si="7"/>
        <v>278443.08364083752</v>
      </c>
      <c r="L16" s="21">
        <f t="shared" si="7"/>
        <v>292365.2378228794</v>
      </c>
      <c r="N16" s="438" t="s">
        <v>388</v>
      </c>
    </row>
    <row r="17" spans="2:14" ht="12" customHeight="1">
      <c r="B17" s="67" t="s">
        <v>129</v>
      </c>
      <c r="C17" s="10">
        <f>BS!C19</f>
        <v>131818</v>
      </c>
      <c r="D17" s="10">
        <f>BS!D19</f>
        <v>139099</v>
      </c>
      <c r="E17" s="10">
        <f>BS!E19</f>
        <v>134905</v>
      </c>
      <c r="F17" s="10">
        <f>BS!F19</f>
        <v>149899</v>
      </c>
      <c r="H17" s="21">
        <f>H$52*H$5</f>
        <v>131197.9662</v>
      </c>
      <c r="I17" s="21">
        <f t="shared" ref="I17:L17" si="8">I$52*I$5</f>
        <v>137757.86450999998</v>
      </c>
      <c r="J17" s="21">
        <f t="shared" si="8"/>
        <v>144645.75773550002</v>
      </c>
      <c r="K17" s="21">
        <f t="shared" si="8"/>
        <v>151878.04562227501</v>
      </c>
      <c r="L17" s="21">
        <f t="shared" si="8"/>
        <v>159471.94790338876</v>
      </c>
      <c r="N17" s="438" t="s">
        <v>382</v>
      </c>
    </row>
    <row r="18" spans="2:14" ht="12" customHeight="1">
      <c r="B18" s="57" t="s">
        <v>158</v>
      </c>
      <c r="C18" s="58">
        <f>SUM(C15:C17)</f>
        <v>425091</v>
      </c>
      <c r="D18" s="58">
        <f t="shared" ref="D18:F18" si="9">SUM(D15:D17)</f>
        <v>436870</v>
      </c>
      <c r="E18" s="58">
        <f t="shared" si="9"/>
        <v>437756</v>
      </c>
      <c r="F18" s="58">
        <f t="shared" si="9"/>
        <v>450263</v>
      </c>
      <c r="G18" s="57"/>
      <c r="H18" s="89">
        <f t="shared" ref="H18:L18" si="10">SUM(H15:H17)</f>
        <v>438541.34998333338</v>
      </c>
      <c r="I18" s="89">
        <f t="shared" si="10"/>
        <v>460468.41748249996</v>
      </c>
      <c r="J18" s="89">
        <f t="shared" si="10"/>
        <v>483491.83835662506</v>
      </c>
      <c r="K18" s="89">
        <f t="shared" si="10"/>
        <v>507666.43027445627</v>
      </c>
      <c r="L18" s="89">
        <f t="shared" si="10"/>
        <v>533049.75178817916</v>
      </c>
      <c r="N18" s="438"/>
    </row>
    <row r="19" spans="2:14" ht="7" customHeight="1">
      <c r="C19" s="10"/>
      <c r="D19" s="10"/>
      <c r="E19" s="10"/>
      <c r="F19" s="10"/>
      <c r="H19" s="21"/>
      <c r="I19" s="21"/>
      <c r="J19" s="21"/>
      <c r="K19" s="21"/>
      <c r="L19" s="21"/>
      <c r="N19" s="438"/>
    </row>
    <row r="20" spans="2:14" ht="12" customHeight="1">
      <c r="C20" s="10"/>
      <c r="D20" s="10"/>
      <c r="E20" s="10"/>
      <c r="F20" s="10"/>
      <c r="G20" s="10"/>
      <c r="H20" s="21"/>
      <c r="I20" s="21"/>
      <c r="J20" s="21"/>
      <c r="K20" s="21"/>
      <c r="L20" s="21"/>
      <c r="N20" s="438"/>
    </row>
    <row r="21" spans="2:14" ht="12" customHeight="1">
      <c r="B21" s="4" t="s">
        <v>159</v>
      </c>
      <c r="C21" s="10">
        <f>C12-C18</f>
        <v>-209129</v>
      </c>
      <c r="D21" s="10">
        <f t="shared" ref="D21:L21" si="11">D12-D18</f>
        <v>-205879</v>
      </c>
      <c r="E21" s="10">
        <f t="shared" si="11"/>
        <v>-193248</v>
      </c>
      <c r="F21" s="10">
        <f t="shared" si="11"/>
        <v>-212982</v>
      </c>
      <c r="G21" s="10"/>
      <c r="H21" s="21">
        <f t="shared" si="11"/>
        <v>-209824.58898333338</v>
      </c>
      <c r="I21" s="21">
        <f t="shared" si="11"/>
        <v>-220315.81843249995</v>
      </c>
      <c r="J21" s="21">
        <f t="shared" si="11"/>
        <v>-231331.60935412504</v>
      </c>
      <c r="K21" s="21">
        <f t="shared" si="11"/>
        <v>-242898.18982183124</v>
      </c>
      <c r="L21" s="21">
        <f t="shared" si="11"/>
        <v>-255043.09931292286</v>
      </c>
      <c r="N21" s="438"/>
    </row>
    <row r="22" spans="2:14" ht="12" customHeight="1">
      <c r="C22" s="10"/>
      <c r="D22" s="10"/>
      <c r="E22" s="10"/>
      <c r="F22" s="10"/>
      <c r="G22" s="10"/>
      <c r="H22" s="21"/>
      <c r="I22" s="21"/>
      <c r="J22" s="21"/>
      <c r="K22" s="21"/>
      <c r="L22" s="21"/>
      <c r="N22" s="438"/>
    </row>
    <row r="23" spans="2:14" ht="12" customHeight="1">
      <c r="B23" s="87" t="s">
        <v>160</v>
      </c>
      <c r="C23" s="58"/>
      <c r="D23" s="58">
        <f>C21-D21</f>
        <v>-3250</v>
      </c>
      <c r="E23" s="58">
        <f t="shared" ref="E23:F23" si="12">D21-E21</f>
        <v>-12631</v>
      </c>
      <c r="F23" s="58">
        <f t="shared" si="12"/>
        <v>19734</v>
      </c>
      <c r="G23" s="58"/>
      <c r="H23" s="89">
        <f>F21-H21</f>
        <v>-3157.4110166666214</v>
      </c>
      <c r="I23" s="89">
        <f>H21-I21</f>
        <v>10491.229449166567</v>
      </c>
      <c r="J23" s="89">
        <f t="shared" ref="J23:L23" si="13">I21-J21</f>
        <v>11015.790921625099</v>
      </c>
      <c r="K23" s="89">
        <f t="shared" si="13"/>
        <v>11566.580467706197</v>
      </c>
      <c r="L23" s="89">
        <f t="shared" si="13"/>
        <v>12144.909491091617</v>
      </c>
      <c r="N23" s="438"/>
    </row>
    <row r="24" spans="2:14" ht="7" customHeight="1">
      <c r="B24" s="78"/>
      <c r="C24" s="96"/>
      <c r="D24" s="96"/>
      <c r="E24" s="96"/>
      <c r="F24" s="96"/>
      <c r="G24" s="96"/>
      <c r="H24" s="97"/>
      <c r="I24" s="97"/>
      <c r="J24" s="97"/>
      <c r="K24" s="97"/>
      <c r="L24" s="97"/>
    </row>
    <row r="25" spans="2:14">
      <c r="C25" s="10"/>
      <c r="D25" s="10"/>
      <c r="E25" s="10"/>
      <c r="F25" s="10"/>
      <c r="G25" s="10"/>
      <c r="H25" s="10"/>
      <c r="I25" s="10"/>
      <c r="J25" s="10"/>
      <c r="K25" s="10"/>
      <c r="L25" s="10"/>
    </row>
    <row r="26" spans="2:14">
      <c r="B26" s="4" t="s">
        <v>110</v>
      </c>
      <c r="C26" s="168">
        <f>'P&amp;L'!C36</f>
        <v>1</v>
      </c>
      <c r="D26" s="10"/>
      <c r="E26" s="10"/>
      <c r="F26" s="10"/>
      <c r="G26" s="10"/>
      <c r="H26" s="10"/>
      <c r="I26" s="10"/>
      <c r="J26" s="10"/>
      <c r="K26" s="10"/>
      <c r="L26" s="10"/>
    </row>
    <row r="27" spans="2:14">
      <c r="C27" s="10"/>
      <c r="D27" s="10"/>
      <c r="E27" s="10"/>
      <c r="F27" s="10"/>
      <c r="G27" s="10"/>
      <c r="H27" s="10"/>
      <c r="I27" s="10"/>
      <c r="J27" s="10"/>
      <c r="K27" s="10"/>
      <c r="L27" s="10"/>
    </row>
    <row r="28" spans="2:14" ht="14" customHeight="1">
      <c r="C28" s="10"/>
      <c r="D28" s="10"/>
      <c r="E28" s="10"/>
      <c r="F28" s="10"/>
      <c r="G28" s="10"/>
      <c r="H28" s="10"/>
      <c r="I28" s="10"/>
      <c r="J28" s="10"/>
      <c r="K28" s="10"/>
      <c r="L28" s="10"/>
    </row>
    <row r="29" spans="2:14" ht="12" thickBot="1">
      <c r="B29" s="77" t="s">
        <v>103</v>
      </c>
      <c r="C29" s="77"/>
      <c r="D29" s="77"/>
      <c r="E29" s="77"/>
      <c r="F29" s="77"/>
      <c r="G29" s="77"/>
      <c r="H29" s="77"/>
      <c r="I29" s="77"/>
      <c r="J29" s="77"/>
      <c r="K29" s="77"/>
      <c r="L29" s="77"/>
    </row>
    <row r="30" spans="2:14">
      <c r="B30" s="4" t="s">
        <v>161</v>
      </c>
      <c r="C30" s="10">
        <v>360</v>
      </c>
      <c r="H30" s="10"/>
      <c r="I30" s="10"/>
      <c r="J30" s="10"/>
      <c r="K30" s="10"/>
      <c r="L30" s="10"/>
    </row>
    <row r="31" spans="2:14" ht="7" customHeight="1">
      <c r="H31" s="10"/>
      <c r="I31" s="10"/>
      <c r="J31" s="10"/>
      <c r="K31" s="10"/>
      <c r="L31" s="10"/>
    </row>
    <row r="32" spans="2:14">
      <c r="B32" s="65" t="s">
        <v>164</v>
      </c>
      <c r="C32" s="4">
        <f>(C$9/C$4)*360</f>
        <v>12.358990825061316</v>
      </c>
      <c r="D32" s="4">
        <f t="shared" ref="D32:F32" si="14">(D$9/D$4)*360</f>
        <v>11.499293403036368</v>
      </c>
      <c r="E32" s="4">
        <f t="shared" si="14"/>
        <v>10.790465948132622</v>
      </c>
      <c r="F32" s="4">
        <f t="shared" si="14"/>
        <v>14.522201457723511</v>
      </c>
      <c r="H32" s="162">
        <f>CHOOSE($C$26,H33,H34,H35)</f>
        <v>10</v>
      </c>
      <c r="I32" s="163">
        <f t="shared" ref="I32:L32" si="15">CHOOSE($C$26,I33,I34,I35)</f>
        <v>10</v>
      </c>
      <c r="J32" s="163">
        <f t="shared" si="15"/>
        <v>10</v>
      </c>
      <c r="K32" s="163">
        <f t="shared" si="15"/>
        <v>10</v>
      </c>
      <c r="L32" s="164">
        <f t="shared" si="15"/>
        <v>10</v>
      </c>
      <c r="N32" s="4" t="s">
        <v>34</v>
      </c>
    </row>
    <row r="33" spans="2:14">
      <c r="B33" s="67" t="s">
        <v>48</v>
      </c>
      <c r="H33" s="4">
        <v>10</v>
      </c>
      <c r="I33" s="4">
        <v>10</v>
      </c>
      <c r="J33" s="4">
        <v>10</v>
      </c>
      <c r="K33" s="4">
        <v>10</v>
      </c>
      <c r="L33" s="4">
        <v>10</v>
      </c>
    </row>
    <row r="34" spans="2:14">
      <c r="B34" s="67" t="s">
        <v>49</v>
      </c>
      <c r="H34" s="4">
        <v>12</v>
      </c>
      <c r="I34" s="4">
        <v>12</v>
      </c>
      <c r="J34" s="4">
        <v>12</v>
      </c>
      <c r="K34" s="4">
        <v>12</v>
      </c>
      <c r="L34" s="4">
        <v>12</v>
      </c>
    </row>
    <row r="35" spans="2:14">
      <c r="B35" s="67" t="s">
        <v>50</v>
      </c>
      <c r="H35" s="4">
        <v>15</v>
      </c>
      <c r="I35" s="4">
        <v>15</v>
      </c>
      <c r="J35" s="4">
        <v>15</v>
      </c>
      <c r="K35" s="4">
        <v>15</v>
      </c>
      <c r="L35" s="4">
        <v>15</v>
      </c>
    </row>
    <row r="36" spans="2:14">
      <c r="B36" s="65" t="s">
        <v>163</v>
      </c>
      <c r="C36" s="4">
        <f>(C$10/C$5)*360</f>
        <v>8.9363706793698547</v>
      </c>
      <c r="D36" s="4">
        <f t="shared" ref="D36:F36" si="16">(D$10/D$5)*360</f>
        <v>9.8875215843573283</v>
      </c>
      <c r="E36" s="4">
        <f t="shared" si="16"/>
        <v>10.217333408815124</v>
      </c>
      <c r="F36" s="4">
        <f t="shared" si="16"/>
        <v>24.498010370422914</v>
      </c>
      <c r="H36" s="162">
        <f>CHOOSE($C$26,H37,H38,H39)</f>
        <v>8</v>
      </c>
      <c r="I36" s="163">
        <f t="shared" ref="I36:L36" si="17">CHOOSE($C$26,I37,I38,I39)</f>
        <v>8</v>
      </c>
      <c r="J36" s="163">
        <f t="shared" si="17"/>
        <v>8</v>
      </c>
      <c r="K36" s="163">
        <f t="shared" si="17"/>
        <v>8</v>
      </c>
      <c r="L36" s="164">
        <f t="shared" si="17"/>
        <v>8</v>
      </c>
      <c r="N36" s="4" t="s">
        <v>169</v>
      </c>
    </row>
    <row r="37" spans="2:14">
      <c r="B37" s="67" t="s">
        <v>48</v>
      </c>
      <c r="H37" s="4">
        <v>8</v>
      </c>
      <c r="I37" s="4">
        <v>8</v>
      </c>
      <c r="J37" s="4">
        <v>8</v>
      </c>
      <c r="K37" s="4">
        <v>8</v>
      </c>
      <c r="L37" s="4">
        <v>8</v>
      </c>
    </row>
    <row r="38" spans="2:14">
      <c r="B38" s="67" t="s">
        <v>49</v>
      </c>
      <c r="H38" s="4">
        <v>10</v>
      </c>
      <c r="I38" s="4">
        <v>10</v>
      </c>
      <c r="J38" s="4">
        <v>10</v>
      </c>
      <c r="K38" s="4">
        <v>10</v>
      </c>
      <c r="L38" s="4">
        <v>10</v>
      </c>
    </row>
    <row r="39" spans="2:14">
      <c r="B39" s="67" t="s">
        <v>50</v>
      </c>
      <c r="H39" s="4">
        <v>11</v>
      </c>
      <c r="I39" s="4">
        <v>11</v>
      </c>
      <c r="J39" s="4">
        <v>11</v>
      </c>
      <c r="K39" s="4">
        <v>11</v>
      </c>
      <c r="L39" s="4">
        <v>11</v>
      </c>
    </row>
    <row r="40" spans="2:14" ht="12" customHeight="1">
      <c r="B40" s="65" t="s">
        <v>162</v>
      </c>
      <c r="C40" s="20">
        <f>(C$11/C$4)</f>
        <v>2.4805468072169809E-2</v>
      </c>
      <c r="D40" s="20">
        <f t="shared" ref="D40:F40" si="18">(D$11/D$4)</f>
        <v>2.1167937572430729E-2</v>
      </c>
      <c r="E40" s="20">
        <f t="shared" si="18"/>
        <v>2.4352355558346656E-2</v>
      </c>
      <c r="F40" s="20">
        <f t="shared" si="18"/>
        <v>5.2289773376075398E-2</v>
      </c>
      <c r="H40" s="169">
        <f>CHOOSE($C$26,H41,H42,H43)</f>
        <v>0.02</v>
      </c>
      <c r="I40" s="170">
        <f t="shared" ref="I40:L40" si="19">CHOOSE($C$26,I41,I42,I43)</f>
        <v>0.02</v>
      </c>
      <c r="J40" s="170">
        <f t="shared" si="19"/>
        <v>0.02</v>
      </c>
      <c r="K40" s="170">
        <f t="shared" si="19"/>
        <v>0.02</v>
      </c>
      <c r="L40" s="171">
        <f t="shared" si="19"/>
        <v>0.02</v>
      </c>
      <c r="N40" s="4" t="s">
        <v>167</v>
      </c>
    </row>
    <row r="41" spans="2:14" ht="12" customHeight="1">
      <c r="B41" s="67" t="s">
        <v>48</v>
      </c>
      <c r="H41" s="20">
        <v>0.02</v>
      </c>
      <c r="I41" s="20">
        <v>0.02</v>
      </c>
      <c r="J41" s="20">
        <v>0.02</v>
      </c>
      <c r="K41" s="20">
        <v>0.02</v>
      </c>
      <c r="L41" s="20">
        <v>0.02</v>
      </c>
    </row>
    <row r="42" spans="2:14" ht="12" customHeight="1">
      <c r="B42" s="67" t="s">
        <v>49</v>
      </c>
      <c r="H42" s="20">
        <v>2.5000000000000001E-2</v>
      </c>
      <c r="I42" s="20">
        <v>2.5000000000000001E-2</v>
      </c>
      <c r="J42" s="20">
        <v>2.5000000000000001E-2</v>
      </c>
      <c r="K42" s="20">
        <v>2.5000000000000001E-2</v>
      </c>
      <c r="L42" s="20">
        <v>2.5000000000000001E-2</v>
      </c>
    </row>
    <row r="43" spans="2:14" ht="12" customHeight="1">
      <c r="B43" s="67" t="s">
        <v>50</v>
      </c>
      <c r="H43" s="20">
        <v>0.05</v>
      </c>
      <c r="I43" s="20">
        <v>0.05</v>
      </c>
      <c r="J43" s="20">
        <v>0.05</v>
      </c>
      <c r="K43" s="20">
        <v>0.05</v>
      </c>
      <c r="L43" s="20">
        <v>0.05</v>
      </c>
    </row>
    <row r="44" spans="2:14">
      <c r="B44" s="65" t="s">
        <v>165</v>
      </c>
      <c r="C44" s="4">
        <f>(C$15/C$5)*360</f>
        <v>11.282535646593011</v>
      </c>
      <c r="D44" s="4">
        <f t="shared" ref="D44:F44" si="20">(D$15/D$5)*360</f>
        <v>11.859188670393701</v>
      </c>
      <c r="E44" s="4">
        <f t="shared" si="20"/>
        <v>11.1916786247874</v>
      </c>
      <c r="F44" s="4">
        <f t="shared" si="20"/>
        <v>23.68942797790174</v>
      </c>
      <c r="H44" s="162">
        <f>CHOOSE($C$26,H45,H46,H47)</f>
        <v>11</v>
      </c>
      <c r="I44" s="163">
        <f t="shared" ref="I44:L44" si="21">CHOOSE($C$26,I45,I46,I47)</f>
        <v>11</v>
      </c>
      <c r="J44" s="163">
        <f t="shared" si="21"/>
        <v>11</v>
      </c>
      <c r="K44" s="163">
        <f t="shared" si="21"/>
        <v>11</v>
      </c>
      <c r="L44" s="164">
        <f t="shared" si="21"/>
        <v>11</v>
      </c>
      <c r="N44" s="4" t="s">
        <v>35</v>
      </c>
    </row>
    <row r="45" spans="2:14">
      <c r="B45" s="67" t="s">
        <v>48</v>
      </c>
      <c r="H45" s="4">
        <v>11</v>
      </c>
      <c r="I45" s="4">
        <v>11</v>
      </c>
      <c r="J45" s="4">
        <v>11</v>
      </c>
      <c r="K45" s="4">
        <v>11</v>
      </c>
      <c r="L45" s="4">
        <v>11</v>
      </c>
    </row>
    <row r="46" spans="2:14">
      <c r="B46" s="67" t="s">
        <v>49</v>
      </c>
      <c r="H46" s="4">
        <v>12</v>
      </c>
      <c r="I46" s="4">
        <v>12</v>
      </c>
      <c r="J46" s="4">
        <v>12</v>
      </c>
      <c r="K46" s="4">
        <v>12</v>
      </c>
      <c r="L46" s="4">
        <v>12</v>
      </c>
    </row>
    <row r="47" spans="2:14">
      <c r="B47" s="67" t="s">
        <v>50</v>
      </c>
      <c r="H47" s="4">
        <v>24</v>
      </c>
      <c r="I47" s="4">
        <v>24</v>
      </c>
      <c r="J47" s="4">
        <v>24</v>
      </c>
      <c r="K47" s="4">
        <v>24</v>
      </c>
      <c r="L47" s="4">
        <v>24</v>
      </c>
    </row>
    <row r="48" spans="2:14">
      <c r="B48" s="65" t="s">
        <v>166</v>
      </c>
      <c r="C48" s="20">
        <f>C$16/C$5</f>
        <v>0.13859798662734873</v>
      </c>
      <c r="D48" s="20">
        <f t="shared" ref="D48:F48" si="22">D$16/D$5</f>
        <v>0.1142595422262451</v>
      </c>
      <c r="E48" s="20">
        <f t="shared" si="22"/>
        <v>0.11799723835098541</v>
      </c>
      <c r="F48" s="20">
        <f t="shared" si="22"/>
        <v>0.22213296343126981</v>
      </c>
      <c r="H48" s="165">
        <f>CHOOSE($C$26,H49,H50,H51)</f>
        <v>0.11</v>
      </c>
      <c r="I48" s="166">
        <f t="shared" ref="I48:L48" si="23">CHOOSE($C$26,I49,I50,I51)</f>
        <v>0.11</v>
      </c>
      <c r="J48" s="166">
        <f t="shared" si="23"/>
        <v>0.11</v>
      </c>
      <c r="K48" s="166">
        <f t="shared" si="23"/>
        <v>0.11</v>
      </c>
      <c r="L48" s="167">
        <f t="shared" si="23"/>
        <v>0.11</v>
      </c>
      <c r="N48" s="4" t="s">
        <v>168</v>
      </c>
    </row>
    <row r="49" spans="2:14">
      <c r="B49" s="67" t="s">
        <v>48</v>
      </c>
      <c r="C49" s="20"/>
      <c r="D49" s="20"/>
      <c r="E49" s="20"/>
      <c r="F49" s="20"/>
      <c r="H49" s="20">
        <v>0.11</v>
      </c>
      <c r="I49" s="20">
        <v>0.11</v>
      </c>
      <c r="J49" s="20">
        <v>0.11</v>
      </c>
      <c r="K49" s="20">
        <v>0.11</v>
      </c>
      <c r="L49" s="20">
        <v>0.11</v>
      </c>
    </row>
    <row r="50" spans="2:14">
      <c r="B50" s="67" t="s">
        <v>49</v>
      </c>
      <c r="C50" s="20"/>
      <c r="D50" s="20"/>
      <c r="E50" s="20"/>
      <c r="F50" s="20"/>
      <c r="H50" s="20">
        <v>0.13</v>
      </c>
      <c r="I50" s="20">
        <v>0.13</v>
      </c>
      <c r="J50" s="20">
        <v>0.13</v>
      </c>
      <c r="K50" s="20">
        <v>0.13</v>
      </c>
      <c r="L50" s="20">
        <v>0.13</v>
      </c>
    </row>
    <row r="51" spans="2:14">
      <c r="B51" s="67" t="s">
        <v>50</v>
      </c>
      <c r="C51" s="20"/>
      <c r="D51" s="20"/>
      <c r="E51" s="20"/>
      <c r="F51" s="20"/>
      <c r="H51" s="20">
        <v>0.23</v>
      </c>
      <c r="I51" s="20">
        <v>0.23</v>
      </c>
      <c r="J51" s="20">
        <v>0.23</v>
      </c>
      <c r="K51" s="20">
        <v>0.23</v>
      </c>
      <c r="L51" s="20">
        <v>0.23</v>
      </c>
    </row>
    <row r="52" spans="2:14">
      <c r="B52" s="65" t="s">
        <v>129</v>
      </c>
      <c r="C52" s="20">
        <f>C$17/C$5</f>
        <v>7.6382535009193051E-2</v>
      </c>
      <c r="D52" s="20">
        <f t="shared" ref="D52:F52" si="24">D$17/D$5</f>
        <v>6.8762954939919727E-2</v>
      </c>
      <c r="E52" s="20">
        <f t="shared" si="24"/>
        <v>6.6410028576421615E-2</v>
      </c>
      <c r="F52" s="20">
        <f t="shared" si="24"/>
        <v>0.14369717368109752</v>
      </c>
      <c r="H52" s="165">
        <f>CHOOSE($C$26,H53,H54,H55)</f>
        <v>0.06</v>
      </c>
      <c r="I52" s="166">
        <f t="shared" ref="I52:L52" si="25">CHOOSE($C$26,I53,I54,I55)</f>
        <v>0.06</v>
      </c>
      <c r="J52" s="166">
        <f t="shared" si="25"/>
        <v>0.06</v>
      </c>
      <c r="K52" s="166">
        <f t="shared" si="25"/>
        <v>0.06</v>
      </c>
      <c r="L52" s="167">
        <f t="shared" si="25"/>
        <v>0.06</v>
      </c>
      <c r="N52" s="4" t="s">
        <v>170</v>
      </c>
    </row>
    <row r="53" spans="2:14">
      <c r="B53" s="67" t="s">
        <v>48</v>
      </c>
      <c r="H53" s="20">
        <v>0.06</v>
      </c>
      <c r="I53" s="20">
        <v>0.06</v>
      </c>
      <c r="J53" s="20">
        <v>0.06</v>
      </c>
      <c r="K53" s="20">
        <v>0.06</v>
      </c>
      <c r="L53" s="20">
        <v>0.06</v>
      </c>
    </row>
    <row r="54" spans="2:14">
      <c r="B54" s="67" t="s">
        <v>49</v>
      </c>
      <c r="H54" s="20">
        <v>7.4999999999999997E-2</v>
      </c>
      <c r="I54" s="20">
        <v>7.4999999999999997E-2</v>
      </c>
      <c r="J54" s="20">
        <v>7.4999999999999997E-2</v>
      </c>
      <c r="K54" s="20">
        <v>7.4999999999999997E-2</v>
      </c>
      <c r="L54" s="20">
        <v>7.4999999999999997E-2</v>
      </c>
    </row>
    <row r="55" spans="2:14">
      <c r="B55" s="67" t="s">
        <v>50</v>
      </c>
      <c r="H55" s="20">
        <v>0.15</v>
      </c>
      <c r="I55" s="20">
        <v>0.15</v>
      </c>
      <c r="J55" s="20">
        <v>0.15</v>
      </c>
      <c r="K55" s="20">
        <v>0.15</v>
      </c>
      <c r="L55" s="20">
        <v>0.15</v>
      </c>
    </row>
    <row r="56" spans="2:14">
      <c r="B56" s="65" t="s">
        <v>128</v>
      </c>
      <c r="C56" s="20">
        <f>C$14/C$5</f>
        <v>0.12237036298769065</v>
      </c>
      <c r="D56" s="20">
        <f t="shared" ref="D56:F56" si="26">D$14/D$5</f>
        <v>0.10866108023374629</v>
      </c>
      <c r="E56" s="20">
        <f t="shared" si="26"/>
        <v>0.1097349358445797</v>
      </c>
      <c r="F56" s="20">
        <f t="shared" si="26"/>
        <v>0.18438608112473745</v>
      </c>
      <c r="H56" s="165">
        <f>CHOOSE($C$26,H57,H58,H59)</f>
        <v>0.1</v>
      </c>
      <c r="I56" s="166">
        <f t="shared" ref="I56:L56" si="27">CHOOSE($C$26,I57,I58,I59)</f>
        <v>0.1</v>
      </c>
      <c r="J56" s="166">
        <f t="shared" si="27"/>
        <v>0.1</v>
      </c>
      <c r="K56" s="166">
        <f t="shared" si="27"/>
        <v>0.1</v>
      </c>
      <c r="L56" s="167">
        <f t="shared" si="27"/>
        <v>0.1</v>
      </c>
      <c r="N56" s="4" t="s">
        <v>393</v>
      </c>
    </row>
    <row r="57" spans="2:14">
      <c r="B57" s="67" t="s">
        <v>48</v>
      </c>
      <c r="C57" s="10"/>
      <c r="H57" s="20">
        <v>0.1</v>
      </c>
      <c r="I57" s="20">
        <v>0.1</v>
      </c>
      <c r="J57" s="20">
        <v>0.1</v>
      </c>
      <c r="K57" s="20">
        <v>0.1</v>
      </c>
      <c r="L57" s="20">
        <v>0.1</v>
      </c>
    </row>
    <row r="58" spans="2:14">
      <c r="B58" s="67" t="s">
        <v>49</v>
      </c>
      <c r="H58" s="20">
        <v>0.115</v>
      </c>
      <c r="I58" s="20">
        <v>0.115</v>
      </c>
      <c r="J58" s="20">
        <v>0.115</v>
      </c>
      <c r="K58" s="20">
        <v>0.115</v>
      </c>
      <c r="L58" s="20">
        <v>0.115</v>
      </c>
    </row>
    <row r="59" spans="2:14">
      <c r="B59" s="67" t="s">
        <v>50</v>
      </c>
      <c r="H59" s="20">
        <v>0.12</v>
      </c>
      <c r="I59" s="20">
        <v>0.12</v>
      </c>
      <c r="J59" s="20">
        <v>0.12</v>
      </c>
      <c r="K59" s="20">
        <v>0.12</v>
      </c>
      <c r="L59" s="20">
        <v>0.12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4D261-FC17-4043-8679-625884C69538}">
  <sheetPr codeName="Sheet10">
    <tabColor theme="7" tint="0.39997558519241921"/>
  </sheetPr>
  <dimension ref="B1:N40"/>
  <sheetViews>
    <sheetView zoomScale="90" zoomScaleNormal="90" workbookViewId="0">
      <selection activeCell="B1" sqref="B1"/>
    </sheetView>
  </sheetViews>
  <sheetFormatPr defaultColWidth="9.08984375" defaultRowHeight="11.5"/>
  <cols>
    <col min="1" max="1" width="2" style="4" customWidth="1"/>
    <col min="2" max="2" width="40.08984375" style="4" customWidth="1"/>
    <col min="3" max="3" width="11.1796875" style="4" customWidth="1"/>
    <col min="4" max="4" width="9.54296875" style="4" bestFit="1" customWidth="1"/>
    <col min="5" max="5" width="9.54296875" style="4" customWidth="1"/>
    <col min="6" max="6" width="9.726562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4" width="10.54296875" style="437" customWidth="1"/>
    <col min="15" max="16384" width="9.08984375" style="4"/>
  </cols>
  <sheetData>
    <row r="1" spans="2:14" ht="15.5">
      <c r="B1" s="3" t="s">
        <v>88</v>
      </c>
    </row>
    <row r="3" spans="2:14" ht="23.5" thickBot="1">
      <c r="B3" s="13" t="s">
        <v>19</v>
      </c>
      <c r="C3" s="14" t="s">
        <v>92</v>
      </c>
      <c r="D3" s="14" t="s">
        <v>93</v>
      </c>
      <c r="E3" s="14" t="s">
        <v>94</v>
      </c>
      <c r="F3" s="14" t="s">
        <v>95</v>
      </c>
      <c r="G3" s="17"/>
      <c r="H3" s="15" t="s">
        <v>97</v>
      </c>
      <c r="I3" s="15" t="s">
        <v>98</v>
      </c>
      <c r="J3" s="15" t="s">
        <v>99</v>
      </c>
      <c r="K3" s="15" t="s">
        <v>100</v>
      </c>
      <c r="L3" s="15" t="s">
        <v>101</v>
      </c>
      <c r="N3" s="443" t="s">
        <v>21</v>
      </c>
    </row>
    <row r="4" spans="2:14">
      <c r="B4" s="4" t="s">
        <v>25</v>
      </c>
      <c r="C4" s="10">
        <f>'P&amp;L'!C4</f>
        <v>2927540</v>
      </c>
      <c r="D4" s="10">
        <f>'P&amp;L'!D4</f>
        <v>3303156</v>
      </c>
      <c r="E4" s="10">
        <f>'P&amp;L'!E4</f>
        <v>3439503</v>
      </c>
      <c r="F4" s="10">
        <f>'P&amp;L'!F4</f>
        <v>1795265</v>
      </c>
      <c r="H4" s="21">
        <f>'P&amp;L'!H4</f>
        <v>3770056.5</v>
      </c>
      <c r="I4" s="21">
        <f>'P&amp;L'!I4</f>
        <v>3958559.3250000002</v>
      </c>
      <c r="J4" s="21">
        <f>'P&amp;L'!J4</f>
        <v>4156487.2912500002</v>
      </c>
      <c r="K4" s="21">
        <f>'P&amp;L'!K4</f>
        <v>4364311.6558125</v>
      </c>
      <c r="L4" s="21">
        <f>'P&amp;L'!L4</f>
        <v>4582527.2386031253</v>
      </c>
    </row>
    <row r="5" spans="2:14">
      <c r="B5" s="4" t="s">
        <v>172</v>
      </c>
      <c r="C5" s="10">
        <f>-'PrelimCF_21-24'!B23</f>
        <v>66943</v>
      </c>
      <c r="D5" s="10">
        <f>-'PrelimCF_21-24'!C23</f>
        <v>112464</v>
      </c>
      <c r="E5" s="10">
        <f>-'PrelimCF_21-24'!D23</f>
        <v>151565</v>
      </c>
      <c r="F5" s="10">
        <f>-'PrelimCF_21-24'!E23</f>
        <v>66297</v>
      </c>
      <c r="H5" s="21">
        <f>H$4*H$25</f>
        <v>169652.54249999998</v>
      </c>
      <c r="I5" s="21">
        <f t="shared" ref="I5:L5" si="0">I$4*I$25</f>
        <v>178135.16962500001</v>
      </c>
      <c r="J5" s="21">
        <f t="shared" si="0"/>
        <v>187041.92810625001</v>
      </c>
      <c r="K5" s="21">
        <f t="shared" si="0"/>
        <v>196394.02451156249</v>
      </c>
      <c r="L5" s="21">
        <f t="shared" si="0"/>
        <v>206213.72573714063</v>
      </c>
    </row>
    <row r="6" spans="2:14" ht="12">
      <c r="B6" s="111" t="s">
        <v>171</v>
      </c>
      <c r="C6" s="109">
        <f>C$5/C$4</f>
        <v>2.2866638884524209E-2</v>
      </c>
      <c r="D6" s="109">
        <f t="shared" ref="D6:E6" si="1">D5/D4</f>
        <v>3.4047438268129025E-2</v>
      </c>
      <c r="E6" s="109">
        <f t="shared" si="1"/>
        <v>4.4065959529618087E-2</v>
      </c>
      <c r="F6" s="109">
        <f>F5/F4</f>
        <v>3.6928809952848189E-2</v>
      </c>
      <c r="H6" s="113"/>
      <c r="I6" s="113"/>
      <c r="J6" s="113"/>
      <c r="K6" s="113"/>
      <c r="L6" s="113"/>
    </row>
    <row r="7" spans="2:14" ht="3.75" customHeight="1">
      <c r="C7" s="10"/>
      <c r="D7" s="10"/>
      <c r="E7" s="10"/>
      <c r="F7" s="10"/>
      <c r="H7" s="21"/>
      <c r="I7" s="21"/>
      <c r="J7" s="21"/>
      <c r="K7" s="21"/>
      <c r="L7" s="21"/>
    </row>
    <row r="8" spans="2:14">
      <c r="B8" s="95" t="s">
        <v>173</v>
      </c>
      <c r="C8" s="10">
        <f>-'P&amp;L'!C14</f>
        <v>89654</v>
      </c>
      <c r="D8" s="10">
        <f>-'P&amp;L'!D14</f>
        <v>92380</v>
      </c>
      <c r="E8" s="10">
        <f>-'P&amp;L'!E14</f>
        <v>93136</v>
      </c>
      <c r="F8" s="10">
        <f>-'P&amp;L'!F14</f>
        <v>49716</v>
      </c>
      <c r="G8" s="10"/>
      <c r="H8" s="21">
        <f>H$5*H$29</f>
        <v>122149.83059999999</v>
      </c>
      <c r="I8" s="21">
        <f t="shared" ref="I8:L8" si="2">I$5*I$29</f>
        <v>130038.67382625</v>
      </c>
      <c r="J8" s="21">
        <f t="shared" si="2"/>
        <v>138411.02679862501</v>
      </c>
      <c r="K8" s="21">
        <f t="shared" si="2"/>
        <v>147295.51838367188</v>
      </c>
      <c r="L8" s="21">
        <f t="shared" si="2"/>
        <v>156722.43156022689</v>
      </c>
    </row>
    <row r="9" spans="2:14" ht="12">
      <c r="B9" s="65" t="s">
        <v>174</v>
      </c>
      <c r="C9" s="109">
        <f t="shared" ref="C9:E9" si="3">C8/C5</f>
        <v>1.3392587723884499</v>
      </c>
      <c r="D9" s="109">
        <f t="shared" si="3"/>
        <v>0.82141840944657851</v>
      </c>
      <c r="E9" s="109">
        <f t="shared" si="3"/>
        <v>0.61449543100319992</v>
      </c>
      <c r="F9" s="109">
        <f>F8/F5</f>
        <v>0.74989818543825515</v>
      </c>
      <c r="H9" s="113"/>
      <c r="I9" s="113"/>
      <c r="J9" s="113"/>
      <c r="K9" s="113"/>
      <c r="L9" s="113"/>
    </row>
    <row r="10" spans="2:14" ht="12">
      <c r="B10" s="111" t="s">
        <v>175</v>
      </c>
      <c r="C10" s="109">
        <f>C8/BS!C10</f>
        <v>0.12086886885807271</v>
      </c>
      <c r="D10" s="109">
        <f>D8/BS!D10</f>
        <v>0.12382531489134121</v>
      </c>
      <c r="E10" s="109">
        <f>E8/BS!E10</f>
        <v>0.11773078512892922</v>
      </c>
      <c r="F10" s="109">
        <f>F8/BS!F10</f>
        <v>6.1344152094407509E-2</v>
      </c>
      <c r="H10" s="21"/>
      <c r="I10" s="21"/>
      <c r="J10" s="21"/>
      <c r="K10" s="21"/>
      <c r="L10" s="21"/>
    </row>
    <row r="11" spans="2:14" ht="12" customHeight="1">
      <c r="B11" s="67"/>
      <c r="C11" s="10"/>
      <c r="D11" s="10"/>
      <c r="E11" s="10"/>
      <c r="F11" s="10"/>
      <c r="G11" s="4">
        <f t="shared" ref="G11" si="4">SUM(G$4:G$6,G$8)</f>
        <v>0</v>
      </c>
      <c r="H11" s="21"/>
      <c r="I11" s="21"/>
      <c r="J11" s="21"/>
      <c r="K11" s="21"/>
      <c r="L11" s="21"/>
    </row>
    <row r="12" spans="2:14" ht="12" customHeight="1">
      <c r="B12" s="57" t="s">
        <v>176</v>
      </c>
      <c r="C12" s="110"/>
      <c r="D12" s="58"/>
      <c r="E12" s="58"/>
      <c r="F12" s="58"/>
      <c r="G12" s="57">
        <f t="shared" ref="G12" si="5">SUM(G9:G11)</f>
        <v>0</v>
      </c>
      <c r="H12" s="21">
        <f>F16</f>
        <v>810444</v>
      </c>
      <c r="I12" s="21">
        <f>H16</f>
        <v>857946.71189999999</v>
      </c>
      <c r="J12" s="21">
        <f t="shared" ref="J12:L12" si="6">I16</f>
        <v>906043.20769874996</v>
      </c>
      <c r="K12" s="21">
        <f t="shared" si="6"/>
        <v>954674.10900637507</v>
      </c>
      <c r="L12" s="21">
        <f t="shared" si="6"/>
        <v>1003772.6151342656</v>
      </c>
    </row>
    <row r="13" spans="2:14" ht="12" customHeight="1">
      <c r="B13" s="4" t="s">
        <v>172</v>
      </c>
      <c r="C13" s="58"/>
      <c r="D13" s="58"/>
      <c r="E13" s="58"/>
      <c r="F13" s="58"/>
      <c r="G13" s="57"/>
      <c r="H13" s="21">
        <f>H5</f>
        <v>169652.54249999998</v>
      </c>
      <c r="I13" s="21">
        <f t="shared" ref="I13:L13" si="7">I5</f>
        <v>178135.16962500001</v>
      </c>
      <c r="J13" s="21">
        <f t="shared" si="7"/>
        <v>187041.92810625001</v>
      </c>
      <c r="K13" s="21">
        <f t="shared" si="7"/>
        <v>196394.02451156249</v>
      </c>
      <c r="L13" s="21">
        <f t="shared" si="7"/>
        <v>206213.72573714063</v>
      </c>
    </row>
    <row r="14" spans="2:14" ht="12" customHeight="1">
      <c r="B14" s="67" t="s">
        <v>221</v>
      </c>
      <c r="C14" s="10"/>
      <c r="D14" s="10"/>
      <c r="E14" s="10"/>
      <c r="F14" s="10"/>
      <c r="H14" s="21">
        <f>-H8</f>
        <v>-122149.83059999999</v>
      </c>
      <c r="I14" s="21">
        <f t="shared" ref="I14:L14" si="8">-I8</f>
        <v>-130038.67382625</v>
      </c>
      <c r="J14" s="21">
        <f t="shared" si="8"/>
        <v>-138411.02679862501</v>
      </c>
      <c r="K14" s="21">
        <f t="shared" si="8"/>
        <v>-147295.51838367188</v>
      </c>
      <c r="L14" s="21">
        <f t="shared" si="8"/>
        <v>-156722.43156022689</v>
      </c>
      <c r="N14" s="437" t="s">
        <v>223</v>
      </c>
    </row>
    <row r="15" spans="2:14" ht="12" customHeight="1" thickBot="1">
      <c r="B15" s="67" t="s">
        <v>222</v>
      </c>
      <c r="C15" s="10"/>
      <c r="D15" s="10"/>
      <c r="E15" s="10"/>
      <c r="F15" s="10"/>
      <c r="H15" s="21">
        <v>0</v>
      </c>
      <c r="I15" s="21">
        <v>0</v>
      </c>
      <c r="J15" s="21">
        <v>0</v>
      </c>
      <c r="K15" s="21">
        <v>0</v>
      </c>
      <c r="L15" s="21">
        <v>0</v>
      </c>
      <c r="N15" s="437" t="s">
        <v>223</v>
      </c>
    </row>
    <row r="16" spans="2:14" ht="12" customHeight="1">
      <c r="B16" s="98" t="s">
        <v>177</v>
      </c>
      <c r="C16" s="99">
        <f>BS!C10</f>
        <v>741746</v>
      </c>
      <c r="D16" s="99">
        <f>BS!D10</f>
        <v>746051</v>
      </c>
      <c r="E16" s="99">
        <f>BS!E10</f>
        <v>791093</v>
      </c>
      <c r="F16" s="99">
        <f>BS!F10</f>
        <v>810444</v>
      </c>
      <c r="G16" s="100"/>
      <c r="H16" s="101">
        <f>SUM(H12:H15)</f>
        <v>857946.71189999999</v>
      </c>
      <c r="I16" s="101">
        <f t="shared" ref="I16:L16" si="9">SUM(I12:I15)</f>
        <v>906043.20769874996</v>
      </c>
      <c r="J16" s="101">
        <f t="shared" si="9"/>
        <v>954674.10900637507</v>
      </c>
      <c r="K16" s="101">
        <f t="shared" si="9"/>
        <v>1003772.6151342656</v>
      </c>
      <c r="L16" s="101">
        <f t="shared" si="9"/>
        <v>1053263.9093111793</v>
      </c>
    </row>
    <row r="17" spans="2:14" ht="12" customHeight="1">
      <c r="B17" s="65"/>
      <c r="C17" s="10"/>
      <c r="D17" s="10"/>
      <c r="E17" s="10"/>
      <c r="F17" s="10"/>
      <c r="H17" s="21"/>
      <c r="I17" s="21"/>
      <c r="J17" s="21"/>
      <c r="K17" s="21"/>
      <c r="L17" s="21"/>
    </row>
    <row r="18" spans="2:14" ht="12" customHeight="1">
      <c r="B18" s="65"/>
      <c r="C18" s="10"/>
      <c r="D18" s="10"/>
      <c r="E18" s="10"/>
      <c r="F18" s="10"/>
      <c r="H18" s="21"/>
      <c r="I18" s="21"/>
      <c r="J18" s="21"/>
      <c r="K18" s="21"/>
      <c r="L18" s="21"/>
    </row>
    <row r="19" spans="2:14" ht="12" customHeight="1">
      <c r="B19" s="57"/>
      <c r="C19" s="58"/>
      <c r="D19" s="58"/>
      <c r="E19" s="58"/>
      <c r="F19" s="58"/>
      <c r="G19" s="112"/>
      <c r="H19" s="112"/>
      <c r="I19" s="112"/>
      <c r="J19" s="112"/>
      <c r="K19" s="112"/>
      <c r="L19" s="112"/>
      <c r="M19" s="112"/>
    </row>
    <row r="20" spans="2:14" ht="12" customHeight="1">
      <c r="B20" s="4" t="s">
        <v>110</v>
      </c>
      <c r="C20" s="30">
        <f>'P&amp;L'!C36</f>
        <v>1</v>
      </c>
      <c r="D20" s="58"/>
      <c r="E20" s="58"/>
      <c r="F20" s="58"/>
      <c r="G20" s="112"/>
      <c r="H20" s="112"/>
      <c r="I20" s="112"/>
      <c r="J20" s="112"/>
      <c r="K20" s="112"/>
      <c r="L20" s="112"/>
      <c r="M20" s="112"/>
    </row>
    <row r="21" spans="2:14" ht="12" customHeight="1">
      <c r="B21" s="57"/>
      <c r="C21" s="58"/>
      <c r="D21" s="58"/>
      <c r="E21" s="58"/>
      <c r="F21" s="58"/>
      <c r="G21" s="112"/>
      <c r="H21" s="112"/>
      <c r="I21" s="112"/>
      <c r="J21" s="112"/>
      <c r="K21" s="112"/>
      <c r="L21" s="112"/>
      <c r="M21" s="112"/>
    </row>
    <row r="22" spans="2:14" ht="12" customHeight="1">
      <c r="B22" s="57"/>
      <c r="C22" s="58"/>
      <c r="D22" s="58"/>
      <c r="E22" s="58"/>
      <c r="F22" s="58"/>
      <c r="G22" s="112"/>
      <c r="H22" s="112"/>
      <c r="I22" s="112"/>
      <c r="J22" s="112"/>
      <c r="K22" s="112"/>
      <c r="L22" s="112"/>
      <c r="M22" s="112"/>
    </row>
    <row r="23" spans="2:14" ht="12" thickBot="1">
      <c r="B23" s="77" t="s">
        <v>103</v>
      </c>
      <c r="C23" s="77"/>
      <c r="D23" s="77"/>
      <c r="E23" s="77"/>
      <c r="F23" s="77"/>
      <c r="G23" s="77"/>
      <c r="H23" s="77"/>
      <c r="I23" s="77"/>
      <c r="J23" s="77"/>
      <c r="K23" s="77"/>
      <c r="L23" s="77"/>
    </row>
    <row r="25" spans="2:14" ht="12">
      <c r="B25" s="4" t="s">
        <v>171</v>
      </c>
      <c r="C25" s="109">
        <f>C$5/C$4</f>
        <v>2.2866638884524209E-2</v>
      </c>
      <c r="D25" s="109">
        <f t="shared" ref="D25:F25" si="10">D$5/D$4</f>
        <v>3.4047438268129025E-2</v>
      </c>
      <c r="E25" s="109">
        <f t="shared" si="10"/>
        <v>4.4065959529618087E-2</v>
      </c>
      <c r="F25" s="109">
        <f t="shared" si="10"/>
        <v>3.6928809952848189E-2</v>
      </c>
      <c r="H25" s="79">
        <f>CHOOSE($C$20,H26,H27,H28)</f>
        <v>4.4999999999999998E-2</v>
      </c>
      <c r="I25" s="80">
        <f t="shared" ref="I25:L25" si="11">CHOOSE($C$20,I26,I27,I28)</f>
        <v>4.4999999999999998E-2</v>
      </c>
      <c r="J25" s="80">
        <f t="shared" si="11"/>
        <v>4.4999999999999998E-2</v>
      </c>
      <c r="K25" s="80">
        <f t="shared" si="11"/>
        <v>4.4999999999999998E-2</v>
      </c>
      <c r="L25" s="81">
        <f t="shared" si="11"/>
        <v>4.4999999999999998E-2</v>
      </c>
    </row>
    <row r="26" spans="2:14" ht="14" customHeight="1">
      <c r="B26" s="67" t="s">
        <v>48</v>
      </c>
      <c r="H26" s="20">
        <v>4.4999999999999998E-2</v>
      </c>
      <c r="I26" s="20">
        <v>4.4999999999999998E-2</v>
      </c>
      <c r="J26" s="20">
        <v>4.4999999999999998E-2</v>
      </c>
      <c r="K26" s="20">
        <v>4.4999999999999998E-2</v>
      </c>
      <c r="L26" s="20">
        <v>4.4999999999999998E-2</v>
      </c>
    </row>
    <row r="27" spans="2:14" ht="14" customHeight="1">
      <c r="B27" s="67" t="s">
        <v>49</v>
      </c>
      <c r="H27" s="20">
        <v>3.5000000000000003E-2</v>
      </c>
      <c r="I27" s="20">
        <v>3.5000000000000003E-2</v>
      </c>
      <c r="J27" s="20">
        <v>3.5000000000000003E-2</v>
      </c>
      <c r="K27" s="20">
        <v>3.5000000000000003E-2</v>
      </c>
      <c r="L27" s="20">
        <v>3.5000000000000003E-2</v>
      </c>
      <c r="N27" s="437" t="s">
        <v>219</v>
      </c>
    </row>
    <row r="28" spans="2:14" ht="14" customHeight="1">
      <c r="B28" s="67" t="s">
        <v>50</v>
      </c>
      <c r="H28" s="20">
        <v>0.02</v>
      </c>
      <c r="I28" s="20">
        <v>0.02</v>
      </c>
      <c r="J28" s="20">
        <v>0.02</v>
      </c>
      <c r="K28" s="20">
        <v>0.02</v>
      </c>
      <c r="L28" s="20">
        <v>0.02</v>
      </c>
    </row>
    <row r="29" spans="2:14" ht="14" customHeight="1">
      <c r="B29" s="4" t="s">
        <v>174</v>
      </c>
      <c r="C29" s="109">
        <f>C8/C5</f>
        <v>1.3392587723884499</v>
      </c>
      <c r="D29" s="109">
        <f t="shared" ref="D29:F29" si="12">D8/D5</f>
        <v>0.82141840944657851</v>
      </c>
      <c r="E29" s="109">
        <f t="shared" si="12"/>
        <v>0.61449543100319992</v>
      </c>
      <c r="F29" s="109">
        <f t="shared" si="12"/>
        <v>0.74989818543825515</v>
      </c>
      <c r="G29" s="20"/>
      <c r="H29" s="79">
        <f>CHOOSE($C$20,H30,H31,H32)</f>
        <v>0.72</v>
      </c>
      <c r="I29" s="80">
        <f t="shared" ref="I29:L29" si="13">CHOOSE($C$20,I30,I31,I32)</f>
        <v>0.73</v>
      </c>
      <c r="J29" s="80">
        <f t="shared" si="13"/>
        <v>0.74</v>
      </c>
      <c r="K29" s="80">
        <f t="shared" si="13"/>
        <v>0.75</v>
      </c>
      <c r="L29" s="81">
        <f t="shared" si="13"/>
        <v>0.76</v>
      </c>
      <c r="M29" s="20"/>
      <c r="N29" s="437" t="s">
        <v>220</v>
      </c>
    </row>
    <row r="30" spans="2:14" ht="14" customHeight="1">
      <c r="B30" s="67" t="s">
        <v>48</v>
      </c>
      <c r="H30" s="20">
        <v>0.72</v>
      </c>
      <c r="I30" s="20">
        <v>0.73</v>
      </c>
      <c r="J30" s="20">
        <v>0.74</v>
      </c>
      <c r="K30" s="20">
        <v>0.75</v>
      </c>
      <c r="L30" s="20">
        <v>0.76</v>
      </c>
    </row>
    <row r="31" spans="2:14" ht="14" customHeight="1">
      <c r="B31" s="67" t="s">
        <v>49</v>
      </c>
      <c r="C31" s="20"/>
      <c r="D31" s="20"/>
      <c r="E31" s="20"/>
      <c r="F31" s="20"/>
      <c r="H31" s="20">
        <v>0.72</v>
      </c>
      <c r="I31" s="20">
        <v>0.73</v>
      </c>
      <c r="J31" s="20">
        <v>0.74</v>
      </c>
      <c r="K31" s="20">
        <v>0.75</v>
      </c>
      <c r="L31" s="20">
        <v>0.76</v>
      </c>
    </row>
    <row r="32" spans="2:14" ht="14" customHeight="1">
      <c r="B32" s="67" t="s">
        <v>50</v>
      </c>
      <c r="H32" s="20">
        <v>0.72</v>
      </c>
      <c r="I32" s="20">
        <v>0.73</v>
      </c>
      <c r="J32" s="20">
        <v>0.74</v>
      </c>
      <c r="K32" s="20">
        <v>0.75</v>
      </c>
      <c r="L32" s="20">
        <v>0.76</v>
      </c>
    </row>
    <row r="33" spans="2:12">
      <c r="C33" s="156"/>
      <c r="H33" s="172"/>
      <c r="I33" s="172"/>
      <c r="J33" s="172"/>
      <c r="K33" s="172"/>
      <c r="L33" s="172"/>
    </row>
    <row r="34" spans="2:12">
      <c r="C34" s="20"/>
      <c r="D34" s="20"/>
      <c r="E34" s="20"/>
      <c r="F34" s="20"/>
      <c r="H34" s="20"/>
      <c r="I34" s="20"/>
      <c r="J34" s="20"/>
      <c r="K34" s="20"/>
      <c r="L34" s="20"/>
    </row>
    <row r="35" spans="2:12">
      <c r="C35" s="20"/>
      <c r="D35" s="20"/>
      <c r="E35" s="20"/>
      <c r="F35" s="20"/>
      <c r="H35" s="20"/>
      <c r="I35" s="20"/>
      <c r="J35" s="20"/>
      <c r="K35" s="20"/>
      <c r="L35" s="20"/>
    </row>
    <row r="36" spans="2:12">
      <c r="B36" s="67"/>
    </row>
    <row r="37" spans="2:12">
      <c r="B37" s="67"/>
    </row>
    <row r="38" spans="2:12">
      <c r="B38" s="67"/>
    </row>
    <row r="39" spans="2:12">
      <c r="C39" s="70"/>
    </row>
    <row r="40" spans="2:12">
      <c r="C40" s="10"/>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5143-AC64-4B42-A0F3-09A9A7A84246}">
  <sheetPr codeName="Sheet15">
    <tabColor theme="7" tint="0.39997558519241921"/>
  </sheetPr>
  <dimension ref="B1:P47"/>
  <sheetViews>
    <sheetView zoomScale="80" zoomScaleNormal="80" workbookViewId="0">
      <selection activeCell="B1" sqref="B1"/>
    </sheetView>
  </sheetViews>
  <sheetFormatPr defaultColWidth="9.08984375" defaultRowHeight="11.5"/>
  <cols>
    <col min="1" max="1" width="2" style="4" customWidth="1"/>
    <col min="2" max="2" width="40.08984375" style="4" customWidth="1"/>
    <col min="3" max="3" width="11.1796875" style="4" customWidth="1"/>
    <col min="4" max="4" width="11.453125" style="4" bestFit="1" customWidth="1"/>
    <col min="5" max="5" width="9.54296875" style="4" customWidth="1"/>
    <col min="6" max="6" width="11.453125" style="4" bestFit="1" customWidth="1"/>
    <col min="7" max="7" width="2" style="4" customWidth="1"/>
    <col min="8" max="8" width="12.6328125" style="4" bestFit="1" customWidth="1"/>
    <col min="9" max="12" width="10.26953125" style="4" bestFit="1" customWidth="1"/>
    <col min="13" max="13" width="2" style="4" customWidth="1"/>
    <col min="14" max="14" width="10.54296875" style="437" customWidth="1"/>
    <col min="15" max="16384" width="9.08984375" style="4"/>
  </cols>
  <sheetData>
    <row r="1" spans="2:16" ht="15.5">
      <c r="B1" s="3" t="s">
        <v>529</v>
      </c>
    </row>
    <row r="3" spans="2:16" ht="23.5" thickBot="1">
      <c r="B3" s="13" t="s">
        <v>224</v>
      </c>
      <c r="C3" s="14" t="s">
        <v>92</v>
      </c>
      <c r="D3" s="14" t="s">
        <v>93</v>
      </c>
      <c r="E3" s="14" t="s">
        <v>94</v>
      </c>
      <c r="F3" s="14" t="s">
        <v>95</v>
      </c>
      <c r="G3" s="17"/>
      <c r="H3" s="15" t="s">
        <v>97</v>
      </c>
      <c r="I3" s="15" t="s">
        <v>98</v>
      </c>
      <c r="J3" s="15" t="s">
        <v>99</v>
      </c>
      <c r="K3" s="15" t="s">
        <v>100</v>
      </c>
      <c r="L3" s="15" t="s">
        <v>101</v>
      </c>
      <c r="N3" s="443" t="s">
        <v>21</v>
      </c>
      <c r="O3" s="18"/>
      <c r="P3" s="18"/>
    </row>
    <row r="4" spans="2:16">
      <c r="B4" s="65" t="s">
        <v>226</v>
      </c>
      <c r="C4" s="10">
        <f>BS!C11</f>
        <v>251701</v>
      </c>
      <c r="D4" s="10">
        <f>BS!D11</f>
        <v>251524</v>
      </c>
      <c r="E4" s="10">
        <f>BS!E11</f>
        <v>251727</v>
      </c>
      <c r="F4" s="10">
        <f>BS!F11</f>
        <v>252039</v>
      </c>
      <c r="H4" s="21">
        <f>F4*(1+H$22)</f>
        <v>252139.8156</v>
      </c>
      <c r="I4" s="21">
        <f>H4*(1+I$22)</f>
        <v>252240.67152623998</v>
      </c>
      <c r="J4" s="21">
        <f>I4*(1+J$22)</f>
        <v>252341.56779485047</v>
      </c>
      <c r="K4" s="21">
        <f>J4*(1+K$22)</f>
        <v>252442.50442196839</v>
      </c>
      <c r="L4" s="21">
        <f>K4*(1+L$22)</f>
        <v>252543.48142373716</v>
      </c>
    </row>
    <row r="5" spans="2:16">
      <c r="B5" s="4" t="s">
        <v>122</v>
      </c>
      <c r="C5" s="10">
        <f>BS!C12</f>
        <v>1241237</v>
      </c>
      <c r="D5" s="10">
        <f>BS!D12</f>
        <v>1268986</v>
      </c>
      <c r="E5" s="10">
        <f>BS!E12</f>
        <v>1302150</v>
      </c>
      <c r="F5" s="10">
        <f>BS!F12</f>
        <v>1338155</v>
      </c>
      <c r="H5" s="21">
        <f>F5*(1+H$26)</f>
        <v>1371608.8749999998</v>
      </c>
      <c r="I5" s="21">
        <f>H5*(1+I$26)</f>
        <v>1405899.0968749996</v>
      </c>
      <c r="J5" s="21">
        <f t="shared" ref="J5:L5" si="0">I5*(1+J$26)</f>
        <v>1441046.5742968745</v>
      </c>
      <c r="K5" s="21">
        <f t="shared" si="0"/>
        <v>1477072.7386542961</v>
      </c>
      <c r="L5" s="21">
        <f t="shared" si="0"/>
        <v>1513999.5571206533</v>
      </c>
    </row>
    <row r="6" spans="2:16">
      <c r="B6" s="65" t="s">
        <v>227</v>
      </c>
      <c r="C6" s="10">
        <f>BS!C13</f>
        <v>157852</v>
      </c>
      <c r="D6" s="10">
        <f>BS!D13</f>
        <v>162891</v>
      </c>
      <c r="E6" s="10">
        <f>BS!E13</f>
        <v>194615</v>
      </c>
      <c r="F6" s="10">
        <f>BS!F13</f>
        <v>201018</v>
      </c>
      <c r="H6" s="21">
        <f>F6*(1+H$30)</f>
        <v>218506.56599999999</v>
      </c>
      <c r="I6" s="21">
        <f>H6*(1+I$30)</f>
        <v>237516.637242</v>
      </c>
      <c r="J6" s="21">
        <f t="shared" ref="J6:L6" si="1">I6*(1+J$30)</f>
        <v>258180.584682054</v>
      </c>
      <c r="K6" s="21">
        <f t="shared" si="1"/>
        <v>280642.2955493927</v>
      </c>
      <c r="L6" s="21">
        <f t="shared" si="1"/>
        <v>305058.17526218988</v>
      </c>
    </row>
    <row r="7" spans="2:16" ht="12">
      <c r="B7" s="111" t="s">
        <v>228</v>
      </c>
      <c r="C7" s="119">
        <f t="shared" ref="C7:L7" si="2">SUM(C4:C6)</f>
        <v>1650790</v>
      </c>
      <c r="D7" s="119">
        <f t="shared" si="2"/>
        <v>1683401</v>
      </c>
      <c r="E7" s="119">
        <f t="shared" si="2"/>
        <v>1748492</v>
      </c>
      <c r="F7" s="119">
        <f t="shared" si="2"/>
        <v>1791212</v>
      </c>
      <c r="G7" s="119">
        <f t="shared" si="2"/>
        <v>0</v>
      </c>
      <c r="H7" s="120">
        <f t="shared" si="2"/>
        <v>1842255.2566</v>
      </c>
      <c r="I7" s="120">
        <f t="shared" si="2"/>
        <v>1895656.4056432396</v>
      </c>
      <c r="J7" s="120">
        <f t="shared" si="2"/>
        <v>1951568.7267737789</v>
      </c>
      <c r="K7" s="120">
        <f t="shared" si="2"/>
        <v>2010157.5386256573</v>
      </c>
      <c r="L7" s="120">
        <f t="shared" si="2"/>
        <v>2071601.2138065805</v>
      </c>
      <c r="N7" s="451"/>
    </row>
    <row r="8" spans="2:16" ht="12">
      <c r="B8" s="116" t="s">
        <v>229</v>
      </c>
      <c r="C8" s="115"/>
      <c r="D8" s="115">
        <f>C7-D7</f>
        <v>-32611</v>
      </c>
      <c r="E8" s="115">
        <f t="shared" ref="E8:F8" si="3">D7-E7</f>
        <v>-65091</v>
      </c>
      <c r="F8" s="115">
        <f t="shared" si="3"/>
        <v>-42720</v>
      </c>
      <c r="G8" s="115"/>
      <c r="H8" s="434">
        <f>F7-H7</f>
        <v>-51043.256599999964</v>
      </c>
      <c r="I8" s="434">
        <f>H7-I7</f>
        <v>-53401.149043239653</v>
      </c>
      <c r="J8" s="434">
        <f t="shared" ref="J8:L8" si="4">I7-J7</f>
        <v>-55912.321130539291</v>
      </c>
      <c r="K8" s="434">
        <f t="shared" si="4"/>
        <v>-58588.811851878418</v>
      </c>
      <c r="L8" s="434">
        <f t="shared" si="4"/>
        <v>-61443.675180923194</v>
      </c>
      <c r="N8" s="451" t="s">
        <v>391</v>
      </c>
    </row>
    <row r="9" spans="2:16" ht="12">
      <c r="B9" s="111"/>
      <c r="C9" s="109"/>
      <c r="D9" s="109"/>
      <c r="E9" s="109"/>
      <c r="F9" s="109"/>
      <c r="H9" s="21"/>
      <c r="I9" s="21"/>
      <c r="J9" s="21"/>
      <c r="K9" s="21"/>
      <c r="L9" s="21"/>
      <c r="N9" s="451"/>
    </row>
    <row r="10" spans="2:16" ht="12" customHeight="1">
      <c r="B10" s="19" t="s">
        <v>225</v>
      </c>
      <c r="C10" s="10"/>
      <c r="D10" s="10"/>
      <c r="E10" s="10"/>
      <c r="F10" s="10"/>
      <c r="G10" s="4">
        <f>SUM(G$4:G$7,G$8)</f>
        <v>0</v>
      </c>
      <c r="H10" s="21"/>
      <c r="I10" s="21"/>
      <c r="J10" s="21"/>
      <c r="K10" s="21"/>
      <c r="L10" s="21"/>
      <c r="N10" s="451"/>
    </row>
    <row r="11" spans="2:16" ht="12" customHeight="1">
      <c r="B11" s="4" t="s">
        <v>129</v>
      </c>
      <c r="C11" s="10">
        <f>BS!C23</f>
        <v>1218269</v>
      </c>
      <c r="D11" s="10">
        <f>BS!D23</f>
        <v>1233497</v>
      </c>
      <c r="E11" s="10">
        <f>BS!E23</f>
        <v>1254955</v>
      </c>
      <c r="F11" s="10">
        <f>BS!F23</f>
        <v>1258933</v>
      </c>
      <c r="G11" s="57"/>
      <c r="H11" s="21">
        <f>F11*(1+H$34)</f>
        <v>1272781.2629999998</v>
      </c>
      <c r="I11" s="21">
        <f>H11*(1+I$34)</f>
        <v>1286781.8568929997</v>
      </c>
      <c r="J11" s="21">
        <f t="shared" ref="J11:L11" si="5">I11*(1+J$34)</f>
        <v>1300936.4573188226</v>
      </c>
      <c r="K11" s="21">
        <f t="shared" si="5"/>
        <v>1315246.7583493295</v>
      </c>
      <c r="L11" s="21">
        <f t="shared" si="5"/>
        <v>1329714.472691172</v>
      </c>
      <c r="N11" s="451"/>
    </row>
    <row r="12" spans="2:16" ht="12" customHeight="1">
      <c r="B12" s="4" t="s">
        <v>149</v>
      </c>
      <c r="C12" s="10">
        <f>BS!C24</f>
        <v>147400</v>
      </c>
      <c r="D12" s="10">
        <f>BS!D24</f>
        <v>125010</v>
      </c>
      <c r="E12" s="10">
        <f>BS!E24</f>
        <v>136648</v>
      </c>
      <c r="F12" s="10">
        <f>BS!F24</f>
        <v>133017</v>
      </c>
      <c r="G12" s="57"/>
      <c r="H12" s="21">
        <f>F12*(1+H$38)</f>
        <v>129292.52399999999</v>
      </c>
      <c r="I12" s="21">
        <f>H12*(1+I$38)</f>
        <v>125672.33332799999</v>
      </c>
      <c r="J12" s="21">
        <f t="shared" ref="J12:L12" si="6">I12*(1+J$38)</f>
        <v>122153.50799481598</v>
      </c>
      <c r="K12" s="21">
        <f t="shared" si="6"/>
        <v>118733.20977096113</v>
      </c>
      <c r="L12" s="21">
        <f t="shared" si="6"/>
        <v>115408.67989737421</v>
      </c>
      <c r="N12" s="451"/>
    </row>
    <row r="13" spans="2:16" ht="12" customHeight="1">
      <c r="B13" s="111" t="s">
        <v>230</v>
      </c>
      <c r="C13" s="121">
        <f>SUM(C11:C12)</f>
        <v>1365669</v>
      </c>
      <c r="D13" s="121">
        <f t="shared" ref="D13:F13" si="7">SUM(D11:D12)</f>
        <v>1358507</v>
      </c>
      <c r="E13" s="121">
        <f t="shared" si="7"/>
        <v>1391603</v>
      </c>
      <c r="F13" s="121">
        <f t="shared" si="7"/>
        <v>1391950</v>
      </c>
      <c r="G13" s="122"/>
      <c r="H13" s="123">
        <f>SUM(H11:H12)</f>
        <v>1402073.7869999998</v>
      </c>
      <c r="I13" s="123">
        <f t="shared" ref="I13:L13" si="8">SUM(I11:I12)</f>
        <v>1412454.1902209998</v>
      </c>
      <c r="J13" s="123">
        <f t="shared" si="8"/>
        <v>1423089.9653136386</v>
      </c>
      <c r="K13" s="123">
        <f t="shared" si="8"/>
        <v>1433979.9681202907</v>
      </c>
      <c r="L13" s="123">
        <f t="shared" si="8"/>
        <v>1445123.1525885463</v>
      </c>
      <c r="N13" s="451"/>
    </row>
    <row r="14" spans="2:16" ht="12" customHeight="1">
      <c r="B14" s="95" t="s">
        <v>235</v>
      </c>
      <c r="C14" s="10"/>
      <c r="D14" s="115">
        <f>D13-C13</f>
        <v>-7162</v>
      </c>
      <c r="E14" s="115">
        <f>E13-D13</f>
        <v>33096</v>
      </c>
      <c r="F14" s="115">
        <f t="shared" ref="F14" si="9">F13-E13</f>
        <v>347</v>
      </c>
      <c r="G14" s="173"/>
      <c r="H14" s="175">
        <f>H13-F13</f>
        <v>10123.786999999778</v>
      </c>
      <c r="I14" s="175">
        <f>I13-H13</f>
        <v>10380.403220999986</v>
      </c>
      <c r="J14" s="175">
        <f t="shared" ref="J14:L14" si="10">J13-I13</f>
        <v>10635.775092638796</v>
      </c>
      <c r="K14" s="175">
        <f t="shared" si="10"/>
        <v>10890.002806652104</v>
      </c>
      <c r="L14" s="175">
        <f t="shared" si="10"/>
        <v>11143.184468255611</v>
      </c>
      <c r="N14" s="451" t="s">
        <v>392</v>
      </c>
    </row>
    <row r="15" spans="2:16" ht="12" customHeight="1">
      <c r="C15" s="10"/>
      <c r="D15" s="10"/>
      <c r="E15" s="10"/>
      <c r="F15" s="10"/>
      <c r="H15" s="21"/>
      <c r="I15" s="21"/>
      <c r="J15" s="21"/>
      <c r="K15" s="21"/>
      <c r="L15" s="21"/>
      <c r="N15" s="451"/>
    </row>
    <row r="16" spans="2:16" ht="12" customHeight="1">
      <c r="B16" s="4" t="s">
        <v>236</v>
      </c>
      <c r="C16" s="58"/>
      <c r="D16" s="174">
        <f>D8+D14</f>
        <v>-39773</v>
      </c>
      <c r="E16" s="174">
        <f t="shared" ref="E16:F16" si="11">E8+E14</f>
        <v>-31995</v>
      </c>
      <c r="F16" s="174">
        <f t="shared" si="11"/>
        <v>-42373</v>
      </c>
      <c r="G16" s="117"/>
      <c r="H16" s="118">
        <v>0</v>
      </c>
      <c r="I16" s="118">
        <v>0</v>
      </c>
      <c r="J16" s="118">
        <v>0</v>
      </c>
      <c r="K16" s="118">
        <v>0</v>
      </c>
      <c r="L16" s="118">
        <v>0</v>
      </c>
      <c r="M16" s="112"/>
      <c r="N16" s="451"/>
    </row>
    <row r="17" spans="2:16" ht="12" customHeight="1">
      <c r="B17" s="65"/>
      <c r="C17" s="58"/>
      <c r="D17" s="58"/>
      <c r="E17" s="58"/>
      <c r="F17" s="58"/>
      <c r="G17" s="112"/>
      <c r="H17" s="112"/>
      <c r="I17" s="112"/>
      <c r="J17" s="112"/>
      <c r="K17" s="112"/>
      <c r="L17" s="112"/>
      <c r="M17" s="112"/>
      <c r="N17" s="451"/>
    </row>
    <row r="18" spans="2:16" ht="12" customHeight="1">
      <c r="B18" s="95"/>
      <c r="C18" s="58"/>
      <c r="D18" s="58"/>
      <c r="E18" s="58"/>
      <c r="F18" s="58"/>
      <c r="G18" s="112"/>
      <c r="H18" s="112"/>
      <c r="I18" s="112"/>
      <c r="J18" s="112"/>
      <c r="K18" s="112"/>
      <c r="L18" s="112"/>
      <c r="M18" s="112"/>
      <c r="N18" s="451"/>
    </row>
    <row r="19" spans="2:16" ht="12" customHeight="1">
      <c r="B19" s="65" t="s">
        <v>110</v>
      </c>
      <c r="C19" s="30">
        <f>'P&amp;L'!$C$36</f>
        <v>1</v>
      </c>
      <c r="D19" s="58"/>
      <c r="E19" s="58"/>
      <c r="F19" s="58"/>
      <c r="G19" s="112"/>
      <c r="H19" s="112"/>
      <c r="I19" s="112"/>
      <c r="J19" s="112"/>
      <c r="K19" s="112"/>
      <c r="L19" s="112"/>
      <c r="M19" s="112"/>
      <c r="N19" s="451"/>
    </row>
    <row r="20" spans="2:16" ht="12" customHeight="1">
      <c r="B20" s="95"/>
      <c r="C20" s="58"/>
      <c r="D20" s="58"/>
      <c r="E20" s="58"/>
      <c r="F20" s="58"/>
      <c r="G20" s="112"/>
      <c r="H20" s="112"/>
      <c r="I20" s="112"/>
      <c r="J20" s="112"/>
      <c r="K20" s="112"/>
      <c r="L20" s="112"/>
      <c r="M20" s="112"/>
      <c r="N20" s="451"/>
    </row>
    <row r="21" spans="2:16" ht="12" thickBot="1">
      <c r="B21" s="77" t="s">
        <v>103</v>
      </c>
      <c r="C21" s="77"/>
      <c r="D21" s="77"/>
      <c r="E21" s="77"/>
      <c r="F21" s="77"/>
      <c r="G21" s="77"/>
      <c r="H21" s="77"/>
      <c r="I21" s="77"/>
      <c r="J21" s="77"/>
      <c r="K21" s="77"/>
      <c r="L21" s="77"/>
      <c r="N21" s="443" t="s">
        <v>21</v>
      </c>
      <c r="O21" s="18"/>
      <c r="P21" s="18"/>
    </row>
    <row r="22" spans="2:16">
      <c r="B22" s="65" t="s">
        <v>231</v>
      </c>
      <c r="C22" s="27">
        <f>C4</f>
        <v>251701</v>
      </c>
      <c r="D22" s="27">
        <f t="shared" ref="D22:F22" si="12">D4</f>
        <v>251524</v>
      </c>
      <c r="E22" s="27">
        <f t="shared" si="12"/>
        <v>251727</v>
      </c>
      <c r="F22" s="27">
        <f t="shared" si="12"/>
        <v>252039</v>
      </c>
      <c r="H22" s="79">
        <f>CHOOSE($C$19,H23,H24,H25)</f>
        <v>4.0000000000000002E-4</v>
      </c>
      <c r="I22" s="80">
        <f t="shared" ref="I22:L22" si="13">CHOOSE($C$19,I23,I24,I25)</f>
        <v>4.0000000000000002E-4</v>
      </c>
      <c r="J22" s="80">
        <f t="shared" si="13"/>
        <v>4.0000000000000002E-4</v>
      </c>
      <c r="K22" s="80">
        <f t="shared" si="13"/>
        <v>4.0000000000000002E-4</v>
      </c>
      <c r="L22" s="81">
        <f t="shared" si="13"/>
        <v>4.0000000000000002E-4</v>
      </c>
      <c r="N22" s="451" t="s">
        <v>527</v>
      </c>
    </row>
    <row r="23" spans="2:16">
      <c r="B23" s="67" t="s">
        <v>48</v>
      </c>
      <c r="C23" s="431"/>
      <c r="D23" s="432">
        <f>D22/C22-1</f>
        <v>-7.0321532294270739E-4</v>
      </c>
      <c r="E23" s="432">
        <f t="shared" ref="E23:F23" si="14">E22/D22-1</f>
        <v>8.0708004007568057E-4</v>
      </c>
      <c r="F23" s="432">
        <f t="shared" si="14"/>
        <v>1.239437962554657E-3</v>
      </c>
      <c r="H23" s="70">
        <v>4.0000000000000002E-4</v>
      </c>
      <c r="I23" s="70">
        <v>4.0000000000000002E-4</v>
      </c>
      <c r="J23" s="70">
        <v>4.0000000000000002E-4</v>
      </c>
      <c r="K23" s="70">
        <v>4.0000000000000002E-4</v>
      </c>
      <c r="L23" s="70">
        <v>4.0000000000000002E-4</v>
      </c>
      <c r="N23" s="451"/>
    </row>
    <row r="24" spans="2:16">
      <c r="B24" s="67" t="s">
        <v>49</v>
      </c>
      <c r="C24" s="431"/>
      <c r="D24" s="431"/>
      <c r="E24" s="431"/>
      <c r="F24" s="431"/>
      <c r="H24" s="70">
        <v>4.0000000000000002E-4</v>
      </c>
      <c r="I24" s="70">
        <v>4.0000000000000002E-4</v>
      </c>
      <c r="J24" s="70">
        <v>4.0000000000000002E-4</v>
      </c>
      <c r="K24" s="70">
        <v>4.0000000000000002E-4</v>
      </c>
      <c r="L24" s="70">
        <v>4.0000000000000002E-4</v>
      </c>
      <c r="N24" s="451"/>
    </row>
    <row r="25" spans="2:16">
      <c r="B25" s="67" t="s">
        <v>50</v>
      </c>
      <c r="C25" s="431"/>
      <c r="D25" s="431"/>
      <c r="E25" s="431"/>
      <c r="F25" s="431"/>
      <c r="H25" s="70">
        <v>4.0000000000000002E-4</v>
      </c>
      <c r="I25" s="70">
        <v>4.0000000000000002E-4</v>
      </c>
      <c r="J25" s="70">
        <v>4.0000000000000002E-4</v>
      </c>
      <c r="K25" s="70">
        <v>4.0000000000000002E-4</v>
      </c>
      <c r="L25" s="70">
        <v>4.0000000000000002E-4</v>
      </c>
      <c r="N25" s="451"/>
    </row>
    <row r="26" spans="2:16">
      <c r="B26" s="4" t="s">
        <v>122</v>
      </c>
      <c r="C26" s="27">
        <f>C5</f>
        <v>1241237</v>
      </c>
      <c r="D26" s="27">
        <f t="shared" ref="D26:F26" si="15">D5</f>
        <v>1268986</v>
      </c>
      <c r="E26" s="27">
        <f t="shared" si="15"/>
        <v>1302150</v>
      </c>
      <c r="F26" s="27">
        <f t="shared" si="15"/>
        <v>1338155</v>
      </c>
      <c r="H26" s="79">
        <f>CHOOSE($C$19,H27,H28,H29)</f>
        <v>2.5000000000000001E-2</v>
      </c>
      <c r="I26" s="80">
        <f t="shared" ref="I26" si="16">CHOOSE($C$19,I27,I28,I29)</f>
        <v>2.5000000000000001E-2</v>
      </c>
      <c r="J26" s="80">
        <f t="shared" ref="J26" si="17">CHOOSE($C$19,J27,J28,J29)</f>
        <v>2.5000000000000001E-2</v>
      </c>
      <c r="K26" s="80">
        <f t="shared" ref="K26" si="18">CHOOSE($C$19,K27,K28,K29)</f>
        <v>2.5000000000000001E-2</v>
      </c>
      <c r="L26" s="81">
        <f t="shared" ref="L26" si="19">CHOOSE($C$19,L27,L28,L29)</f>
        <v>2.5000000000000001E-2</v>
      </c>
      <c r="N26" s="451" t="s">
        <v>527</v>
      </c>
    </row>
    <row r="27" spans="2:16">
      <c r="B27" s="67" t="s">
        <v>48</v>
      </c>
      <c r="C27" s="431"/>
      <c r="D27" s="69">
        <f>D26/C26-1</f>
        <v>2.2355923969395119E-2</v>
      </c>
      <c r="E27" s="69">
        <f t="shared" ref="E27" si="20">E26/D26-1</f>
        <v>2.6134252072126829E-2</v>
      </c>
      <c r="F27" s="69">
        <f t="shared" ref="F27" si="21">F26/E26-1</f>
        <v>2.7650424298276022E-2</v>
      </c>
      <c r="H27" s="20">
        <v>2.5000000000000001E-2</v>
      </c>
      <c r="I27" s="20">
        <v>2.5000000000000001E-2</v>
      </c>
      <c r="J27" s="20">
        <v>2.5000000000000001E-2</v>
      </c>
      <c r="K27" s="20">
        <v>2.5000000000000001E-2</v>
      </c>
      <c r="L27" s="20">
        <v>2.5000000000000001E-2</v>
      </c>
      <c r="N27" s="451"/>
    </row>
    <row r="28" spans="2:16">
      <c r="B28" s="67" t="s">
        <v>49</v>
      </c>
      <c r="C28" s="431"/>
      <c r="D28" s="431"/>
      <c r="E28" s="431"/>
      <c r="F28" s="431"/>
      <c r="H28" s="20">
        <v>2.5000000000000001E-2</v>
      </c>
      <c r="I28" s="20">
        <v>2.5000000000000001E-2</v>
      </c>
      <c r="J28" s="20">
        <v>2.5000000000000001E-2</v>
      </c>
      <c r="K28" s="20">
        <v>2.5000000000000001E-2</v>
      </c>
      <c r="L28" s="20">
        <v>2.5000000000000001E-2</v>
      </c>
      <c r="N28" s="451"/>
    </row>
    <row r="29" spans="2:16">
      <c r="B29" s="67" t="s">
        <v>50</v>
      </c>
      <c r="C29" s="431"/>
      <c r="D29" s="431"/>
      <c r="E29" s="431"/>
      <c r="F29" s="431"/>
      <c r="H29" s="20">
        <v>2.5000000000000001E-2</v>
      </c>
      <c r="I29" s="20">
        <v>2.5000000000000001E-2</v>
      </c>
      <c r="J29" s="20">
        <v>2.5000000000000001E-2</v>
      </c>
      <c r="K29" s="20">
        <v>2.5000000000000001E-2</v>
      </c>
      <c r="L29" s="20">
        <v>2.5000000000000001E-2</v>
      </c>
      <c r="N29" s="451"/>
    </row>
    <row r="30" spans="2:16" ht="14" customHeight="1">
      <c r="B30" s="65" t="s">
        <v>232</v>
      </c>
      <c r="C30" s="4">
        <f>C6</f>
        <v>157852</v>
      </c>
      <c r="D30" s="4">
        <f t="shared" ref="D30:F30" si="22">D6</f>
        <v>162891</v>
      </c>
      <c r="E30" s="4">
        <f t="shared" si="22"/>
        <v>194615</v>
      </c>
      <c r="F30" s="4">
        <f t="shared" si="22"/>
        <v>201018</v>
      </c>
      <c r="H30" s="79">
        <f>CHOOSE($C$19,H31,H32,H33)</f>
        <v>8.6999999999999994E-2</v>
      </c>
      <c r="I30" s="80">
        <f t="shared" ref="I30" si="23">CHOOSE($C$19,I31,I32,I33)</f>
        <v>8.6999999999999994E-2</v>
      </c>
      <c r="J30" s="80">
        <f t="shared" ref="J30" si="24">CHOOSE($C$19,J31,J32,J33)</f>
        <v>8.6999999999999994E-2</v>
      </c>
      <c r="K30" s="80">
        <f t="shared" ref="K30" si="25">CHOOSE($C$19,K31,K32,K33)</f>
        <v>8.6999999999999994E-2</v>
      </c>
      <c r="L30" s="81">
        <f t="shared" ref="L30" si="26">CHOOSE($C$19,L31,L32,L33)</f>
        <v>8.6999999999999994E-2</v>
      </c>
      <c r="N30" s="451" t="s">
        <v>526</v>
      </c>
    </row>
    <row r="31" spans="2:16" ht="14" customHeight="1">
      <c r="B31" s="67" t="s">
        <v>48</v>
      </c>
      <c r="C31" s="69"/>
      <c r="D31" s="69">
        <f>D30/C30-1</f>
        <v>3.1922306971086778E-2</v>
      </c>
      <c r="E31" s="69">
        <f t="shared" ref="E31" si="27">E30/D30-1</f>
        <v>0.19475600248018621</v>
      </c>
      <c r="F31" s="69">
        <f t="shared" ref="F31" si="28">F30/E30-1</f>
        <v>3.2900855535287654E-2</v>
      </c>
      <c r="H31" s="20">
        <v>8.6999999999999994E-2</v>
      </c>
      <c r="I31" s="20">
        <v>8.6999999999999994E-2</v>
      </c>
      <c r="J31" s="20">
        <v>8.6999999999999994E-2</v>
      </c>
      <c r="K31" s="20">
        <v>8.6999999999999994E-2</v>
      </c>
      <c r="L31" s="20">
        <v>8.6999999999999994E-2</v>
      </c>
      <c r="N31" s="451"/>
    </row>
    <row r="32" spans="2:16" ht="14" customHeight="1">
      <c r="B32" s="67" t="s">
        <v>49</v>
      </c>
      <c r="C32" s="69"/>
      <c r="D32" s="69"/>
      <c r="E32" s="69"/>
      <c r="F32" s="69"/>
      <c r="H32" s="20">
        <v>8.6999999999999994E-2</v>
      </c>
      <c r="I32" s="20">
        <v>8.6999999999999994E-2</v>
      </c>
      <c r="J32" s="20">
        <v>8.6999999999999994E-2</v>
      </c>
      <c r="K32" s="20">
        <v>8.6999999999999994E-2</v>
      </c>
      <c r="L32" s="20">
        <v>8.6999999999999994E-2</v>
      </c>
      <c r="N32" s="451"/>
    </row>
    <row r="33" spans="2:14">
      <c r="B33" s="67" t="s">
        <v>50</v>
      </c>
      <c r="C33" s="69"/>
      <c r="D33" s="69"/>
      <c r="E33" s="69"/>
      <c r="F33" s="69"/>
      <c r="G33" s="20"/>
      <c r="H33" s="20">
        <v>8.6999999999999994E-2</v>
      </c>
      <c r="I33" s="20">
        <v>8.6999999999999994E-2</v>
      </c>
      <c r="J33" s="20">
        <v>8.6999999999999994E-2</v>
      </c>
      <c r="K33" s="20">
        <v>8.6999999999999994E-2</v>
      </c>
      <c r="L33" s="20">
        <v>8.6999999999999994E-2</v>
      </c>
      <c r="M33" s="20"/>
      <c r="N33" s="451"/>
    </row>
    <row r="34" spans="2:14">
      <c r="B34" s="65" t="s">
        <v>234</v>
      </c>
      <c r="C34" s="27">
        <f>C11</f>
        <v>1218269</v>
      </c>
      <c r="D34" s="27">
        <f t="shared" ref="D34:F34" si="29">D11</f>
        <v>1233497</v>
      </c>
      <c r="E34" s="27">
        <f t="shared" si="29"/>
        <v>1254955</v>
      </c>
      <c r="F34" s="27">
        <f t="shared" si="29"/>
        <v>1258933</v>
      </c>
      <c r="H34" s="79">
        <f>CHOOSE($C$19,H35,H36,H37)</f>
        <v>1.0999999999999999E-2</v>
      </c>
      <c r="I34" s="80">
        <f t="shared" ref="I34" si="30">CHOOSE($C$19,I35,I36,I37)</f>
        <v>1.0999999999999999E-2</v>
      </c>
      <c r="J34" s="80">
        <f t="shared" ref="J34" si="31">CHOOSE($C$19,J35,J36,J37)</f>
        <v>1.0999999999999999E-2</v>
      </c>
      <c r="K34" s="80">
        <f t="shared" ref="K34" si="32">CHOOSE($C$19,K35,K36,K37)</f>
        <v>1.0999999999999999E-2</v>
      </c>
      <c r="L34" s="81">
        <f t="shared" ref="L34" si="33">CHOOSE($C$19,L35,L36,L37)</f>
        <v>1.0999999999999999E-2</v>
      </c>
      <c r="N34" s="451" t="s">
        <v>526</v>
      </c>
    </row>
    <row r="35" spans="2:14">
      <c r="B35" s="67" t="s">
        <v>48</v>
      </c>
      <c r="C35" s="433"/>
      <c r="D35" s="432">
        <f>D34/C34-1</f>
        <v>1.2499702446668204E-2</v>
      </c>
      <c r="E35" s="432">
        <f t="shared" ref="E35" si="34">E34/D34-1</f>
        <v>1.7396069872889885E-2</v>
      </c>
      <c r="F35" s="432">
        <f t="shared" ref="F35" si="35">F34/E34-1</f>
        <v>3.1698347749520295E-3</v>
      </c>
      <c r="H35" s="20">
        <v>1.0999999999999999E-2</v>
      </c>
      <c r="I35" s="20">
        <v>1.0999999999999999E-2</v>
      </c>
      <c r="J35" s="20">
        <v>1.0999999999999999E-2</v>
      </c>
      <c r="K35" s="20">
        <v>1.0999999999999999E-2</v>
      </c>
      <c r="L35" s="20">
        <v>1.0999999999999999E-2</v>
      </c>
      <c r="N35" s="451"/>
    </row>
    <row r="36" spans="2:14">
      <c r="B36" s="67" t="s">
        <v>49</v>
      </c>
      <c r="C36" s="433"/>
      <c r="D36" s="433"/>
      <c r="E36" s="433"/>
      <c r="F36" s="433"/>
      <c r="H36" s="20">
        <v>1.0999999999999999E-2</v>
      </c>
      <c r="I36" s="20">
        <v>1.0999999999999999E-2</v>
      </c>
      <c r="J36" s="20">
        <v>1.0999999999999999E-2</v>
      </c>
      <c r="K36" s="20">
        <v>1.0999999999999999E-2</v>
      </c>
      <c r="L36" s="20">
        <v>1.0999999999999999E-2</v>
      </c>
      <c r="N36" s="451"/>
    </row>
    <row r="37" spans="2:14">
      <c r="B37" s="67" t="s">
        <v>50</v>
      </c>
      <c r="C37" s="433"/>
      <c r="D37" s="433"/>
      <c r="E37" s="433"/>
      <c r="F37" s="433"/>
      <c r="H37" s="20">
        <v>1.0999999999999999E-2</v>
      </c>
      <c r="I37" s="20">
        <v>1.0999999999999999E-2</v>
      </c>
      <c r="J37" s="20">
        <v>1.0999999999999999E-2</v>
      </c>
      <c r="K37" s="20">
        <v>1.0999999999999999E-2</v>
      </c>
      <c r="L37" s="20">
        <v>1.0999999999999999E-2</v>
      </c>
      <c r="N37" s="451"/>
    </row>
    <row r="38" spans="2:14">
      <c r="B38" s="65" t="s">
        <v>233</v>
      </c>
      <c r="C38" s="27">
        <f>C12</f>
        <v>147400</v>
      </c>
      <c r="D38" s="27">
        <f t="shared" ref="D38:F38" si="36">D12</f>
        <v>125010</v>
      </c>
      <c r="E38" s="27">
        <f t="shared" si="36"/>
        <v>136648</v>
      </c>
      <c r="F38" s="27">
        <f t="shared" si="36"/>
        <v>133017</v>
      </c>
      <c r="H38" s="79">
        <f>CHOOSE($C$19,H39,H40,H41)</f>
        <v>-2.8000000000000001E-2</v>
      </c>
      <c r="I38" s="80">
        <f t="shared" ref="I38" si="37">CHOOSE($C$19,I39,I40,I41)</f>
        <v>-2.8000000000000001E-2</v>
      </c>
      <c r="J38" s="80">
        <f t="shared" ref="J38" si="38">CHOOSE($C$19,J39,J40,J41)</f>
        <v>-2.8000000000000001E-2</v>
      </c>
      <c r="K38" s="80">
        <f t="shared" ref="K38" si="39">CHOOSE($C$19,K39,K40,K41)</f>
        <v>-2.8000000000000001E-2</v>
      </c>
      <c r="L38" s="81">
        <f t="shared" ref="L38" si="40">CHOOSE($C$19,L39,L40,L41)</f>
        <v>-2.8000000000000001E-2</v>
      </c>
      <c r="N38" s="451" t="s">
        <v>526</v>
      </c>
    </row>
    <row r="39" spans="2:14" s="67" customFormat="1" ht="14" customHeight="1">
      <c r="B39" s="67" t="s">
        <v>48</v>
      </c>
      <c r="C39" s="69"/>
      <c r="D39" s="69">
        <f>D38/C38-1</f>
        <v>-0.15189959294436906</v>
      </c>
      <c r="E39" s="69">
        <f t="shared" ref="E39" si="41">E38/D38-1</f>
        <v>9.3096552275818034E-2</v>
      </c>
      <c r="F39" s="69">
        <f t="shared" ref="F39" si="42">F38/E38-1</f>
        <v>-2.6571922018617133E-2</v>
      </c>
      <c r="H39" s="20">
        <v>-2.8000000000000001E-2</v>
      </c>
      <c r="I39" s="20">
        <v>-2.8000000000000001E-2</v>
      </c>
      <c r="J39" s="20">
        <v>-2.8000000000000001E-2</v>
      </c>
      <c r="K39" s="20">
        <v>-2.8000000000000001E-2</v>
      </c>
      <c r="L39" s="20">
        <v>-2.8000000000000001E-2</v>
      </c>
      <c r="N39" s="452"/>
    </row>
    <row r="40" spans="2:14">
      <c r="B40" s="67" t="s">
        <v>49</v>
      </c>
      <c r="C40" s="69"/>
      <c r="D40" s="69"/>
      <c r="E40" s="69"/>
      <c r="F40" s="69"/>
      <c r="H40" s="20">
        <v>-2.8000000000000001E-2</v>
      </c>
      <c r="I40" s="20">
        <v>-2.8000000000000001E-2</v>
      </c>
      <c r="J40" s="20">
        <v>-2.8000000000000001E-2</v>
      </c>
      <c r="K40" s="20">
        <v>-2.8000000000000001E-2</v>
      </c>
      <c r="L40" s="20">
        <v>-2.8000000000000001E-2</v>
      </c>
    </row>
    <row r="41" spans="2:14">
      <c r="B41" s="67" t="s">
        <v>50</v>
      </c>
      <c r="C41" s="69"/>
      <c r="D41" s="69"/>
      <c r="E41" s="69"/>
      <c r="F41" s="69"/>
      <c r="H41" s="20">
        <v>-2.8000000000000001E-2</v>
      </c>
      <c r="I41" s="20">
        <v>-2.8000000000000001E-2</v>
      </c>
      <c r="J41" s="20">
        <v>-2.8000000000000001E-2</v>
      </c>
      <c r="K41" s="20">
        <v>-2.8000000000000001E-2</v>
      </c>
      <c r="L41" s="20">
        <v>-2.8000000000000001E-2</v>
      </c>
    </row>
    <row r="42" spans="2:14">
      <c r="B42" s="67"/>
      <c r="C42" s="20"/>
      <c r="D42" s="20"/>
      <c r="E42" s="20"/>
      <c r="F42" s="20"/>
      <c r="H42" s="20"/>
      <c r="I42" s="20"/>
      <c r="J42" s="20"/>
      <c r="K42" s="20"/>
      <c r="L42" s="20"/>
    </row>
    <row r="43" spans="2:14">
      <c r="H43" s="20"/>
      <c r="I43" s="20"/>
      <c r="J43" s="20"/>
      <c r="K43" s="20"/>
      <c r="L43" s="20"/>
    </row>
    <row r="46" spans="2:14">
      <c r="C46" s="70"/>
    </row>
    <row r="47" spans="2:14">
      <c r="C47" s="10"/>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DD91-1B99-4449-9B2F-58989AFA51E1}">
  <sheetPr codeName="Sheet9">
    <tabColor theme="7" tint="-0.249977111117893"/>
  </sheetPr>
  <dimension ref="B1:N59"/>
  <sheetViews>
    <sheetView workbookViewId="0"/>
  </sheetViews>
  <sheetFormatPr defaultColWidth="9.08984375" defaultRowHeight="11.5"/>
  <cols>
    <col min="1" max="1" width="2" style="4" customWidth="1"/>
    <col min="2" max="2" width="40.08984375" style="4" customWidth="1"/>
    <col min="3" max="3" width="11.1796875" style="4" hidden="1" customWidth="1"/>
    <col min="4" max="4" width="9.54296875" style="4" bestFit="1" customWidth="1"/>
    <col min="5" max="5" width="9.54296875" style="4" customWidth="1"/>
    <col min="6" max="6" width="9.726562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6384" width="9.08984375" style="4"/>
  </cols>
  <sheetData>
    <row r="1" spans="2:14" ht="15.5">
      <c r="B1" s="3" t="s">
        <v>327</v>
      </c>
    </row>
    <row r="3" spans="2:14" ht="23.5" thickBot="1">
      <c r="B3" s="13" t="s">
        <v>19</v>
      </c>
      <c r="C3" s="14" t="s">
        <v>92</v>
      </c>
      <c r="D3" s="14" t="s">
        <v>93</v>
      </c>
      <c r="E3" s="14" t="s">
        <v>94</v>
      </c>
      <c r="F3" s="14" t="s">
        <v>95</v>
      </c>
      <c r="G3" s="17"/>
      <c r="H3" s="15" t="s">
        <v>97</v>
      </c>
      <c r="I3" s="15" t="s">
        <v>98</v>
      </c>
      <c r="J3" s="15" t="s">
        <v>99</v>
      </c>
      <c r="K3" s="15" t="s">
        <v>100</v>
      </c>
      <c r="L3" s="15" t="s">
        <v>101</v>
      </c>
      <c r="N3" s="18" t="s">
        <v>21</v>
      </c>
    </row>
    <row r="4" spans="2:14">
      <c r="B4" s="19"/>
      <c r="C4" s="17"/>
      <c r="D4" s="17"/>
      <c r="E4" s="17"/>
      <c r="F4" s="17"/>
      <c r="G4" s="17"/>
      <c r="H4" s="124"/>
      <c r="I4" s="124"/>
      <c r="J4" s="124"/>
      <c r="K4" s="124"/>
      <c r="L4" s="124"/>
      <c r="N4" s="72"/>
    </row>
    <row r="5" spans="2:14">
      <c r="B5" s="57" t="s">
        <v>328</v>
      </c>
      <c r="C5" s="21">
        <f>'PrelimSE_20-24'!R2</f>
        <v>288693</v>
      </c>
      <c r="D5" s="21"/>
      <c r="E5" s="21"/>
      <c r="F5" s="21"/>
      <c r="H5" s="21">
        <f>F17</f>
        <v>0</v>
      </c>
      <c r="I5" s="21"/>
      <c r="J5" s="21"/>
      <c r="K5" s="21"/>
      <c r="L5" s="21"/>
    </row>
    <row r="6" spans="2:14">
      <c r="B6" s="67" t="s">
        <v>240</v>
      </c>
      <c r="C6" s="21">
        <f>'PrelimSE_20-24'!R5</f>
        <v>72373</v>
      </c>
      <c r="D6" s="21"/>
      <c r="E6" s="21"/>
      <c r="F6" s="21"/>
      <c r="H6" s="21">
        <f>'P&amp;L'!H29</f>
        <v>117511.78947200008</v>
      </c>
      <c r="I6" s="21">
        <f>'P&amp;L'!I29</f>
        <v>122181.3814529001</v>
      </c>
      <c r="J6" s="21">
        <f>'P&amp;L'!J29</f>
        <v>127006.07355820992</v>
      </c>
      <c r="K6" s="21">
        <f>'P&amp;L'!K29</f>
        <v>131989.70182041882</v>
      </c>
      <c r="L6" s="21">
        <f>'P&amp;L'!L29</f>
        <v>137136.0981249529</v>
      </c>
    </row>
    <row r="7" spans="2:14" ht="14" customHeight="1">
      <c r="B7" s="67" t="s">
        <v>241</v>
      </c>
      <c r="C7" s="21"/>
      <c r="D7" s="21"/>
      <c r="E7" s="21"/>
      <c r="F7" s="21"/>
      <c r="H7" s="21"/>
      <c r="I7" s="21"/>
      <c r="J7" s="21"/>
      <c r="K7" s="21"/>
      <c r="L7" s="21"/>
    </row>
    <row r="8" spans="2:14" ht="14" customHeight="1">
      <c r="B8" s="67" t="s">
        <v>322</v>
      </c>
      <c r="C8" s="21">
        <f>'PrelimSE_20-24'!R9</f>
        <v>24786</v>
      </c>
      <c r="D8" s="21"/>
      <c r="E8" s="21"/>
      <c r="F8" s="21"/>
      <c r="H8" s="21"/>
      <c r="I8" s="21"/>
      <c r="J8" s="21"/>
      <c r="K8" s="21"/>
      <c r="L8" s="21"/>
    </row>
    <row r="9" spans="2:14" ht="14" customHeight="1">
      <c r="B9" s="67" t="s">
        <v>329</v>
      </c>
      <c r="C9" s="21">
        <f>'PrelimSE_20-24'!R15</f>
        <v>-5766</v>
      </c>
      <c r="D9" s="21"/>
      <c r="E9" s="21"/>
      <c r="F9" s="21"/>
      <c r="H9" s="21"/>
      <c r="I9" s="21"/>
      <c r="J9" s="21"/>
      <c r="K9" s="21"/>
      <c r="L9" s="21"/>
    </row>
    <row r="10" spans="2:14" ht="14" customHeight="1">
      <c r="B10" s="67" t="s">
        <v>330</v>
      </c>
      <c r="C10" s="21"/>
      <c r="D10" s="21"/>
      <c r="E10" s="21"/>
      <c r="F10" s="21"/>
      <c r="H10" s="21"/>
      <c r="I10" s="21"/>
      <c r="J10" s="21"/>
      <c r="K10" s="21"/>
      <c r="L10" s="21"/>
    </row>
    <row r="11" spans="2:14" ht="14" customHeight="1">
      <c r="B11" s="4" t="s">
        <v>331</v>
      </c>
      <c r="C11" s="21"/>
      <c r="D11" s="21"/>
      <c r="E11" s="21"/>
      <c r="F11" s="21"/>
      <c r="G11" s="10"/>
      <c r="H11" s="21"/>
      <c r="I11" s="21"/>
      <c r="J11" s="21"/>
      <c r="K11" s="21"/>
      <c r="L11" s="21"/>
    </row>
    <row r="12" spans="2:14" ht="14" customHeight="1">
      <c r="B12" s="4" t="s">
        <v>332</v>
      </c>
      <c r="C12" s="21"/>
      <c r="D12" s="21"/>
      <c r="E12" s="21"/>
      <c r="F12" s="21"/>
      <c r="G12" s="10"/>
      <c r="H12" s="21"/>
      <c r="I12" s="21"/>
      <c r="J12" s="21"/>
      <c r="K12" s="21"/>
      <c r="L12" s="21"/>
    </row>
    <row r="13" spans="2:14" ht="14" customHeight="1">
      <c r="B13" s="4" t="s">
        <v>333</v>
      </c>
      <c r="C13" s="21"/>
      <c r="D13" s="21"/>
      <c r="E13" s="21"/>
      <c r="F13" s="21"/>
      <c r="G13" s="10"/>
      <c r="H13" s="21"/>
      <c r="I13" s="21"/>
      <c r="J13" s="21"/>
      <c r="K13" s="21"/>
      <c r="L13" s="21"/>
    </row>
    <row r="14" spans="2:14" ht="14" customHeight="1">
      <c r="B14" s="87" t="s">
        <v>334</v>
      </c>
      <c r="C14" s="21"/>
      <c r="D14" s="131"/>
      <c r="E14" s="131"/>
      <c r="F14" s="131"/>
      <c r="H14" s="33"/>
      <c r="I14" s="33"/>
      <c r="J14" s="33"/>
      <c r="K14" s="33"/>
      <c r="L14" s="33"/>
    </row>
    <row r="15" spans="2:14" ht="14" customHeight="1">
      <c r="B15" s="67"/>
      <c r="C15" s="21"/>
      <c r="D15" s="10"/>
      <c r="E15" s="10"/>
      <c r="F15" s="10"/>
      <c r="H15" s="21"/>
      <c r="I15" s="21"/>
      <c r="J15" s="21"/>
      <c r="K15" s="21"/>
      <c r="L15" s="21"/>
    </row>
    <row r="16" spans="2:14">
      <c r="B16" s="67"/>
      <c r="C16" s="21"/>
      <c r="D16" s="10"/>
      <c r="E16" s="10"/>
      <c r="F16" s="10"/>
      <c r="H16" s="21"/>
      <c r="I16" s="21"/>
      <c r="J16" s="21"/>
      <c r="K16" s="21"/>
      <c r="L16" s="21"/>
    </row>
    <row r="17" spans="2:12">
      <c r="B17" s="57" t="s">
        <v>335</v>
      </c>
      <c r="C17" s="58">
        <f>BS!C27</f>
        <v>330166</v>
      </c>
      <c r="D17" s="10"/>
      <c r="E17" s="10"/>
      <c r="F17" s="10"/>
      <c r="H17" s="21"/>
      <c r="I17" s="21"/>
      <c r="J17" s="21"/>
      <c r="K17" s="21"/>
      <c r="L17" s="21"/>
    </row>
    <row r="18" spans="2:12" ht="12" customHeight="1">
      <c r="B18" s="67" t="s">
        <v>336</v>
      </c>
      <c r="C18" s="10"/>
      <c r="D18" s="10"/>
      <c r="E18" s="10"/>
      <c r="F18" s="10"/>
      <c r="H18" s="21"/>
      <c r="I18" s="21"/>
      <c r="J18" s="21"/>
      <c r="K18" s="21"/>
      <c r="L18" s="21"/>
    </row>
    <row r="19" spans="2:12" ht="12" customHeight="1">
      <c r="B19" s="67" t="s">
        <v>319</v>
      </c>
      <c r="C19" s="58"/>
      <c r="D19" s="10"/>
      <c r="E19" s="10"/>
      <c r="F19" s="10"/>
      <c r="G19" s="57">
        <f t="shared" ref="G19" si="0">SUM(G14:G18)</f>
        <v>0</v>
      </c>
      <c r="H19" s="89"/>
      <c r="I19" s="89"/>
      <c r="J19" s="89"/>
      <c r="K19" s="89"/>
      <c r="L19" s="89"/>
    </row>
    <row r="20" spans="2:12" ht="12" customHeight="1">
      <c r="B20" s="88" t="s">
        <v>337</v>
      </c>
      <c r="C20" s="58"/>
      <c r="D20" s="10"/>
      <c r="E20" s="10"/>
      <c r="F20" s="10"/>
      <c r="G20" s="57"/>
      <c r="H20" s="89"/>
      <c r="I20" s="89"/>
      <c r="J20" s="89"/>
      <c r="K20" s="89"/>
      <c r="L20" s="89"/>
    </row>
    <row r="21" spans="2:12" ht="12" customHeight="1">
      <c r="B21" s="67"/>
      <c r="C21" s="10"/>
      <c r="D21" s="10"/>
      <c r="E21" s="10"/>
      <c r="F21" s="10"/>
      <c r="H21" s="21"/>
      <c r="I21" s="21"/>
      <c r="J21" s="21"/>
      <c r="K21" s="21"/>
      <c r="L21" s="21"/>
    </row>
    <row r="22" spans="2:12">
      <c r="B22" s="57" t="s">
        <v>132</v>
      </c>
      <c r="C22" s="58">
        <f>BS!C32</f>
        <v>0</v>
      </c>
      <c r="D22" s="10"/>
      <c r="E22" s="10"/>
      <c r="F22" s="10"/>
      <c r="H22" s="21"/>
      <c r="I22" s="21"/>
      <c r="J22" s="21"/>
      <c r="K22" s="21"/>
      <c r="L22" s="21"/>
    </row>
    <row r="23" spans="2:12" ht="12" customHeight="1">
      <c r="B23" s="67" t="s">
        <v>336</v>
      </c>
      <c r="C23" s="10"/>
      <c r="D23" s="10"/>
      <c r="E23" s="10"/>
      <c r="F23" s="10"/>
      <c r="H23" s="21"/>
      <c r="I23" s="21"/>
      <c r="J23" s="21"/>
      <c r="K23" s="21"/>
      <c r="L23" s="21"/>
    </row>
    <row r="24" spans="2:12" ht="12" customHeight="1">
      <c r="B24" s="67" t="s">
        <v>338</v>
      </c>
      <c r="C24" s="58"/>
      <c r="D24" s="10"/>
      <c r="E24" s="10"/>
      <c r="F24" s="10"/>
      <c r="G24" s="57">
        <f t="shared" ref="G24" si="1">SUM(G19:G23)</f>
        <v>0</v>
      </c>
      <c r="H24" s="89"/>
      <c r="I24" s="89"/>
      <c r="J24" s="89"/>
      <c r="K24" s="89"/>
      <c r="L24" s="89"/>
    </row>
    <row r="25" spans="2:12" ht="12" customHeight="1">
      <c r="B25" s="67" t="s">
        <v>339</v>
      </c>
      <c r="C25" s="58"/>
      <c r="D25" s="10"/>
      <c r="E25" s="10"/>
      <c r="F25" s="10"/>
      <c r="G25" s="57"/>
      <c r="H25" s="89"/>
      <c r="I25" s="89"/>
      <c r="J25" s="89"/>
      <c r="K25" s="89"/>
      <c r="L25" s="89"/>
    </row>
    <row r="26" spans="2:12" ht="12" customHeight="1">
      <c r="B26" s="88" t="s">
        <v>337</v>
      </c>
      <c r="C26" s="58"/>
      <c r="D26" s="10"/>
      <c r="E26" s="10"/>
      <c r="F26" s="10"/>
      <c r="G26" s="57"/>
      <c r="H26" s="89"/>
      <c r="I26" s="89"/>
      <c r="J26" s="89"/>
      <c r="K26" s="89"/>
      <c r="L26" s="89"/>
    </row>
    <row r="27" spans="2:12" ht="12" customHeight="1">
      <c r="B27" s="87"/>
      <c r="C27" s="10"/>
      <c r="D27" s="10"/>
      <c r="E27" s="10"/>
      <c r="F27" s="10"/>
      <c r="H27" s="21"/>
      <c r="I27" s="21"/>
      <c r="J27" s="21"/>
      <c r="K27" s="21"/>
      <c r="L27" s="21"/>
    </row>
    <row r="28" spans="2:12" ht="12" customHeight="1">
      <c r="B28" s="57" t="s">
        <v>335</v>
      </c>
      <c r="C28" s="10"/>
      <c r="D28" s="10" t="s">
        <v>340</v>
      </c>
      <c r="E28" s="10"/>
      <c r="F28" s="10"/>
      <c r="G28" s="10"/>
      <c r="H28" s="21"/>
      <c r="I28" s="21"/>
      <c r="J28" s="21"/>
      <c r="K28" s="21"/>
      <c r="L28" s="21"/>
    </row>
    <row r="29" spans="2:12" ht="12" customHeight="1">
      <c r="B29" s="67"/>
      <c r="C29" s="10" t="e">
        <f>C19-#REF!</f>
        <v>#REF!</v>
      </c>
      <c r="D29" s="10" t="s">
        <v>341</v>
      </c>
      <c r="E29" s="10"/>
      <c r="F29" s="10"/>
      <c r="G29" s="10"/>
      <c r="H29" s="21"/>
      <c r="I29" s="21"/>
      <c r="J29" s="21"/>
      <c r="K29" s="21"/>
      <c r="L29" s="21"/>
    </row>
    <row r="30" spans="2:12" ht="12" customHeight="1">
      <c r="B30" s="67"/>
      <c r="C30" s="10"/>
      <c r="D30" s="10" t="s">
        <v>342</v>
      </c>
      <c r="E30" s="10"/>
      <c r="F30" s="10"/>
      <c r="G30" s="10"/>
      <c r="H30" s="21"/>
      <c r="I30" s="21"/>
      <c r="J30" s="21"/>
      <c r="K30" s="21"/>
      <c r="L30" s="21"/>
    </row>
    <row r="31" spans="2:12" ht="12" customHeight="1">
      <c r="B31" s="67"/>
      <c r="C31" s="10"/>
      <c r="D31" s="10"/>
      <c r="E31" s="10"/>
      <c r="F31" s="10"/>
      <c r="G31" s="10"/>
      <c r="H31" s="21"/>
      <c r="I31" s="21"/>
      <c r="J31" s="21"/>
      <c r="K31" s="21"/>
      <c r="L31" s="21"/>
    </row>
    <row r="32" spans="2:12" ht="12" customHeight="1">
      <c r="B32" s="57" t="s">
        <v>132</v>
      </c>
      <c r="C32" s="10"/>
      <c r="D32" s="10" t="s">
        <v>340</v>
      </c>
      <c r="E32" s="10"/>
      <c r="F32" s="10"/>
      <c r="G32" s="10"/>
      <c r="H32" s="21"/>
      <c r="I32" s="21"/>
      <c r="J32" s="21"/>
      <c r="K32" s="21"/>
      <c r="L32" s="21"/>
    </row>
    <row r="33" spans="2:12" ht="12" customHeight="1">
      <c r="B33" s="67"/>
      <c r="C33" s="10" t="e">
        <f>C23-#REF!</f>
        <v>#REF!</v>
      </c>
      <c r="D33" s="10" t="s">
        <v>341</v>
      </c>
      <c r="E33" s="10"/>
      <c r="F33" s="10"/>
      <c r="G33" s="10"/>
      <c r="H33" s="21"/>
      <c r="I33" s="21"/>
      <c r="J33" s="21"/>
      <c r="K33" s="21"/>
      <c r="L33" s="21"/>
    </row>
    <row r="34" spans="2:12" ht="12" customHeight="1">
      <c r="B34" s="67"/>
      <c r="C34" s="10"/>
      <c r="D34" s="10" t="s">
        <v>342</v>
      </c>
      <c r="E34" s="10"/>
      <c r="F34" s="10"/>
      <c r="G34" s="10"/>
      <c r="H34" s="21"/>
      <c r="I34" s="21"/>
      <c r="J34" s="21"/>
      <c r="K34" s="21"/>
      <c r="L34" s="21"/>
    </row>
    <row r="35" spans="2:12" ht="12" customHeight="1">
      <c r="B35" s="87"/>
      <c r="C35" s="58"/>
      <c r="D35" s="10"/>
      <c r="E35" s="10"/>
      <c r="F35" s="10"/>
      <c r="G35" s="10"/>
      <c r="H35" s="21"/>
      <c r="I35" s="21"/>
      <c r="J35" s="21"/>
      <c r="K35" s="21"/>
      <c r="L35" s="21"/>
    </row>
    <row r="36" spans="2:12" ht="12" customHeight="1">
      <c r="B36" s="87"/>
      <c r="C36" s="58"/>
      <c r="D36" s="58" t="s">
        <v>343</v>
      </c>
      <c r="E36" s="10"/>
      <c r="F36" s="10"/>
      <c r="G36" s="10"/>
      <c r="H36" s="21"/>
      <c r="I36" s="21"/>
      <c r="J36" s="21"/>
      <c r="K36" s="21"/>
      <c r="L36" s="21"/>
    </row>
    <row r="37" spans="2:12" ht="12" customHeight="1">
      <c r="B37" s="87"/>
      <c r="C37" s="58"/>
      <c r="D37" s="10"/>
      <c r="E37" s="10"/>
      <c r="F37" s="10"/>
      <c r="G37" s="10"/>
      <c r="H37" s="21"/>
      <c r="I37" s="21"/>
      <c r="J37" s="21"/>
      <c r="K37" s="21"/>
      <c r="L37" s="21"/>
    </row>
    <row r="38" spans="2:12" ht="12" customHeight="1">
      <c r="B38" s="57" t="s">
        <v>344</v>
      </c>
      <c r="C38" s="10"/>
      <c r="D38" s="10" t="s">
        <v>340</v>
      </c>
      <c r="E38" s="10"/>
      <c r="F38" s="10"/>
      <c r="G38" s="10"/>
      <c r="H38" s="21"/>
      <c r="I38" s="21"/>
      <c r="J38" s="21"/>
      <c r="K38" s="21"/>
      <c r="L38" s="21"/>
    </row>
    <row r="39" spans="2:12" ht="12" customHeight="1">
      <c r="B39" s="67"/>
      <c r="C39" s="10" t="e">
        <f>C28-#REF!</f>
        <v>#REF!</v>
      </c>
      <c r="D39" s="10" t="s">
        <v>341</v>
      </c>
      <c r="E39" s="10"/>
      <c r="F39" s="10"/>
      <c r="G39" s="10"/>
      <c r="H39" s="21"/>
      <c r="I39" s="21"/>
      <c r="J39" s="21"/>
      <c r="K39" s="21"/>
      <c r="L39" s="21"/>
    </row>
    <row r="40" spans="2:12" ht="12" customHeight="1">
      <c r="B40" s="67"/>
      <c r="C40" s="10"/>
      <c r="D40" s="10" t="s">
        <v>342</v>
      </c>
      <c r="E40" s="10"/>
      <c r="F40" s="10"/>
      <c r="G40" s="10"/>
      <c r="H40" s="21"/>
      <c r="I40" s="21"/>
      <c r="J40" s="21"/>
      <c r="K40" s="21"/>
      <c r="L40" s="21"/>
    </row>
    <row r="41" spans="2:12" ht="12" customHeight="1">
      <c r="B41" s="87"/>
      <c r="C41" s="58"/>
      <c r="D41" s="10"/>
      <c r="E41" s="10"/>
      <c r="F41" s="10"/>
      <c r="G41" s="10"/>
      <c r="H41" s="21"/>
      <c r="I41" s="21"/>
      <c r="J41" s="21"/>
      <c r="K41" s="21"/>
      <c r="L41" s="21"/>
    </row>
    <row r="42" spans="2:12" ht="7" customHeight="1">
      <c r="B42" s="78"/>
      <c r="C42" s="96"/>
      <c r="D42" s="96"/>
      <c r="E42" s="96"/>
      <c r="F42" s="96"/>
      <c r="G42" s="96"/>
      <c r="H42" s="97"/>
      <c r="I42" s="97"/>
      <c r="J42" s="97"/>
      <c r="K42" s="97"/>
      <c r="L42" s="97"/>
    </row>
    <row r="43" spans="2:12">
      <c r="C43" s="10"/>
      <c r="D43" s="10"/>
      <c r="E43" s="10"/>
      <c r="F43" s="10"/>
      <c r="G43" s="10"/>
      <c r="H43" s="10"/>
      <c r="I43" s="10"/>
      <c r="J43" s="10"/>
      <c r="K43" s="10"/>
      <c r="L43" s="10"/>
    </row>
    <row r="44" spans="2:12" ht="7" customHeight="1">
      <c r="C44" s="10"/>
      <c r="D44" s="10"/>
      <c r="E44" s="10"/>
      <c r="F44" s="10"/>
      <c r="G44" s="10"/>
      <c r="H44" s="10"/>
      <c r="I44" s="10"/>
      <c r="J44" s="10"/>
      <c r="K44" s="10"/>
      <c r="L44" s="10"/>
    </row>
    <row r="45" spans="2:12" ht="12" thickBot="1">
      <c r="B45" s="77"/>
      <c r="C45" s="77"/>
      <c r="D45" s="77"/>
      <c r="E45" s="77"/>
      <c r="F45" s="77"/>
      <c r="G45" s="77"/>
      <c r="H45" s="77"/>
      <c r="I45" s="77"/>
      <c r="J45" s="77"/>
      <c r="K45" s="77"/>
      <c r="L45" s="77"/>
    </row>
    <row r="46" spans="2:12">
      <c r="C46" s="10"/>
      <c r="H46" s="10"/>
      <c r="I46" s="10"/>
      <c r="J46" s="10"/>
      <c r="K46" s="10"/>
      <c r="L46" s="10"/>
    </row>
    <row r="47" spans="2:12" ht="7" customHeight="1">
      <c r="H47" s="10"/>
      <c r="I47" s="10"/>
      <c r="J47" s="10"/>
      <c r="K47" s="10"/>
      <c r="L47" s="10"/>
    </row>
    <row r="48" spans="2:12">
      <c r="B48" s="67"/>
    </row>
    <row r="49" spans="2:12">
      <c r="B49" s="67"/>
    </row>
    <row r="50" spans="2:12">
      <c r="B50" s="67"/>
      <c r="C50" s="20"/>
      <c r="D50" s="20"/>
      <c r="E50" s="20"/>
      <c r="F50" s="20"/>
      <c r="H50" s="20"/>
      <c r="I50" s="20"/>
      <c r="J50" s="20"/>
      <c r="K50" s="20"/>
      <c r="L50" s="20"/>
    </row>
    <row r="51" spans="2:12" ht="7" customHeight="1"/>
    <row r="52" spans="2:12">
      <c r="B52" s="67"/>
    </row>
    <row r="53" spans="2:12">
      <c r="B53" s="67"/>
      <c r="C53" s="20"/>
      <c r="D53" s="20"/>
      <c r="E53" s="20"/>
      <c r="F53" s="20"/>
      <c r="H53" s="20"/>
      <c r="I53" s="20"/>
      <c r="J53" s="20"/>
      <c r="K53" s="20"/>
      <c r="L53" s="20"/>
    </row>
    <row r="54" spans="2:12">
      <c r="B54" s="67"/>
      <c r="C54" s="20"/>
      <c r="D54" s="20"/>
      <c r="E54" s="20"/>
      <c r="F54" s="20"/>
      <c r="H54" s="20"/>
      <c r="I54" s="20"/>
      <c r="J54" s="20"/>
      <c r="K54" s="20"/>
      <c r="L54" s="20"/>
    </row>
    <row r="58" spans="2:12">
      <c r="C58" s="70"/>
    </row>
    <row r="59" spans="2:12">
      <c r="C59" s="1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298B-630F-4ED1-AE2D-E9AC41AC7964}">
  <sheetPr codeName="Sheet11">
    <tabColor theme="7" tint="-0.249977111117893"/>
  </sheetPr>
  <dimension ref="A1:N43"/>
  <sheetViews>
    <sheetView workbookViewId="0"/>
  </sheetViews>
  <sheetFormatPr defaultColWidth="9.08984375" defaultRowHeight="11.5"/>
  <cols>
    <col min="1" max="1" width="2" style="4" customWidth="1"/>
    <col min="2" max="2" width="40.08984375" style="4" customWidth="1"/>
    <col min="3" max="3" width="11.1796875" style="4" hidden="1" customWidth="1"/>
    <col min="4" max="4" width="10.54296875" style="4" bestFit="1" customWidth="1"/>
    <col min="5" max="5" width="9.54296875" style="4" customWidth="1"/>
    <col min="6" max="6" width="10.0898437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6384" width="9.08984375" style="4"/>
  </cols>
  <sheetData>
    <row r="1" spans="2:14" ht="15.5">
      <c r="B1" s="3" t="s">
        <v>309</v>
      </c>
    </row>
    <row r="3" spans="2:14" ht="23.5" thickBot="1">
      <c r="B3" s="13" t="s">
        <v>19</v>
      </c>
      <c r="C3" s="14" t="s">
        <v>92</v>
      </c>
      <c r="D3" s="14" t="s">
        <v>93</v>
      </c>
      <c r="E3" s="14" t="s">
        <v>94</v>
      </c>
      <c r="F3" s="14" t="s">
        <v>95</v>
      </c>
      <c r="G3" s="17"/>
      <c r="H3" s="15" t="s">
        <v>97</v>
      </c>
      <c r="I3" s="15" t="s">
        <v>98</v>
      </c>
      <c r="J3" s="15" t="s">
        <v>99</v>
      </c>
      <c r="K3" s="15" t="s">
        <v>100</v>
      </c>
      <c r="L3" s="15" t="s">
        <v>101</v>
      </c>
      <c r="N3" s="18" t="s">
        <v>21</v>
      </c>
    </row>
    <row r="4" spans="2:14">
      <c r="B4" s="19"/>
      <c r="C4" s="17"/>
      <c r="D4" s="17"/>
      <c r="E4" s="17"/>
      <c r="F4" s="17"/>
      <c r="G4" s="17"/>
      <c r="H4" s="124"/>
      <c r="I4" s="124"/>
      <c r="J4" s="124"/>
      <c r="K4" s="124"/>
      <c r="L4" s="124"/>
      <c r="N4" s="72"/>
    </row>
    <row r="5" spans="2:14">
      <c r="B5" s="57" t="s">
        <v>307</v>
      </c>
      <c r="C5" s="21">
        <f>'PrelimSE_20-24'!R2</f>
        <v>288693</v>
      </c>
      <c r="D5" s="21">
        <f>'PrelimSE_20-24'!F23</f>
        <v>105366</v>
      </c>
      <c r="E5" s="21">
        <f t="shared" ref="E5:F5" si="0">D8</f>
        <v>106323</v>
      </c>
      <c r="F5" s="21">
        <f t="shared" si="0"/>
        <v>107195</v>
      </c>
      <c r="H5" s="21">
        <f>F8</f>
        <v>107917</v>
      </c>
      <c r="I5" s="21">
        <f>H8</f>
        <v>108567</v>
      </c>
      <c r="J5" s="21">
        <f t="shared" ref="J5:L5" si="1">I8</f>
        <v>109217</v>
      </c>
      <c r="K5" s="21">
        <f t="shared" si="1"/>
        <v>109867</v>
      </c>
      <c r="L5" s="21">
        <f t="shared" si="1"/>
        <v>110517</v>
      </c>
    </row>
    <row r="6" spans="2:14">
      <c r="B6" s="67" t="s">
        <v>302</v>
      </c>
      <c r="C6" s="21">
        <f>'PrelimSE_20-24'!R5</f>
        <v>72373</v>
      </c>
      <c r="D6" s="21">
        <f>'PrelimSE_20-24'!F29+'PrelimSE_20-24'!F31</f>
        <v>957</v>
      </c>
      <c r="E6" s="21">
        <f>'PrelimSE_20-24'!F40</f>
        <v>872</v>
      </c>
      <c r="F6" s="21">
        <f>SUM('PrelimSE_20-24'!B52,'PrelimSE_20-24'!B71)</f>
        <v>722</v>
      </c>
      <c r="H6" s="21">
        <v>850</v>
      </c>
      <c r="I6" s="21">
        <v>850</v>
      </c>
      <c r="J6" s="21">
        <v>850</v>
      </c>
      <c r="K6" s="21">
        <v>850</v>
      </c>
      <c r="L6" s="21">
        <v>850</v>
      </c>
    </row>
    <row r="7" spans="2:14" ht="14" customHeight="1">
      <c r="B7" s="67" t="s">
        <v>303</v>
      </c>
      <c r="C7" s="21"/>
      <c r="D7" s="21"/>
      <c r="E7" s="21"/>
      <c r="F7" s="21">
        <v>-600</v>
      </c>
      <c r="H7" s="21">
        <f>-200</f>
        <v>-200</v>
      </c>
      <c r="I7" s="21">
        <f t="shared" ref="I7:L7" si="2">-200</f>
        <v>-200</v>
      </c>
      <c r="J7" s="21">
        <f t="shared" si="2"/>
        <v>-200</v>
      </c>
      <c r="K7" s="21">
        <f t="shared" si="2"/>
        <v>-200</v>
      </c>
      <c r="L7" s="21">
        <f t="shared" si="2"/>
        <v>-200</v>
      </c>
    </row>
    <row r="8" spans="2:14">
      <c r="B8" s="57" t="s">
        <v>308</v>
      </c>
      <c r="C8" s="58">
        <f>BS!C27</f>
        <v>330166</v>
      </c>
      <c r="D8" s="25">
        <f>'PrelimSE_20-24'!F34</f>
        <v>106323</v>
      </c>
      <c r="E8" s="25">
        <f>'PrelimSE_20-24'!F43</f>
        <v>107195</v>
      </c>
      <c r="F8" s="25">
        <f>'PrelimSE_20-24'!B79</f>
        <v>107917</v>
      </c>
      <c r="H8" s="82">
        <f>SUM(H5:H7)</f>
        <v>108567</v>
      </c>
      <c r="I8" s="82">
        <f t="shared" ref="I8:L8" si="3">SUM(I5:I7)</f>
        <v>109217</v>
      </c>
      <c r="J8" s="82">
        <f t="shared" si="3"/>
        <v>109867</v>
      </c>
      <c r="K8" s="82">
        <f t="shared" si="3"/>
        <v>110517</v>
      </c>
      <c r="L8" s="82">
        <f t="shared" si="3"/>
        <v>111167</v>
      </c>
    </row>
    <row r="9" spans="2:14" ht="12" customHeight="1">
      <c r="B9" s="67" t="s">
        <v>150</v>
      </c>
      <c r="C9" s="10"/>
      <c r="D9" s="10">
        <f>D8*E10</f>
        <v>0</v>
      </c>
      <c r="E9" s="10">
        <f>SUM(E5:E6)-E8</f>
        <v>0</v>
      </c>
      <c r="F9" s="10">
        <f>SUM(F5:F6)-F8</f>
        <v>0</v>
      </c>
      <c r="H9" s="21"/>
      <c r="I9" s="21"/>
      <c r="J9" s="21"/>
      <c r="K9" s="21"/>
      <c r="L9" s="21"/>
    </row>
    <row r="10" spans="2:14" ht="12" customHeight="1">
      <c r="B10" s="57"/>
      <c r="C10" s="58"/>
      <c r="D10" s="58"/>
      <c r="E10" s="58"/>
      <c r="F10" s="58"/>
      <c r="G10" s="57"/>
      <c r="H10" s="89"/>
      <c r="I10" s="89"/>
      <c r="J10" s="89"/>
      <c r="K10" s="89"/>
      <c r="L10" s="89"/>
    </row>
    <row r="11" spans="2:14" ht="12" customHeight="1">
      <c r="B11" s="65" t="s">
        <v>304</v>
      </c>
      <c r="C11" s="58"/>
      <c r="D11" s="10">
        <f>'PrelimPL_21-23'!C27</f>
        <v>49815</v>
      </c>
      <c r="E11" s="10">
        <f>'PrelimPL_21-23'!D27</f>
        <v>48324</v>
      </c>
      <c r="F11" s="10">
        <f>'PrelimPL_21-23'!E27</f>
        <v>47726</v>
      </c>
      <c r="G11" s="57"/>
      <c r="H11" s="21">
        <f>AVERAGE(D11:F11)</f>
        <v>48621.666666666664</v>
      </c>
      <c r="I11" s="21">
        <f>H11*0.98</f>
        <v>47649.23333333333</v>
      </c>
      <c r="J11" s="21">
        <f>I11*0.99</f>
        <v>47172.740999999995</v>
      </c>
      <c r="K11" s="21">
        <f>J11*1.01</f>
        <v>47644.468409999994</v>
      </c>
      <c r="L11" s="21">
        <f>K11*1.01</f>
        <v>48120.913094099997</v>
      </c>
    </row>
    <row r="12" spans="2:14" ht="12" customHeight="1">
      <c r="B12" s="125" t="s">
        <v>305</v>
      </c>
      <c r="C12" s="10"/>
      <c r="D12" s="10">
        <f>D13-D11</f>
        <v>599</v>
      </c>
      <c r="E12" s="10">
        <f t="shared" ref="E12:F12" si="4">E13-E11</f>
        <v>726</v>
      </c>
      <c r="F12" s="10">
        <f t="shared" si="4"/>
        <v>959</v>
      </c>
      <c r="H12" s="21">
        <f>AVERAGE(D12:F12)</f>
        <v>761.33333333333337</v>
      </c>
      <c r="I12" s="21">
        <v>761.33333333333337</v>
      </c>
      <c r="J12" s="21">
        <v>761.33333333333337</v>
      </c>
      <c r="K12" s="21">
        <v>761.33333333333337</v>
      </c>
      <c r="L12" s="21">
        <v>761.33333333333337</v>
      </c>
    </row>
    <row r="13" spans="2:14" ht="12" customHeight="1">
      <c r="B13" s="65" t="s">
        <v>306</v>
      </c>
      <c r="C13" s="10"/>
      <c r="D13" s="25">
        <f>'P&amp;L'!D31</f>
        <v>50414</v>
      </c>
      <c r="E13" s="25">
        <f>'P&amp;L'!E31</f>
        <v>49050</v>
      </c>
      <c r="F13" s="25">
        <f>'P&amp;L'!F31</f>
        <v>48685</v>
      </c>
      <c r="G13" s="57"/>
      <c r="H13" s="82">
        <f>SUM(H11:H12)</f>
        <v>49383</v>
      </c>
      <c r="I13" s="82">
        <f t="shared" ref="I13:L13" si="5">SUM(I11:I12)</f>
        <v>48410.566666666666</v>
      </c>
      <c r="J13" s="82">
        <f t="shared" si="5"/>
        <v>47934.07433333333</v>
      </c>
      <c r="K13" s="82">
        <f t="shared" si="5"/>
        <v>48405.80174333333</v>
      </c>
      <c r="L13" s="82">
        <f t="shared" si="5"/>
        <v>48882.246427433332</v>
      </c>
    </row>
    <row r="14" spans="2:14" ht="12" customHeight="1">
      <c r="B14" s="67"/>
      <c r="C14" s="10"/>
      <c r="D14" s="10"/>
      <c r="E14" s="10"/>
      <c r="F14" s="10"/>
      <c r="H14" s="21"/>
      <c r="I14" s="21"/>
      <c r="J14" s="21"/>
      <c r="K14" s="21"/>
      <c r="L14" s="21"/>
    </row>
    <row r="15" spans="2:14" ht="12" customHeight="1">
      <c r="B15" s="71"/>
      <c r="C15" s="71"/>
      <c r="D15" s="130"/>
      <c r="E15" s="130"/>
      <c r="F15" s="130"/>
      <c r="G15" s="127"/>
      <c r="H15" s="128"/>
      <c r="I15" s="89"/>
      <c r="J15" s="89"/>
      <c r="K15" s="89"/>
      <c r="L15" s="89"/>
    </row>
    <row r="16" spans="2:14" s="71" customFormat="1" ht="20" customHeight="1">
      <c r="H16" s="129"/>
      <c r="I16" s="129"/>
      <c r="J16" s="129"/>
      <c r="K16" s="129"/>
      <c r="L16" s="129"/>
    </row>
    <row r="17" spans="1:12" ht="12" customHeight="1">
      <c r="A17" s="71"/>
      <c r="B17" s="126"/>
      <c r="C17" s="126"/>
      <c r="D17" s="126"/>
      <c r="E17" s="126"/>
      <c r="F17" s="71"/>
      <c r="G17" s="10"/>
      <c r="H17" s="21"/>
      <c r="I17" s="21"/>
      <c r="J17" s="21"/>
      <c r="K17" s="21"/>
      <c r="L17" s="21"/>
    </row>
    <row r="18" spans="1:12" ht="12" customHeight="1">
      <c r="B18" s="67"/>
      <c r="C18" s="10"/>
      <c r="D18" s="84"/>
      <c r="E18" s="84"/>
      <c r="F18" s="84"/>
      <c r="G18" s="10"/>
      <c r="H18" s="21"/>
      <c r="I18" s="21"/>
      <c r="J18" s="21"/>
      <c r="K18" s="21"/>
      <c r="L18" s="21"/>
    </row>
    <row r="19" spans="1:12" ht="12" customHeight="1">
      <c r="B19" s="67"/>
      <c r="C19" s="10"/>
      <c r="D19" s="10"/>
      <c r="E19" s="10"/>
      <c r="F19" s="10"/>
      <c r="G19" s="10"/>
      <c r="H19" s="21"/>
      <c r="I19" s="21"/>
      <c r="J19" s="21"/>
      <c r="K19" s="21"/>
      <c r="L19" s="21"/>
    </row>
    <row r="20" spans="1:12" ht="12" customHeight="1">
      <c r="B20" s="67"/>
      <c r="C20" s="10"/>
      <c r="D20" s="10"/>
      <c r="E20" s="10"/>
      <c r="F20" s="10"/>
      <c r="G20" s="10"/>
      <c r="H20" s="21"/>
      <c r="I20" s="21"/>
      <c r="J20" s="21"/>
      <c r="K20" s="21"/>
      <c r="L20" s="21"/>
    </row>
    <row r="21" spans="1:12" ht="12" customHeight="1">
      <c r="B21" s="67"/>
      <c r="C21" s="10"/>
      <c r="D21" s="10"/>
      <c r="E21" s="10"/>
      <c r="F21" s="10"/>
      <c r="G21" s="10"/>
      <c r="H21" s="21"/>
      <c r="I21" s="21"/>
      <c r="J21" s="21"/>
      <c r="K21" s="21"/>
      <c r="L21" s="21"/>
    </row>
    <row r="22" spans="1:12" ht="12" customHeight="1">
      <c r="B22" s="87"/>
      <c r="C22" s="10"/>
      <c r="D22" s="10"/>
      <c r="E22" s="10"/>
      <c r="F22" s="10"/>
      <c r="G22" s="10"/>
      <c r="H22" s="21"/>
      <c r="I22" s="21"/>
      <c r="J22" s="21"/>
      <c r="K22" s="21"/>
      <c r="L22" s="21"/>
    </row>
    <row r="23" spans="1:12" ht="12" customHeight="1">
      <c r="B23" s="67"/>
      <c r="C23" s="10"/>
      <c r="D23" s="10"/>
      <c r="E23" s="10"/>
      <c r="F23" s="10"/>
      <c r="G23" s="10"/>
      <c r="H23" s="21"/>
      <c r="I23" s="21"/>
      <c r="J23" s="21"/>
      <c r="K23" s="21"/>
      <c r="L23" s="21"/>
    </row>
    <row r="24" spans="1:12" ht="12" customHeight="1">
      <c r="B24" s="67"/>
      <c r="C24" s="10"/>
      <c r="D24" s="10"/>
      <c r="E24" s="10"/>
      <c r="F24" s="10"/>
      <c r="G24" s="10"/>
      <c r="H24" s="21"/>
      <c r="I24" s="21"/>
      <c r="J24" s="21"/>
      <c r="K24" s="21"/>
      <c r="L24" s="21"/>
    </row>
    <row r="25" spans="1:12" ht="12" customHeight="1">
      <c r="B25" s="67"/>
      <c r="C25" s="58"/>
      <c r="D25" s="10"/>
      <c r="E25" s="10"/>
      <c r="F25" s="10"/>
      <c r="G25" s="10"/>
      <c r="H25" s="21"/>
      <c r="I25" s="21"/>
      <c r="J25" s="21"/>
      <c r="K25" s="21"/>
      <c r="L25" s="21"/>
    </row>
    <row r="26" spans="1:12" ht="7" customHeight="1">
      <c r="B26" s="78"/>
      <c r="C26" s="96"/>
      <c r="D26" s="96"/>
      <c r="E26" s="96"/>
      <c r="F26" s="96"/>
      <c r="G26" s="96"/>
      <c r="H26" s="97"/>
      <c r="I26" s="97"/>
      <c r="J26" s="97"/>
      <c r="K26" s="97"/>
      <c r="L26" s="97"/>
    </row>
    <row r="27" spans="1:12">
      <c r="C27" s="10"/>
      <c r="D27" s="10"/>
      <c r="E27" s="10"/>
      <c r="F27" s="10"/>
      <c r="G27" s="10"/>
      <c r="H27" s="10"/>
      <c r="I27" s="10"/>
      <c r="J27" s="10"/>
      <c r="K27" s="10"/>
      <c r="L27" s="10"/>
    </row>
    <row r="28" spans="1:12" ht="7" customHeight="1">
      <c r="C28" s="10"/>
      <c r="D28" s="10"/>
      <c r="E28" s="10"/>
      <c r="F28" s="10"/>
      <c r="G28" s="10"/>
      <c r="H28" s="10"/>
      <c r="I28" s="10"/>
      <c r="J28" s="10"/>
      <c r="K28" s="10"/>
      <c r="L28" s="10"/>
    </row>
    <row r="29" spans="1:12" ht="12" thickBot="1">
      <c r="B29" s="77"/>
      <c r="C29" s="77"/>
      <c r="D29" s="77"/>
      <c r="E29" s="77"/>
      <c r="F29" s="77"/>
      <c r="G29" s="77"/>
      <c r="H29" s="77"/>
      <c r="I29" s="77"/>
      <c r="J29" s="77"/>
      <c r="K29" s="77"/>
      <c r="L29" s="77"/>
    </row>
    <row r="30" spans="1:12">
      <c r="C30" s="10"/>
      <c r="H30" s="10"/>
      <c r="I30" s="10"/>
      <c r="J30" s="10"/>
      <c r="K30" s="10"/>
      <c r="L30" s="10"/>
    </row>
    <row r="31" spans="1:12" ht="7" customHeight="1">
      <c r="H31" s="10"/>
      <c r="I31" s="10"/>
      <c r="J31" s="10"/>
      <c r="K31" s="10"/>
      <c r="L31" s="10"/>
    </row>
    <row r="32" spans="1:12">
      <c r="B32" s="67"/>
    </row>
    <row r="33" spans="2:12">
      <c r="B33" s="67"/>
    </row>
    <row r="34" spans="2:12">
      <c r="B34" s="67"/>
      <c r="C34" s="20"/>
      <c r="D34" s="20"/>
      <c r="E34" s="20"/>
      <c r="F34" s="20"/>
      <c r="H34" s="20"/>
      <c r="I34" s="20"/>
      <c r="J34" s="20"/>
      <c r="K34" s="20"/>
      <c r="L34" s="20"/>
    </row>
    <row r="35" spans="2:12" ht="7" customHeight="1"/>
    <row r="36" spans="2:12">
      <c r="B36" s="67"/>
    </row>
    <row r="37" spans="2:12">
      <c r="B37" s="67"/>
      <c r="C37" s="20"/>
      <c r="D37" s="20"/>
      <c r="E37" s="20"/>
      <c r="F37" s="20"/>
      <c r="H37" s="20"/>
      <c r="I37" s="20"/>
      <c r="J37" s="20"/>
      <c r="K37" s="20"/>
      <c r="L37" s="20"/>
    </row>
    <row r="38" spans="2:12">
      <c r="B38" s="67"/>
      <c r="C38" s="20"/>
      <c r="D38" s="20"/>
      <c r="E38" s="20"/>
      <c r="F38" s="20"/>
      <c r="H38" s="20"/>
      <c r="I38" s="20"/>
      <c r="J38" s="20"/>
      <c r="K38" s="20"/>
      <c r="L38" s="20"/>
    </row>
    <row r="42" spans="2:12">
      <c r="C42" s="70"/>
    </row>
    <row r="43" spans="2:12">
      <c r="C43" s="10"/>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9C0D-8BA8-4287-B518-7FFE300364D7}">
  <sheetPr codeName="Sheet8">
    <tabColor theme="7" tint="-0.249977111117893"/>
  </sheetPr>
  <dimension ref="B1:N51"/>
  <sheetViews>
    <sheetView workbookViewId="0"/>
  </sheetViews>
  <sheetFormatPr defaultColWidth="9.08984375" defaultRowHeight="11.5"/>
  <cols>
    <col min="1" max="1" width="2" style="4" customWidth="1"/>
    <col min="2" max="2" width="40.08984375" style="4" customWidth="1"/>
    <col min="3" max="3" width="11.1796875" style="4" hidden="1" customWidth="1"/>
    <col min="4" max="4" width="9.54296875" style="4" bestFit="1" customWidth="1"/>
    <col min="5" max="5" width="9.54296875" style="4" customWidth="1"/>
    <col min="6" max="6" width="9.726562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6384" width="9.08984375" style="4"/>
  </cols>
  <sheetData>
    <row r="1" spans="2:14" ht="15.5">
      <c r="B1" s="3" t="s">
        <v>310</v>
      </c>
    </row>
    <row r="3" spans="2:14" ht="23.5" thickBot="1">
      <c r="B3" s="13" t="s">
        <v>19</v>
      </c>
      <c r="C3" s="14" t="s">
        <v>92</v>
      </c>
      <c r="D3" s="14" t="s">
        <v>93</v>
      </c>
      <c r="E3" s="14" t="s">
        <v>94</v>
      </c>
      <c r="F3" s="14" t="s">
        <v>95</v>
      </c>
      <c r="G3" s="17"/>
      <c r="H3" s="15" t="s">
        <v>97</v>
      </c>
      <c r="I3" s="15" t="s">
        <v>98</v>
      </c>
      <c r="J3" s="15" t="s">
        <v>99</v>
      </c>
      <c r="K3" s="15" t="s">
        <v>100</v>
      </c>
      <c r="L3" s="15" t="s">
        <v>101</v>
      </c>
      <c r="N3" s="18" t="s">
        <v>21</v>
      </c>
    </row>
    <row r="4" spans="2:14">
      <c r="B4" s="19"/>
      <c r="C4" s="17"/>
      <c r="D4" s="17"/>
      <c r="E4" s="17"/>
      <c r="F4" s="17"/>
      <c r="G4" s="17"/>
      <c r="H4" s="124"/>
      <c r="I4" s="124"/>
      <c r="J4" s="124"/>
      <c r="K4" s="124"/>
      <c r="L4" s="124"/>
      <c r="N4" s="72"/>
    </row>
    <row r="5" spans="2:14">
      <c r="B5" s="57" t="s">
        <v>311</v>
      </c>
      <c r="C5" s="21">
        <f>'PrelimSE_20-24'!R2</f>
        <v>288693</v>
      </c>
      <c r="D5" s="21"/>
      <c r="E5" s="21"/>
      <c r="F5" s="21"/>
      <c r="H5" s="21">
        <f>F14</f>
        <v>0</v>
      </c>
      <c r="I5" s="21"/>
      <c r="J5" s="21"/>
      <c r="K5" s="21"/>
      <c r="L5" s="21"/>
    </row>
    <row r="6" spans="2:14">
      <c r="B6" s="67" t="s">
        <v>66</v>
      </c>
      <c r="C6" s="21">
        <f>'PrelimSE_20-24'!R5</f>
        <v>72373</v>
      </c>
      <c r="D6" s="21">
        <f>'PrelimCF_21-24'!C4</f>
        <v>43123</v>
      </c>
      <c r="E6" s="21">
        <f>'PrelimCF_21-24'!D4</f>
        <v>101351</v>
      </c>
      <c r="F6" s="21">
        <f>'PrelimCF_21-24'!E4</f>
        <v>85635</v>
      </c>
      <c r="H6" s="21">
        <f>'P&amp;L'!H29</f>
        <v>117511.78947200008</v>
      </c>
      <c r="I6" s="21">
        <f>'P&amp;L'!I29</f>
        <v>122181.3814529001</v>
      </c>
      <c r="J6" s="21">
        <f>'P&amp;L'!J29</f>
        <v>127006.07355820992</v>
      </c>
      <c r="K6" s="21">
        <f>'P&amp;L'!K29</f>
        <v>131989.70182041882</v>
      </c>
      <c r="L6" s="21">
        <f>'P&amp;L'!L29</f>
        <v>137136.0981249529</v>
      </c>
    </row>
    <row r="7" spans="2:14" ht="14" customHeight="1">
      <c r="B7" s="67" t="s">
        <v>182</v>
      </c>
      <c r="C7" s="21"/>
      <c r="D7" s="21"/>
      <c r="E7" s="21"/>
      <c r="F7" s="21"/>
      <c r="H7" s="21"/>
      <c r="I7" s="21"/>
      <c r="J7" s="21"/>
      <c r="K7" s="21"/>
      <c r="L7" s="21"/>
    </row>
    <row r="8" spans="2:14" ht="14" customHeight="1">
      <c r="B8" s="114" t="s">
        <v>88</v>
      </c>
      <c r="C8" s="21">
        <f>'PrelimSE_20-24'!R9</f>
        <v>24786</v>
      </c>
      <c r="D8" s="21"/>
      <c r="E8" s="21"/>
      <c r="F8" s="21"/>
      <c r="H8" s="21"/>
      <c r="I8" s="21"/>
      <c r="J8" s="21"/>
      <c r="K8" s="21"/>
      <c r="L8" s="21"/>
    </row>
    <row r="9" spans="2:14" ht="14" customHeight="1">
      <c r="B9" s="67" t="s">
        <v>314</v>
      </c>
      <c r="C9" s="21">
        <f>'PrelimSE_20-24'!R15</f>
        <v>-5766</v>
      </c>
      <c r="D9" s="21"/>
      <c r="E9" s="21"/>
      <c r="F9" s="21"/>
      <c r="H9" s="21"/>
      <c r="I9" s="21"/>
      <c r="J9" s="21"/>
      <c r="K9" s="21"/>
      <c r="L9" s="21"/>
    </row>
    <row r="10" spans="2:14" ht="14" customHeight="1">
      <c r="B10" s="67" t="s">
        <v>236</v>
      </c>
      <c r="C10" s="21"/>
      <c r="D10" s="21"/>
      <c r="E10" s="21"/>
      <c r="F10" s="21"/>
      <c r="G10" s="10"/>
      <c r="H10" s="21"/>
      <c r="I10" s="21"/>
      <c r="J10" s="21"/>
      <c r="K10" s="21"/>
      <c r="L10" s="21"/>
    </row>
    <row r="11" spans="2:14" ht="14" customHeight="1">
      <c r="B11" s="87" t="s">
        <v>315</v>
      </c>
      <c r="C11" s="21"/>
      <c r="D11" s="131"/>
      <c r="E11" s="131"/>
      <c r="F11" s="131"/>
      <c r="H11" s="33"/>
      <c r="I11" s="33"/>
      <c r="J11" s="33"/>
      <c r="K11" s="33"/>
      <c r="L11" s="33"/>
    </row>
    <row r="12" spans="2:14" ht="14" customHeight="1">
      <c r="B12" s="67"/>
      <c r="C12" s="21"/>
      <c r="D12" s="10"/>
      <c r="E12" s="10"/>
      <c r="F12" s="10"/>
      <c r="H12" s="21"/>
      <c r="I12" s="21"/>
      <c r="J12" s="21"/>
      <c r="K12" s="21"/>
      <c r="L12" s="21"/>
    </row>
    <row r="13" spans="2:14">
      <c r="B13" s="67"/>
      <c r="C13" s="21"/>
      <c r="D13" s="10"/>
      <c r="E13" s="10"/>
      <c r="F13" s="10"/>
      <c r="H13" s="21"/>
      <c r="I13" s="21"/>
      <c r="J13" s="21"/>
      <c r="K13" s="21"/>
      <c r="L13" s="21"/>
    </row>
    <row r="14" spans="2:14">
      <c r="B14" s="57" t="s">
        <v>313</v>
      </c>
      <c r="C14" s="58">
        <f>BS!C27</f>
        <v>330166</v>
      </c>
      <c r="D14" s="10"/>
      <c r="E14" s="10"/>
      <c r="F14" s="10"/>
      <c r="H14" s="21"/>
      <c r="I14" s="21"/>
      <c r="J14" s="21"/>
      <c r="K14" s="21"/>
      <c r="L14" s="21"/>
    </row>
    <row r="15" spans="2:14" ht="12" customHeight="1">
      <c r="B15" s="67" t="s">
        <v>316</v>
      </c>
      <c r="C15" s="10"/>
      <c r="D15" s="10"/>
      <c r="E15" s="10"/>
      <c r="F15" s="10"/>
      <c r="H15" s="21"/>
      <c r="I15" s="21"/>
      <c r="J15" s="21"/>
      <c r="K15" s="21"/>
      <c r="L15" s="21"/>
    </row>
    <row r="16" spans="2:14" ht="12" customHeight="1">
      <c r="B16" s="67" t="s">
        <v>317</v>
      </c>
      <c r="C16" s="58"/>
      <c r="D16" s="10"/>
      <c r="E16" s="10"/>
      <c r="F16" s="10"/>
      <c r="G16" s="57">
        <f t="shared" ref="G16" si="0">SUM(G11:G15)</f>
        <v>0</v>
      </c>
      <c r="H16" s="89"/>
      <c r="I16" s="89"/>
      <c r="J16" s="89"/>
      <c r="K16" s="89"/>
      <c r="L16" s="89"/>
    </row>
    <row r="17" spans="2:12" ht="12" customHeight="1">
      <c r="B17" s="87" t="s">
        <v>318</v>
      </c>
      <c r="C17" s="58"/>
      <c r="D17" s="10"/>
      <c r="E17" s="10"/>
      <c r="F17" s="10"/>
      <c r="G17" s="57"/>
      <c r="H17" s="89"/>
      <c r="I17" s="89"/>
      <c r="J17" s="89"/>
      <c r="K17" s="89"/>
      <c r="L17" s="89"/>
    </row>
    <row r="18" spans="2:12" ht="12" customHeight="1">
      <c r="B18" s="67"/>
      <c r="C18" s="10"/>
      <c r="D18" s="10"/>
      <c r="E18" s="10"/>
      <c r="F18" s="10"/>
      <c r="H18" s="21"/>
      <c r="I18" s="21"/>
      <c r="J18" s="21"/>
      <c r="K18" s="21"/>
      <c r="L18" s="21"/>
    </row>
    <row r="19" spans="2:12" ht="12" customHeight="1">
      <c r="B19" s="87" t="s">
        <v>324</v>
      </c>
      <c r="C19" s="10"/>
      <c r="D19" s="10"/>
      <c r="E19" s="10"/>
      <c r="F19" s="10"/>
      <c r="H19" s="21"/>
      <c r="I19" s="21"/>
      <c r="J19" s="21"/>
      <c r="K19" s="21"/>
      <c r="L19" s="21"/>
    </row>
    <row r="20" spans="2:12" ht="12" customHeight="1">
      <c r="B20" s="87"/>
      <c r="C20" s="10"/>
      <c r="D20" s="10"/>
      <c r="E20" s="10"/>
      <c r="F20" s="10"/>
      <c r="H20" s="21"/>
      <c r="I20" s="21"/>
      <c r="J20" s="21"/>
      <c r="K20" s="21"/>
      <c r="L20" s="21"/>
    </row>
    <row r="21" spans="2:12" ht="12" customHeight="1">
      <c r="B21" s="57" t="s">
        <v>312</v>
      </c>
      <c r="C21" s="10"/>
      <c r="D21" s="10"/>
      <c r="E21" s="10"/>
      <c r="F21" s="10"/>
      <c r="G21" s="10"/>
      <c r="H21" s="21"/>
      <c r="I21" s="21"/>
      <c r="J21" s="21"/>
      <c r="K21" s="21"/>
      <c r="L21" s="21"/>
    </row>
    <row r="22" spans="2:12" ht="12" customHeight="1">
      <c r="B22" s="67" t="s">
        <v>319</v>
      </c>
      <c r="C22" s="10" t="e">
        <f>C16-#REF!</f>
        <v>#REF!</v>
      </c>
      <c r="D22" s="10"/>
      <c r="E22" s="10"/>
      <c r="F22" s="10"/>
      <c r="G22" s="10"/>
      <c r="H22" s="21"/>
      <c r="I22" s="21"/>
      <c r="J22" s="21"/>
      <c r="K22" s="21"/>
      <c r="L22" s="21"/>
    </row>
    <row r="23" spans="2:12" ht="12" customHeight="1">
      <c r="B23" s="67" t="s">
        <v>320</v>
      </c>
      <c r="C23" s="10"/>
      <c r="D23" s="10"/>
      <c r="E23" s="10"/>
      <c r="F23" s="10"/>
      <c r="G23" s="10"/>
      <c r="H23" s="21"/>
      <c r="I23" s="21"/>
      <c r="J23" s="21"/>
      <c r="K23" s="21"/>
      <c r="L23" s="21"/>
    </row>
    <row r="24" spans="2:12" ht="12" customHeight="1">
      <c r="B24" s="67" t="s">
        <v>321</v>
      </c>
      <c r="C24" s="10"/>
      <c r="D24" s="10"/>
      <c r="E24" s="10"/>
      <c r="F24" s="10"/>
      <c r="G24" s="10"/>
      <c r="H24" s="21"/>
      <c r="I24" s="21"/>
      <c r="J24" s="21"/>
      <c r="K24" s="21"/>
      <c r="L24" s="21"/>
    </row>
    <row r="25" spans="2:12" ht="12" customHeight="1">
      <c r="B25" s="67" t="s">
        <v>240</v>
      </c>
      <c r="C25" s="10"/>
      <c r="D25" s="10"/>
      <c r="E25" s="10"/>
      <c r="F25" s="10"/>
      <c r="G25" s="10"/>
      <c r="H25" s="21"/>
      <c r="I25" s="21"/>
      <c r="J25" s="21"/>
      <c r="K25" s="21"/>
      <c r="L25" s="21"/>
    </row>
    <row r="26" spans="2:12" ht="12" customHeight="1">
      <c r="B26" s="67" t="s">
        <v>241</v>
      </c>
      <c r="C26" s="10"/>
      <c r="D26" s="10"/>
      <c r="E26" s="10"/>
      <c r="F26" s="10"/>
      <c r="G26" s="10"/>
      <c r="H26" s="21"/>
      <c r="I26" s="21"/>
      <c r="J26" s="21"/>
      <c r="K26" s="21"/>
      <c r="L26" s="21"/>
    </row>
    <row r="27" spans="2:12" ht="12" customHeight="1">
      <c r="B27" s="67" t="s">
        <v>322</v>
      </c>
      <c r="C27" s="10"/>
      <c r="D27" s="10"/>
      <c r="E27" s="10"/>
      <c r="F27" s="10"/>
      <c r="G27" s="10"/>
      <c r="H27" s="21"/>
      <c r="I27" s="21"/>
      <c r="J27" s="21"/>
      <c r="K27" s="21"/>
      <c r="L27" s="21"/>
    </row>
    <row r="28" spans="2:12" ht="12" customHeight="1">
      <c r="B28" s="87" t="s">
        <v>323</v>
      </c>
      <c r="C28" s="58"/>
      <c r="D28" s="10"/>
      <c r="E28" s="10"/>
      <c r="F28" s="10"/>
      <c r="G28" s="10"/>
      <c r="H28" s="21"/>
      <c r="I28" s="21"/>
      <c r="J28" s="21"/>
      <c r="K28" s="21"/>
      <c r="L28" s="21"/>
    </row>
    <row r="29" spans="2:12" ht="12" customHeight="1">
      <c r="B29" s="87"/>
      <c r="C29" s="58"/>
      <c r="D29" s="10"/>
      <c r="E29" s="10"/>
      <c r="F29" s="10"/>
      <c r="G29" s="10"/>
      <c r="H29" s="21"/>
      <c r="I29" s="21"/>
      <c r="J29" s="21"/>
      <c r="K29" s="21"/>
      <c r="L29" s="21"/>
    </row>
    <row r="30" spans="2:12" ht="12" customHeight="1">
      <c r="B30" s="87" t="s">
        <v>362</v>
      </c>
      <c r="C30" s="58"/>
      <c r="D30" s="10"/>
      <c r="E30" s="10"/>
      <c r="F30" s="10"/>
      <c r="G30" s="10"/>
      <c r="H30" s="21"/>
      <c r="I30" s="21"/>
      <c r="J30" s="21"/>
      <c r="K30" s="21"/>
      <c r="L30" s="21"/>
    </row>
    <row r="31" spans="2:12" ht="12" customHeight="1">
      <c r="B31" s="67" t="s">
        <v>326</v>
      </c>
      <c r="C31" s="58"/>
      <c r="D31" s="10"/>
      <c r="E31" s="10"/>
      <c r="F31" s="10"/>
      <c r="G31" s="10"/>
      <c r="H31" s="21"/>
      <c r="I31" s="21"/>
      <c r="J31" s="21"/>
      <c r="K31" s="21"/>
      <c r="L31" s="21"/>
    </row>
    <row r="32" spans="2:12" ht="12" customHeight="1">
      <c r="B32" s="67" t="s">
        <v>325</v>
      </c>
      <c r="C32" s="58"/>
      <c r="D32" s="10"/>
      <c r="E32" s="10"/>
      <c r="F32" s="10"/>
      <c r="G32" s="10"/>
      <c r="H32" s="21"/>
      <c r="I32" s="21"/>
      <c r="J32" s="21"/>
      <c r="K32" s="21"/>
      <c r="L32" s="21"/>
    </row>
    <row r="33" spans="2:12" ht="12" customHeight="1">
      <c r="B33" s="87"/>
      <c r="C33" s="58"/>
      <c r="D33" s="10"/>
      <c r="E33" s="10"/>
      <c r="F33" s="10"/>
      <c r="G33" s="10"/>
      <c r="H33" s="21"/>
      <c r="I33" s="21"/>
      <c r="J33" s="21"/>
      <c r="K33" s="21"/>
      <c r="L33" s="21"/>
    </row>
    <row r="34" spans="2:12" ht="7" customHeight="1">
      <c r="B34" s="78"/>
      <c r="C34" s="96"/>
      <c r="D34" s="96"/>
      <c r="E34" s="96"/>
      <c r="F34" s="96"/>
      <c r="G34" s="96"/>
      <c r="H34" s="97"/>
      <c r="I34" s="97"/>
      <c r="J34" s="97"/>
      <c r="K34" s="97"/>
      <c r="L34" s="97"/>
    </row>
    <row r="35" spans="2:12">
      <c r="C35" s="10"/>
      <c r="D35" s="10"/>
      <c r="E35" s="10"/>
      <c r="F35" s="10"/>
      <c r="G35" s="10"/>
      <c r="H35" s="10"/>
      <c r="I35" s="10"/>
      <c r="J35" s="10"/>
      <c r="K35" s="10"/>
      <c r="L35" s="10"/>
    </row>
    <row r="36" spans="2:12" ht="7" customHeight="1">
      <c r="C36" s="10"/>
      <c r="D36" s="10"/>
      <c r="E36" s="10"/>
      <c r="F36" s="10"/>
      <c r="G36" s="10"/>
      <c r="H36" s="10"/>
      <c r="I36" s="10"/>
      <c r="J36" s="10"/>
      <c r="K36" s="10"/>
      <c r="L36" s="10"/>
    </row>
    <row r="37" spans="2:12" ht="12" thickBot="1">
      <c r="B37" s="77"/>
      <c r="C37" s="77"/>
      <c r="D37" s="77"/>
      <c r="E37" s="77"/>
      <c r="F37" s="77"/>
      <c r="G37" s="77"/>
      <c r="H37" s="77"/>
      <c r="I37" s="77"/>
      <c r="J37" s="77"/>
      <c r="K37" s="77"/>
      <c r="L37" s="77"/>
    </row>
    <row r="38" spans="2:12">
      <c r="C38" s="10"/>
      <c r="H38" s="10"/>
      <c r="I38" s="10"/>
      <c r="J38" s="10"/>
      <c r="K38" s="10"/>
      <c r="L38" s="10"/>
    </row>
    <row r="39" spans="2:12" ht="7" customHeight="1">
      <c r="H39" s="10"/>
      <c r="I39" s="10"/>
      <c r="J39" s="10"/>
      <c r="K39" s="10"/>
      <c r="L39" s="10"/>
    </row>
    <row r="40" spans="2:12">
      <c r="B40" s="67"/>
    </row>
    <row r="41" spans="2:12">
      <c r="B41" s="67"/>
    </row>
    <row r="42" spans="2:12">
      <c r="B42" s="67"/>
      <c r="C42" s="20"/>
      <c r="D42" s="20"/>
      <c r="E42" s="20"/>
      <c r="F42" s="20"/>
      <c r="H42" s="20"/>
      <c r="I42" s="20"/>
      <c r="J42" s="20"/>
      <c r="K42" s="20"/>
      <c r="L42" s="20"/>
    </row>
    <row r="43" spans="2:12" ht="7" customHeight="1"/>
    <row r="44" spans="2:12">
      <c r="B44" s="67"/>
    </row>
    <row r="45" spans="2:12">
      <c r="B45" s="67"/>
      <c r="C45" s="20"/>
      <c r="D45" s="20"/>
      <c r="E45" s="20"/>
      <c r="F45" s="20"/>
      <c r="H45" s="20"/>
      <c r="I45" s="20"/>
      <c r="J45" s="20"/>
      <c r="K45" s="20"/>
      <c r="L45" s="20"/>
    </row>
    <row r="46" spans="2:12">
      <c r="B46" s="67"/>
      <c r="C46" s="20"/>
      <c r="D46" s="20"/>
      <c r="E46" s="20"/>
      <c r="F46" s="20"/>
      <c r="H46" s="20"/>
      <c r="I46" s="20"/>
      <c r="J46" s="20"/>
      <c r="K46" s="20"/>
      <c r="L46" s="20"/>
    </row>
    <row r="50" spans="3:3">
      <c r="C50" s="70"/>
    </row>
    <row r="51" spans="3:3">
      <c r="C51" s="10"/>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8" t="s">
        <v>363</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7">
    <tabColor theme="9" tint="-0.249977111117893"/>
  </sheetPr>
  <dimension ref="B1:O38"/>
  <sheetViews>
    <sheetView zoomScale="80" zoomScaleNormal="80" workbookViewId="0"/>
  </sheetViews>
  <sheetFormatPr defaultColWidth="9.08984375" defaultRowHeight="11.5"/>
  <cols>
    <col min="1" max="1" width="2" style="8" customWidth="1"/>
    <col min="2" max="2" width="31.54296875" style="8" bestFit="1" customWidth="1"/>
    <col min="3" max="3" width="9.7265625" style="8" bestFit="1" customWidth="1"/>
    <col min="4" max="5" width="10.6328125" style="8" bestFit="1" customWidth="1"/>
    <col min="6" max="6" width="2" style="8" customWidth="1"/>
    <col min="7" max="11" width="9.7265625" style="8" bestFit="1" customWidth="1"/>
    <col min="12" max="12" width="4.1796875" style="439" customWidth="1"/>
    <col min="13" max="13" width="9.08984375" style="8"/>
    <col min="14" max="14" width="9.08984375" style="8" customWidth="1"/>
    <col min="15" max="15" width="7.81640625" style="8" customWidth="1"/>
    <col min="16" max="16384" width="9.08984375" style="8"/>
  </cols>
  <sheetData>
    <row r="1" spans="2:15" ht="15.5">
      <c r="B1" s="9" t="s">
        <v>456</v>
      </c>
      <c r="C1" s="9"/>
    </row>
    <row r="2" spans="2:15">
      <c r="B2" s="8" t="s">
        <v>24</v>
      </c>
    </row>
    <row r="3" spans="2:15" ht="23.5" thickBot="1">
      <c r="B3" s="13" t="s">
        <v>19</v>
      </c>
      <c r="C3" s="14" t="s">
        <v>93</v>
      </c>
      <c r="D3" s="14" t="s">
        <v>94</v>
      </c>
      <c r="E3" s="14" t="s">
        <v>95</v>
      </c>
      <c r="F3" s="17"/>
      <c r="G3" s="15" t="s">
        <v>97</v>
      </c>
      <c r="H3" s="15" t="s">
        <v>98</v>
      </c>
      <c r="I3" s="15" t="s">
        <v>99</v>
      </c>
      <c r="J3" s="15" t="s">
        <v>100</v>
      </c>
      <c r="K3" s="15" t="s">
        <v>101</v>
      </c>
      <c r="L3" s="440"/>
      <c r="M3" s="18" t="s">
        <v>21</v>
      </c>
    </row>
    <row r="4" spans="2:15">
      <c r="B4" s="8" t="s">
        <v>7</v>
      </c>
      <c r="C4" s="8">
        <f>'P&amp;L'!D16</f>
        <v>38935</v>
      </c>
      <c r="D4" s="8">
        <f>'P&amp;L'!E16</f>
        <v>108566</v>
      </c>
      <c r="E4" s="8">
        <f>'P&amp;L'!F16</f>
        <v>97985</v>
      </c>
      <c r="G4" s="8">
        <f>'P&amp;L'!H16</f>
        <v>141754.12440000009</v>
      </c>
      <c r="H4" s="8">
        <f>'P&amp;L'!I16</f>
        <v>147060.47892375011</v>
      </c>
      <c r="I4" s="8">
        <f>'P&amp;L'!J16</f>
        <v>152543.0835888749</v>
      </c>
      <c r="J4" s="8">
        <f>'P&amp;L'!K16</f>
        <v>158206.29752320319</v>
      </c>
      <c r="K4" s="8">
        <f>'P&amp;L'!L16</f>
        <v>164054.47514199192</v>
      </c>
      <c r="M4" s="441"/>
    </row>
    <row r="5" spans="2:15">
      <c r="B5" s="40" t="s">
        <v>36</v>
      </c>
      <c r="C5" s="8">
        <f t="shared" ref="C5:D5" si="0">C4*C6</f>
        <v>12110.664751307308</v>
      </c>
      <c r="D5" s="8">
        <f t="shared" si="0"/>
        <v>1451.3242346071549</v>
      </c>
      <c r="E5" s="8">
        <f>E4*E6</f>
        <v>-8601.7127380800193</v>
      </c>
      <c r="G5" s="8">
        <f>G4*G6</f>
        <v>-17010.494928000011</v>
      </c>
      <c r="H5" s="8">
        <f>H4*H6</f>
        <v>-17647.257470850014</v>
      </c>
      <c r="I5" s="8">
        <f>I4*I6</f>
        <v>-18305.170030664987</v>
      </c>
      <c r="J5" s="8">
        <f t="shared" ref="J5:K5" si="1">J4*J6</f>
        <v>-18984.755702784383</v>
      </c>
      <c r="K5" s="8">
        <f t="shared" si="1"/>
        <v>-19686.537017039031</v>
      </c>
      <c r="M5" s="441"/>
    </row>
    <row r="6" spans="2:15">
      <c r="B6" s="40" t="s">
        <v>37</v>
      </c>
      <c r="C6" s="20">
        <f>'P&amp;L'!D23</f>
        <v>0.31104827921683081</v>
      </c>
      <c r="D6" s="20">
        <f>'P&amp;L'!E23</f>
        <v>1.3368128462015318E-2</v>
      </c>
      <c r="E6" s="20">
        <f>'P&amp;L'!F23</f>
        <v>-8.7786015595040262E-2</v>
      </c>
      <c r="G6" s="20">
        <f>'P&amp;L'!H23</f>
        <v>-0.12</v>
      </c>
      <c r="H6" s="20">
        <f>'P&amp;L'!I23</f>
        <v>-0.12000000000000001</v>
      </c>
      <c r="I6" s="20">
        <f>'P&amp;L'!J23</f>
        <v>-0.12</v>
      </c>
      <c r="J6" s="20">
        <f>'P&amp;L'!K23</f>
        <v>-0.12000000000000001</v>
      </c>
      <c r="K6" s="20">
        <f>'P&amp;L'!L23</f>
        <v>-0.12000000000000001</v>
      </c>
      <c r="M6" s="442"/>
      <c r="N6" s="10"/>
      <c r="O6" s="10"/>
    </row>
    <row r="7" spans="2:15">
      <c r="B7" s="41" t="s">
        <v>38</v>
      </c>
      <c r="C7" s="42">
        <f t="shared" ref="C7:D7" si="2">C4+C5</f>
        <v>51045.664751307311</v>
      </c>
      <c r="D7" s="42">
        <f t="shared" si="2"/>
        <v>110017.32423460715</v>
      </c>
      <c r="E7" s="42">
        <f>E4+E5</f>
        <v>89383.287261919977</v>
      </c>
      <c r="F7" s="42"/>
      <c r="G7" s="42">
        <f>G4+G5</f>
        <v>124743.62947200007</v>
      </c>
      <c r="H7" s="42">
        <f>H4+H5</f>
        <v>129413.22145290009</v>
      </c>
      <c r="I7" s="42">
        <f>I4+I5</f>
        <v>134237.9135582099</v>
      </c>
      <c r="J7" s="42">
        <f t="shared" ref="J7:K7" si="3">J4+J5</f>
        <v>139221.54182041882</v>
      </c>
      <c r="K7" s="42">
        <f t="shared" si="3"/>
        <v>144367.9381249529</v>
      </c>
      <c r="M7" s="441"/>
    </row>
    <row r="8" spans="2:15">
      <c r="B8" s="40"/>
      <c r="M8" s="441"/>
    </row>
    <row r="9" spans="2:15">
      <c r="B9" s="40" t="s">
        <v>39</v>
      </c>
      <c r="C9" s="8">
        <f>-'P&amp;L'!D14</f>
        <v>92380</v>
      </c>
      <c r="D9" s="8">
        <f>-'P&amp;L'!E14</f>
        <v>93136</v>
      </c>
      <c r="E9" s="8">
        <f>-'P&amp;L'!F14</f>
        <v>49716</v>
      </c>
      <c r="G9" s="8">
        <f>-'P&amp;L'!H14</f>
        <v>122149.83059999999</v>
      </c>
      <c r="H9" s="8">
        <f>-'P&amp;L'!I14</f>
        <v>130038.67382625</v>
      </c>
      <c r="I9" s="8">
        <f>-'P&amp;L'!J14</f>
        <v>138411.02679862501</v>
      </c>
      <c r="J9" s="8">
        <f>-'P&amp;L'!K14</f>
        <v>147295.51838367188</v>
      </c>
      <c r="K9" s="8">
        <f>-'P&amp;L'!L14</f>
        <v>156722.43156022689</v>
      </c>
      <c r="M9" s="441" t="s">
        <v>424</v>
      </c>
    </row>
    <row r="10" spans="2:15">
      <c r="B10" s="41" t="s">
        <v>40</v>
      </c>
      <c r="C10" s="192">
        <f t="shared" ref="C10:D10" si="4">C7+C9</f>
        <v>143425.66475130731</v>
      </c>
      <c r="D10" s="192">
        <f t="shared" si="4"/>
        <v>203153.32423460716</v>
      </c>
      <c r="E10" s="192">
        <f>E7+E9</f>
        <v>139099.28726191999</v>
      </c>
      <c r="F10" s="42"/>
      <c r="G10" s="192">
        <f>G7+G9</f>
        <v>246893.46007200005</v>
      </c>
      <c r="H10" s="192">
        <f>H7+H9</f>
        <v>259451.89527915011</v>
      </c>
      <c r="I10" s="192">
        <f>I7+I9</f>
        <v>272648.94035683491</v>
      </c>
      <c r="J10" s="192">
        <f t="shared" ref="J10:K10" si="5">J7+J9</f>
        <v>286517.06020409067</v>
      </c>
      <c r="K10" s="192">
        <f t="shared" si="5"/>
        <v>301090.36968517979</v>
      </c>
      <c r="L10" s="191" t="s">
        <v>428</v>
      </c>
      <c r="M10" s="441"/>
    </row>
    <row r="11" spans="2:15">
      <c r="B11" s="40"/>
      <c r="M11" s="441"/>
    </row>
    <row r="12" spans="2:15">
      <c r="B12" s="40" t="s">
        <v>12</v>
      </c>
      <c r="C12" s="8">
        <f>-(BS!D6-BS!C6)</f>
        <v>-12720</v>
      </c>
      <c r="D12" s="8">
        <f>-(BS!E6-BS!D6)</f>
        <v>-2095</v>
      </c>
      <c r="E12" s="8">
        <f>-(BS!F6-BS!E6)</f>
        <v>-13333</v>
      </c>
      <c r="G12" s="8">
        <f>-(BS!H6-BS!F6)</f>
        <v>22395.160666666663</v>
      </c>
      <c r="H12" s="8">
        <f>-(BS!I6-BS!H6)</f>
        <v>-2429.5919666666596</v>
      </c>
      <c r="I12" s="8">
        <f>-(BS!J6-BS!I6)</f>
        <v>-2551.0715650000129</v>
      </c>
      <c r="J12" s="8">
        <f>-(BS!K6-BS!J6)</f>
        <v>-2678.6251432499921</v>
      </c>
      <c r="K12" s="8">
        <f>-(BS!L6-BS!K6)</f>
        <v>-2812.5564004125044</v>
      </c>
      <c r="M12" s="441" t="s">
        <v>423</v>
      </c>
    </row>
    <row r="13" spans="2:15">
      <c r="B13" s="40" t="s">
        <v>416</v>
      </c>
      <c r="C13" s="8">
        <f>-(BS!D5-BS!C5)</f>
        <v>-5007</v>
      </c>
      <c r="D13" s="8">
        <f>-(BS!E5-BS!D5)</f>
        <v>2417</v>
      </c>
      <c r="E13" s="8">
        <f>-(BS!F5-BS!E5)</f>
        <v>30674</v>
      </c>
      <c r="G13" s="8">
        <f>-(BS!H5-BS!F5)</f>
        <v>-32303.791666666672</v>
      </c>
      <c r="H13" s="8">
        <f>-(BS!I5-BS!H5)</f>
        <v>-5236.1895833333256</v>
      </c>
      <c r="I13" s="8">
        <f>-(BS!J5-BS!I5)</f>
        <v>-5497.9990625000064</v>
      </c>
      <c r="J13" s="8">
        <f>-(BS!K5-BS!J5)</f>
        <v>-5772.8990156250075</v>
      </c>
      <c r="K13" s="8">
        <f>-(BS!L5-BS!K5)</f>
        <v>-6061.5439664062578</v>
      </c>
      <c r="M13" s="441" t="s">
        <v>422</v>
      </c>
    </row>
    <row r="14" spans="2:15">
      <c r="B14" s="40" t="s">
        <v>146</v>
      </c>
      <c r="C14" s="8">
        <f>-(BS!D8-BS!C8)</f>
        <v>2698</v>
      </c>
      <c r="D14" s="8">
        <f>-(BS!E8-BS!D8)</f>
        <v>-13839</v>
      </c>
      <c r="E14" s="8">
        <f>-(BS!F8-BS!E8)</f>
        <v>-10114</v>
      </c>
      <c r="G14" s="8">
        <f>-(BS!H8-BS!F8)</f>
        <v>18472.869999999995</v>
      </c>
      <c r="H14" s="8">
        <f>-(BS!I8-BS!H8)</f>
        <v>-3770.0565000000061</v>
      </c>
      <c r="I14" s="8">
        <f>-(BS!J8-BS!I8)</f>
        <v>-3958.5593249999947</v>
      </c>
      <c r="J14" s="8">
        <f>-(BS!K8-BS!J8)</f>
        <v>-4156.4872912499995</v>
      </c>
      <c r="K14" s="8">
        <f>-(BS!L8-BS!K8)</f>
        <v>-4364.3116558125039</v>
      </c>
      <c r="M14" s="441" t="s">
        <v>421</v>
      </c>
    </row>
    <row r="15" spans="2:15">
      <c r="B15" s="40" t="s">
        <v>404</v>
      </c>
      <c r="C15" s="8">
        <f>BS!D18-BS!C18</f>
        <v>8626</v>
      </c>
      <c r="D15" s="8">
        <f>BS!E18-BS!D18</f>
        <v>3107</v>
      </c>
      <c r="E15" s="8">
        <f>BS!F18-BS!E18</f>
        <v>-30571</v>
      </c>
      <c r="G15" s="8">
        <f>BS!H18-BS!F18</f>
        <v>26319.277000000002</v>
      </c>
      <c r="H15" s="8">
        <f>BS!I18-BS!H18</f>
        <v>10933.163850000012</v>
      </c>
      <c r="I15" s="8">
        <f>BS!J18-BS!I18</f>
        <v>11479.822042500018</v>
      </c>
      <c r="J15" s="8">
        <f>BS!K18-BS!J18</f>
        <v>12053.81314462499</v>
      </c>
      <c r="K15" s="8">
        <f>BS!L18-BS!K18</f>
        <v>12656.503801856306</v>
      </c>
      <c r="M15" s="441" t="s">
        <v>420</v>
      </c>
    </row>
    <row r="16" spans="2:15">
      <c r="B16" s="40" t="s">
        <v>156</v>
      </c>
      <c r="C16" s="8">
        <f>BS!D20-BS!C20</f>
        <v>-8054</v>
      </c>
      <c r="D16" s="8">
        <f>BS!E20-BS!D20</f>
        <v>8566</v>
      </c>
      <c r="E16" s="8">
        <f>BS!F20-BS!E20</f>
        <v>-7979</v>
      </c>
      <c r="G16" s="8">
        <f>BS!H20-BS!F20</f>
        <v>8809.6046999999962</v>
      </c>
      <c r="H16" s="8">
        <f>BS!I20-BS!H20</f>
        <v>12026.480234999995</v>
      </c>
      <c r="I16" s="8">
        <f>BS!J20-BS!I20</f>
        <v>12627.80424675002</v>
      </c>
      <c r="J16" s="8">
        <f>BS!K20-BS!J20</f>
        <v>13259.194459087506</v>
      </c>
      <c r="K16" s="8">
        <f>BS!L20-BS!K20</f>
        <v>13922.154182041879</v>
      </c>
      <c r="M16" s="441" t="s">
        <v>419</v>
      </c>
    </row>
    <row r="17" spans="2:13">
      <c r="B17" s="40" t="s">
        <v>129</v>
      </c>
      <c r="C17" s="8">
        <f>BS!D19-BS!C19</f>
        <v>7281</v>
      </c>
      <c r="D17" s="8">
        <f>BS!E19-BS!D19</f>
        <v>-4194</v>
      </c>
      <c r="E17" s="8">
        <f>BS!F19-BS!E19</f>
        <v>14994</v>
      </c>
      <c r="G17" s="8">
        <f>BS!H19-BS!F19</f>
        <v>-18701.033800000005</v>
      </c>
      <c r="H17" s="8">
        <f>BS!I19-BS!H19</f>
        <v>6559.8983099999896</v>
      </c>
      <c r="I17" s="8">
        <f>BS!J19-BS!I19</f>
        <v>6887.89322550004</v>
      </c>
      <c r="J17" s="8">
        <f>BS!K19-BS!J19</f>
        <v>7232.2878867749823</v>
      </c>
      <c r="K17" s="8">
        <f>BS!L19-BS!K19</f>
        <v>7593.9022811137547</v>
      </c>
      <c r="M17" s="441" t="s">
        <v>418</v>
      </c>
    </row>
    <row r="18" spans="2:13">
      <c r="B18" s="40" t="s">
        <v>33</v>
      </c>
      <c r="C18" s="8">
        <f>BS!D17-BS!C17</f>
        <v>12552</v>
      </c>
      <c r="D18" s="8">
        <f>BS!E17-BS!D17</f>
        <v>-3486</v>
      </c>
      <c r="E18" s="8">
        <f>BS!F17-BS!E17</f>
        <v>5492</v>
      </c>
      <c r="G18" s="8">
        <f>BS!H17-BS!F17</f>
        <v>-1830.2209166666726</v>
      </c>
      <c r="H18" s="8">
        <f>BS!I17-BS!H17</f>
        <v>3340.6889541666606</v>
      </c>
      <c r="I18" s="8">
        <f>BS!J17-BS!I17</f>
        <v>3507.7234018750314</v>
      </c>
      <c r="J18" s="8">
        <f>BS!K17-BS!J17</f>
        <v>3683.1095719687291</v>
      </c>
      <c r="K18" s="8">
        <f>BS!L17-BS!K17</f>
        <v>3867.2650505671918</v>
      </c>
      <c r="M18" s="441" t="s">
        <v>417</v>
      </c>
    </row>
    <row r="19" spans="2:13">
      <c r="B19" s="41" t="s">
        <v>41</v>
      </c>
      <c r="C19" s="192">
        <f t="shared" ref="C19:D19" si="6">SUM(C12:C18)</f>
        <v>5376</v>
      </c>
      <c r="D19" s="192">
        <f t="shared" si="6"/>
        <v>-9524</v>
      </c>
      <c r="E19" s="192">
        <f>SUM(E12:E18)</f>
        <v>-10837</v>
      </c>
      <c r="F19" s="42"/>
      <c r="G19" s="192">
        <f>SUM(G12:G18)</f>
        <v>23161.865983333308</v>
      </c>
      <c r="H19" s="192">
        <f>SUM(H12:H18)</f>
        <v>21424.393299166666</v>
      </c>
      <c r="I19" s="192">
        <f>SUM(I12:I18)</f>
        <v>22495.612964125095</v>
      </c>
      <c r="J19" s="192">
        <f t="shared" ref="J19:K19" si="7">SUM(J12:J18)</f>
        <v>23620.393612331209</v>
      </c>
      <c r="K19" s="192">
        <f t="shared" si="7"/>
        <v>24801.413292947866</v>
      </c>
      <c r="L19" s="191" t="s">
        <v>431</v>
      </c>
      <c r="M19" s="441"/>
    </row>
    <row r="20" spans="2:13">
      <c r="B20" s="43" t="s">
        <v>42</v>
      </c>
      <c r="C20" s="191">
        <f>-(BS!D13-BS!C13)+BS!D24-BS!C24</f>
        <v>-27429</v>
      </c>
      <c r="D20" s="191">
        <f>-(BS!E13-BS!D13)+BS!E24-BS!D24</f>
        <v>-20086</v>
      </c>
      <c r="E20" s="191">
        <f>-(BS!F13-BS!E13)+BS!F24-BS!E24</f>
        <v>-10034</v>
      </c>
      <c r="G20" s="191">
        <f>-(BS!H13-BS!F13)+BS!H24-BS!F24</f>
        <v>-21213.042000000001</v>
      </c>
      <c r="H20" s="191">
        <f>-(BS!I13-BS!H13)+BS!I24-BS!H24</f>
        <v>-22630.261914000002</v>
      </c>
      <c r="I20" s="191">
        <f>-(BS!J13-BS!I13)+BS!J24-BS!I24</f>
        <v>-24182.772773238015</v>
      </c>
      <c r="J20" s="191">
        <f>-(BS!K13-BS!J13)+BS!K24-BS!J24</f>
        <v>-25882.009091193555</v>
      </c>
      <c r="K20" s="191">
        <f>-(BS!L13-BS!K13)+BS!L24-BS!K24</f>
        <v>-27740.409586384092</v>
      </c>
      <c r="L20" s="191" t="s">
        <v>432</v>
      </c>
      <c r="M20" s="441" t="s">
        <v>426</v>
      </c>
    </row>
    <row r="21" spans="2:13">
      <c r="B21" s="40"/>
      <c r="M21" s="441"/>
    </row>
    <row r="22" spans="2:13">
      <c r="B22" s="44" t="s">
        <v>43</v>
      </c>
      <c r="C22" s="8">
        <f>-(BS!D10-BS!C10)+'P&amp;L'!D14</f>
        <v>-96685</v>
      </c>
      <c r="D22" s="8">
        <f>-(BS!E10-BS!D10)+'P&amp;L'!E14</f>
        <v>-138178</v>
      </c>
      <c r="E22" s="8">
        <f>-(BS!F10-BS!E10)+'P&amp;L'!F14</f>
        <v>-69067</v>
      </c>
      <c r="G22" s="8">
        <f>-(BS!H10-BS!F10)+'P&amp;L'!H14</f>
        <v>-169652.54249999998</v>
      </c>
      <c r="H22" s="8">
        <f>-(BS!I10-BS!H10)+'P&amp;L'!I14</f>
        <v>-178135.16962499998</v>
      </c>
      <c r="I22" s="8">
        <f>-(BS!J10-BS!I10)+'P&amp;L'!J14</f>
        <v>-187041.92810625012</v>
      </c>
      <c r="J22" s="8">
        <f>-(BS!K10-BS!J10)+'P&amp;L'!K14</f>
        <v>-196394.02451156243</v>
      </c>
      <c r="K22" s="8">
        <f>-(BS!L10-BS!K10)+'P&amp;L'!L14</f>
        <v>-206213.72573714057</v>
      </c>
      <c r="M22" s="441" t="s">
        <v>425</v>
      </c>
    </row>
    <row r="23" spans="2:13">
      <c r="B23" s="44" t="s">
        <v>405</v>
      </c>
      <c r="C23" s="8">
        <f>-(BS!D11-BS!C11)-(BS!D12-BS!C12)+BS!D23-BS!C23</f>
        <v>-12344</v>
      </c>
      <c r="D23" s="8">
        <f>-(BS!E11-BS!D11)-(BS!E12-BS!D12)+BS!E23-BS!D23</f>
        <v>-11909</v>
      </c>
      <c r="E23" s="8">
        <f>-(BS!F11-BS!E11)-(BS!F12-BS!E12)+BS!F23-BS!E23</f>
        <v>-32339</v>
      </c>
      <c r="G23" s="8">
        <f>-(BS!H11-BS!F11)-(BS!H12-BS!F12)+BS!H23-BS!F23</f>
        <v>-19706.427600000054</v>
      </c>
      <c r="H23" s="8">
        <f>-(BS!I11-BS!H11)-(BS!I12-BS!H12)+BS!I23-BS!H23</f>
        <v>-20390.483908239752</v>
      </c>
      <c r="I23" s="8">
        <f>-(BS!J11-BS!I11)-(BS!J12-BS!I12)+BS!J23-BS!I23</f>
        <v>-21093.773264662363</v>
      </c>
      <c r="J23" s="8">
        <f>-(BS!K11-BS!J11)-(BS!K12-BS!J12)+BS!K23-BS!J23</f>
        <v>-21816.799954032758</v>
      </c>
      <c r="K23" s="8">
        <f>-(BS!L11-BS!K11)-(BS!L12-BS!K12)+BS!L23-BS!K23</f>
        <v>-22560.081126283389</v>
      </c>
      <c r="L23" s="191" t="s">
        <v>430</v>
      </c>
      <c r="M23" s="441" t="s">
        <v>427</v>
      </c>
    </row>
    <row r="24" spans="2:13">
      <c r="B24" s="44" t="s">
        <v>406</v>
      </c>
      <c r="C24" s="8">
        <v>0</v>
      </c>
      <c r="D24" s="10">
        <v>0</v>
      </c>
      <c r="E24" s="10">
        <v>0</v>
      </c>
      <c r="G24" s="8">
        <v>0</v>
      </c>
      <c r="H24" s="8">
        <v>0</v>
      </c>
      <c r="I24" s="8">
        <v>0</v>
      </c>
      <c r="J24" s="8">
        <v>0</v>
      </c>
      <c r="K24" s="8">
        <v>0</v>
      </c>
      <c r="L24" s="191" t="s">
        <v>429</v>
      </c>
      <c r="M24" s="441"/>
    </row>
    <row r="25" spans="2:13">
      <c r="B25" s="40"/>
      <c r="M25" s="441"/>
    </row>
    <row r="26" spans="2:13">
      <c r="B26" s="45" t="s">
        <v>44</v>
      </c>
      <c r="C26" s="193">
        <f t="shared" ref="C26:D26" si="8">SUM(C10+C19+C20+C22+C23)</f>
        <v>12343.664751307311</v>
      </c>
      <c r="D26" s="193">
        <f t="shared" si="8"/>
        <v>23456.324234607164</v>
      </c>
      <c r="E26" s="193">
        <f>SUM(E10+E19+E20+E22+E23)</f>
        <v>16822.287261919992</v>
      </c>
      <c r="F26" s="46"/>
      <c r="G26" s="46">
        <f>SUM(G10+G19+G20+G22+G23)</f>
        <v>59483.313955333317</v>
      </c>
      <c r="H26" s="46">
        <f>SUM(H10+H19+H20+H22+H23)</f>
        <v>59720.373131077067</v>
      </c>
      <c r="I26" s="46">
        <f>SUM(I10+I19+I20+I22+I23)</f>
        <v>62826.079176809522</v>
      </c>
      <c r="J26" s="46">
        <f t="shared" ref="J26:K26" si="9">SUM(J10+J19+J20+J22+J23)</f>
        <v>66044.620259633113</v>
      </c>
      <c r="K26" s="46">
        <f t="shared" si="9"/>
        <v>69377.566528319614</v>
      </c>
      <c r="M26" s="441" t="s">
        <v>433</v>
      </c>
    </row>
    <row r="27" spans="2:13" ht="14" customHeight="1">
      <c r="B27" s="195" t="s">
        <v>407</v>
      </c>
      <c r="C27" s="8">
        <f>'P&amp;L'!D18</f>
        <v>-6043</v>
      </c>
      <c r="D27" s="8">
        <f>'P&amp;L'!E18</f>
        <v>-8552</v>
      </c>
      <c r="E27" s="8">
        <f>'P&amp;L'!F18</f>
        <v>-4109</v>
      </c>
      <c r="G27" s="8">
        <f>'P&amp;L'!H18</f>
        <v>-8218</v>
      </c>
      <c r="H27" s="8">
        <f>'P&amp;L'!I18</f>
        <v>-8218</v>
      </c>
      <c r="I27" s="8">
        <f>'P&amp;L'!J18</f>
        <v>-8218</v>
      </c>
      <c r="J27" s="8">
        <f>'P&amp;L'!K18</f>
        <v>-8218</v>
      </c>
      <c r="K27" s="8">
        <f>'P&amp;L'!L18</f>
        <v>-8218</v>
      </c>
      <c r="M27" s="441"/>
    </row>
    <row r="28" spans="2:13" ht="14" customHeight="1">
      <c r="B28" s="195" t="s">
        <v>408</v>
      </c>
      <c r="C28" s="8">
        <f>'P&amp;L'!D22-UnleveredCF!C5</f>
        <v>-1879.6647513073076</v>
      </c>
      <c r="D28" s="8">
        <f>'P&amp;L'!E22-UnleveredCF!D5</f>
        <v>-114.32423460715495</v>
      </c>
      <c r="E28" s="8">
        <f>'P&amp;L'!F22-UnleveredCF!E5</f>
        <v>360.71273808001934</v>
      </c>
      <c r="G28" s="8">
        <f>'P&amp;L'!H22-UnleveredCF!G5</f>
        <v>986.16000000000167</v>
      </c>
      <c r="H28" s="8">
        <f>'P&amp;L'!I22-UnleveredCF!H5</f>
        <v>986.15999999999985</v>
      </c>
      <c r="I28" s="8">
        <f>'P&amp;L'!J22-UnleveredCF!I5</f>
        <v>986.15999999999985</v>
      </c>
      <c r="J28" s="8">
        <f>'P&amp;L'!K22-UnleveredCF!J5</f>
        <v>986.15999999999985</v>
      </c>
      <c r="K28" s="8">
        <f>'P&amp;L'!L22-UnleveredCF!K5</f>
        <v>986.15999999999985</v>
      </c>
      <c r="M28" s="441"/>
    </row>
    <row r="29" spans="2:13" ht="14" customHeight="1">
      <c r="B29" s="195" t="s">
        <v>415</v>
      </c>
      <c r="C29" s="8">
        <f>BS!D22-BS!C22</f>
        <v>2015</v>
      </c>
      <c r="D29" s="8">
        <f>BS!E22-BS!D22</f>
        <v>2015</v>
      </c>
      <c r="E29" s="8">
        <f>BS!F22-BS!E22</f>
        <v>1007</v>
      </c>
      <c r="G29" s="8">
        <f>BS!H22-BS!F22</f>
        <v>0</v>
      </c>
      <c r="H29" s="8">
        <f>BS!I22-BS!H22</f>
        <v>0</v>
      </c>
      <c r="I29" s="8">
        <f>BS!J22-BS!I22</f>
        <v>0</v>
      </c>
      <c r="J29" s="8">
        <f>BS!K22-BS!J22</f>
        <v>0</v>
      </c>
      <c r="K29" s="8">
        <f>BS!L22-BS!K22</f>
        <v>0</v>
      </c>
      <c r="M29" s="441"/>
    </row>
    <row r="30" spans="2:13" ht="14" customHeight="1">
      <c r="B30" s="195" t="s">
        <v>409</v>
      </c>
      <c r="C30" s="8">
        <f>BS!D27-BS!C27-'P&amp;L'!D25</f>
        <v>-81286</v>
      </c>
      <c r="D30" s="8">
        <f>BS!E27-BS!D27-'P&amp;L'!E25</f>
        <v>-75292</v>
      </c>
      <c r="E30" s="8">
        <f>BS!F27-BS!E27-'P&amp;L'!F25</f>
        <v>-29717</v>
      </c>
      <c r="G30" s="8">
        <f>BS!H27-BS!F27-'P&amp;L'!H25</f>
        <v>-23275.904125674322</v>
      </c>
      <c r="H30" s="8">
        <f>BS!I27-BS!H27-'P&amp;L'!I25</f>
        <v>-28861.998642738821</v>
      </c>
      <c r="I30" s="8">
        <f>BS!J27-BS!I27-'P&amp;L'!J25</f>
        <v>-34635.888149510472</v>
      </c>
      <c r="J30" s="8">
        <f>BS!K27-BS!J27-'P&amp;L'!K25</f>
        <v>-40800.365882622893</v>
      </c>
      <c r="K30" s="8">
        <f>BS!L27-BS!K27-'P&amp;L'!L25</f>
        <v>-47372.605554807727</v>
      </c>
      <c r="M30" s="441" t="s">
        <v>412</v>
      </c>
    </row>
    <row r="31" spans="2:13" ht="14" customHeight="1">
      <c r="B31" s="194" t="s">
        <v>410</v>
      </c>
      <c r="C31" s="193">
        <f t="shared" ref="C31:D31" si="10">SUM(C26:C30)</f>
        <v>-74850</v>
      </c>
      <c r="D31" s="193">
        <f t="shared" si="10"/>
        <v>-58486.999999999993</v>
      </c>
      <c r="E31" s="193">
        <f>SUM(E26:E30)</f>
        <v>-15635.999999999989</v>
      </c>
      <c r="F31" s="46"/>
      <c r="G31" s="46">
        <f>SUM(G26:G30)</f>
        <v>28975.569829658998</v>
      </c>
      <c r="H31" s="46">
        <f>SUM(H26:H30)</f>
        <v>23626.53448833825</v>
      </c>
      <c r="I31" s="46">
        <f>SUM(I26:I30)</f>
        <v>20958.351027299053</v>
      </c>
      <c r="J31" s="46">
        <f t="shared" ref="J31:K31" si="11">SUM(J26:J30)</f>
        <v>18012.414377010224</v>
      </c>
      <c r="K31" s="46">
        <f t="shared" si="11"/>
        <v>14773.12097351189</v>
      </c>
      <c r="M31" s="441"/>
    </row>
    <row r="32" spans="2:13">
      <c r="M32" s="441"/>
    </row>
    <row r="33" spans="2:13">
      <c r="B33" s="8" t="s">
        <v>413</v>
      </c>
      <c r="C33" s="8">
        <f>BS!C4</f>
        <v>189627</v>
      </c>
      <c r="D33" s="8">
        <f>BS!D4</f>
        <v>114777</v>
      </c>
      <c r="E33" s="8">
        <f>BS!E4</f>
        <v>56290</v>
      </c>
      <c r="G33" s="8">
        <f>E36</f>
        <v>40654</v>
      </c>
      <c r="H33" s="8">
        <f>G34</f>
        <v>69629.569829658998</v>
      </c>
      <c r="I33" s="8">
        <f t="shared" ref="I33:K33" si="12">H34</f>
        <v>93256.104317997248</v>
      </c>
      <c r="J33" s="8">
        <f t="shared" si="12"/>
        <v>114214.4553452963</v>
      </c>
      <c r="K33" s="8">
        <f t="shared" si="12"/>
        <v>132226.86972230652</v>
      </c>
      <c r="M33" s="441" t="s">
        <v>435</v>
      </c>
    </row>
    <row r="34" spans="2:13">
      <c r="B34" s="8" t="s">
        <v>434</v>
      </c>
      <c r="C34" s="8">
        <f>C31+C33</f>
        <v>114777</v>
      </c>
      <c r="D34" s="8">
        <f t="shared" ref="D34:E34" si="13">D31+D33</f>
        <v>56290.000000000007</v>
      </c>
      <c r="E34" s="8">
        <f t="shared" si="13"/>
        <v>40654.000000000015</v>
      </c>
      <c r="G34" s="8">
        <f>G31+G33</f>
        <v>69629.569829658998</v>
      </c>
      <c r="H34" s="8">
        <f>H33+H31</f>
        <v>93256.104317997248</v>
      </c>
      <c r="I34" s="8">
        <f t="shared" ref="I34:K34" si="14">I33+I31</f>
        <v>114214.4553452963</v>
      </c>
      <c r="J34" s="8">
        <f t="shared" si="14"/>
        <v>132226.86972230652</v>
      </c>
      <c r="K34" s="8">
        <f t="shared" si="14"/>
        <v>146999.99069581841</v>
      </c>
      <c r="M34" s="441"/>
    </row>
    <row r="35" spans="2:13">
      <c r="M35" s="441"/>
    </row>
    <row r="36" spans="2:13">
      <c r="B36" s="8" t="s">
        <v>414</v>
      </c>
      <c r="C36" s="4">
        <f>BS!D4</f>
        <v>114777</v>
      </c>
      <c r="D36" s="4">
        <f>BS!E4</f>
        <v>56290</v>
      </c>
      <c r="E36" s="4">
        <f>BS!F4</f>
        <v>40654</v>
      </c>
      <c r="F36" s="4">
        <f>BS!G4</f>
        <v>0</v>
      </c>
      <c r="G36" s="4">
        <f>BS!H4</f>
        <v>69629.569829658998</v>
      </c>
      <c r="H36" s="4">
        <f>BS!I4</f>
        <v>93256.104317997248</v>
      </c>
      <c r="I36" s="4">
        <f>BS!J4</f>
        <v>114214.4553452963</v>
      </c>
      <c r="J36" s="4">
        <f>BS!K4</f>
        <v>132226.86972230652</v>
      </c>
      <c r="K36" s="4">
        <f>BS!L4</f>
        <v>146999.99069581841</v>
      </c>
      <c r="M36" s="441" t="s">
        <v>435</v>
      </c>
    </row>
    <row r="37" spans="2:13">
      <c r="B37" s="198" t="s">
        <v>150</v>
      </c>
      <c r="C37" s="197">
        <f>C34-C36</f>
        <v>0</v>
      </c>
      <c r="D37" s="197">
        <f t="shared" ref="D37:E37" si="15">D34-D36</f>
        <v>0</v>
      </c>
      <c r="E37" s="197">
        <f t="shared" si="15"/>
        <v>0</v>
      </c>
      <c r="G37" s="8">
        <f>G34-G36</f>
        <v>0</v>
      </c>
      <c r="H37" s="8">
        <f t="shared" ref="H37:K37" si="16">H34-H36</f>
        <v>0</v>
      </c>
      <c r="I37" s="8">
        <f t="shared" si="16"/>
        <v>0</v>
      </c>
      <c r="J37" s="8">
        <f t="shared" si="16"/>
        <v>0</v>
      </c>
      <c r="K37" s="8">
        <f t="shared" si="16"/>
        <v>0</v>
      </c>
      <c r="M37" s="441"/>
    </row>
    <row r="38" spans="2:13">
      <c r="M38" s="4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7415-1169-4785-A7F6-3440824CBE26}">
  <sheetPr codeName="Sheet16">
    <tabColor rgb="FF92D050"/>
  </sheetPr>
  <dimension ref="A1:E28"/>
  <sheetViews>
    <sheetView workbookViewId="0">
      <selection sqref="A1:A2"/>
    </sheetView>
  </sheetViews>
  <sheetFormatPr defaultRowHeight="14.5"/>
  <cols>
    <col min="1" max="1" width="80" customWidth="1"/>
    <col min="2" max="3" width="14" customWidth="1"/>
    <col min="4" max="4" width="16" customWidth="1"/>
    <col min="5" max="5" width="12.54296875" bestFit="1" customWidth="1"/>
  </cols>
  <sheetData>
    <row r="1" spans="1:5" ht="14.5" customHeight="1">
      <c r="A1" s="458" t="s">
        <v>79</v>
      </c>
      <c r="B1" s="55">
        <v>2021</v>
      </c>
      <c r="C1" s="55">
        <v>2022</v>
      </c>
      <c r="D1" s="55">
        <v>2023</v>
      </c>
      <c r="E1" s="55">
        <v>2024</v>
      </c>
    </row>
    <row r="2" spans="1:5">
      <c r="A2" s="459"/>
      <c r="B2" s="48" t="s">
        <v>69</v>
      </c>
      <c r="C2" s="48" t="s">
        <v>70</v>
      </c>
      <c r="D2" s="48" t="s">
        <v>71</v>
      </c>
      <c r="E2" t="s">
        <v>51</v>
      </c>
    </row>
    <row r="3" spans="1:5">
      <c r="A3" s="49" t="s">
        <v>78</v>
      </c>
      <c r="B3" s="50" t="s">
        <v>52</v>
      </c>
      <c r="C3" s="50" t="s">
        <v>52</v>
      </c>
      <c r="D3" s="50" t="s">
        <v>52</v>
      </c>
    </row>
    <row r="4" spans="1:5">
      <c r="A4" s="50" t="s">
        <v>25</v>
      </c>
      <c r="B4" s="51">
        <v>2927540</v>
      </c>
      <c r="C4" s="51">
        <v>3303156</v>
      </c>
      <c r="D4" s="51">
        <v>3439503</v>
      </c>
      <c r="E4" s="54">
        <v>1795265</v>
      </c>
    </row>
    <row r="5" spans="1:5">
      <c r="A5" s="49" t="s">
        <v>53</v>
      </c>
      <c r="B5" s="50" t="s">
        <v>52</v>
      </c>
      <c r="C5" s="50" t="s">
        <v>52</v>
      </c>
      <c r="D5" s="50" t="s">
        <v>52</v>
      </c>
      <c r="E5" s="54" t="s">
        <v>52</v>
      </c>
    </row>
    <row r="6" spans="1:5">
      <c r="A6" s="50" t="s">
        <v>54</v>
      </c>
      <c r="B6" s="52">
        <v>653133</v>
      </c>
      <c r="C6" s="52">
        <v>810926</v>
      </c>
      <c r="D6" s="52">
        <v>803500</v>
      </c>
      <c r="E6" s="54">
        <v>404947</v>
      </c>
    </row>
    <row r="7" spans="1:5">
      <c r="A7" s="50" t="s">
        <v>55</v>
      </c>
      <c r="B7" s="52">
        <v>1072628</v>
      </c>
      <c r="C7" s="52">
        <v>1211951</v>
      </c>
      <c r="D7" s="52">
        <v>1227895</v>
      </c>
      <c r="E7" s="54">
        <v>638212</v>
      </c>
    </row>
    <row r="8" spans="1:5">
      <c r="A8" s="50" t="s">
        <v>56</v>
      </c>
      <c r="B8" s="52">
        <v>792311</v>
      </c>
      <c r="C8" s="52">
        <v>881627</v>
      </c>
      <c r="D8" s="52">
        <v>922428</v>
      </c>
      <c r="E8" s="54">
        <v>472638</v>
      </c>
    </row>
    <row r="9" spans="1:5">
      <c r="A9" s="50" t="s">
        <v>57</v>
      </c>
      <c r="B9" s="52">
        <v>186136</v>
      </c>
      <c r="C9" s="52">
        <v>205753</v>
      </c>
      <c r="D9" s="52">
        <v>217449</v>
      </c>
      <c r="E9" s="54">
        <v>114750</v>
      </c>
    </row>
    <row r="10" spans="1:5">
      <c r="A10" s="50" t="s">
        <v>58</v>
      </c>
      <c r="B10" s="52">
        <v>89654</v>
      </c>
      <c r="C10" s="52">
        <v>92380</v>
      </c>
      <c r="D10" s="52">
        <v>93136</v>
      </c>
      <c r="E10" s="54">
        <v>49716</v>
      </c>
    </row>
    <row r="11" spans="1:5">
      <c r="A11" s="50" t="s">
        <v>77</v>
      </c>
      <c r="B11" s="52">
        <v>18139</v>
      </c>
      <c r="C11" s="52">
        <v>31387</v>
      </c>
      <c r="D11" s="52">
        <v>29464</v>
      </c>
      <c r="E11" s="54">
        <v>1895</v>
      </c>
    </row>
    <row r="12" spans="1:5">
      <c r="A12" s="50" t="s">
        <v>59</v>
      </c>
      <c r="B12" s="52">
        <v>19510</v>
      </c>
      <c r="C12" s="52">
        <v>13368</v>
      </c>
      <c r="D12" s="52">
        <v>11686</v>
      </c>
      <c r="E12" s="54">
        <v>2267</v>
      </c>
    </row>
    <row r="13" spans="1:5">
      <c r="A13" s="50" t="s">
        <v>60</v>
      </c>
      <c r="B13" s="52">
        <v>13711</v>
      </c>
      <c r="C13" s="52">
        <v>16829</v>
      </c>
      <c r="D13" s="52">
        <v>25379</v>
      </c>
      <c r="E13" s="54">
        <v>12855</v>
      </c>
    </row>
    <row r="14" spans="1:5">
      <c r="A14" s="50" t="s">
        <v>61</v>
      </c>
      <c r="B14" s="52">
        <v>2845222</v>
      </c>
      <c r="C14" s="52">
        <v>3264221</v>
      </c>
      <c r="D14" s="52">
        <v>3330937</v>
      </c>
      <c r="E14" s="54">
        <v>1697280</v>
      </c>
    </row>
    <row r="15" spans="1:5">
      <c r="A15" s="50" t="s">
        <v>62</v>
      </c>
      <c r="B15" s="52">
        <v>82318</v>
      </c>
      <c r="C15" s="52">
        <v>38935</v>
      </c>
      <c r="D15" s="52">
        <v>108566</v>
      </c>
      <c r="E15" s="54">
        <v>97985</v>
      </c>
    </row>
    <row r="16" spans="1:5">
      <c r="A16" s="50" t="s">
        <v>63</v>
      </c>
      <c r="B16" s="52">
        <v>-10698</v>
      </c>
      <c r="C16" s="52">
        <v>-6043</v>
      </c>
      <c r="D16" s="52">
        <v>-8552</v>
      </c>
      <c r="E16" s="54">
        <v>-4109</v>
      </c>
    </row>
    <row r="17" spans="1:5">
      <c r="A17" s="50" t="s">
        <v>64</v>
      </c>
      <c r="B17" s="52">
        <v>71620</v>
      </c>
      <c r="C17" s="52">
        <v>32892</v>
      </c>
      <c r="D17" s="52">
        <v>100014</v>
      </c>
      <c r="E17" s="54">
        <v>93876</v>
      </c>
    </row>
    <row r="18" spans="1:5">
      <c r="A18" s="50" t="s">
        <v>65</v>
      </c>
      <c r="B18" s="52">
        <v>-753</v>
      </c>
      <c r="C18" s="52">
        <v>-10231</v>
      </c>
      <c r="D18" s="52">
        <v>-1337</v>
      </c>
      <c r="E18" s="54">
        <v>8241</v>
      </c>
    </row>
    <row r="19" spans="1:5">
      <c r="A19" s="50" t="s">
        <v>66</v>
      </c>
      <c r="B19" s="52">
        <v>72373</v>
      </c>
      <c r="C19" s="52">
        <v>43123</v>
      </c>
      <c r="D19" s="52">
        <v>101351</v>
      </c>
      <c r="E19" s="54">
        <v>85635</v>
      </c>
    </row>
    <row r="20" spans="1:5">
      <c r="A20" s="50" t="s">
        <v>76</v>
      </c>
      <c r="B20" s="52">
        <v>-18661</v>
      </c>
      <c r="C20" s="50">
        <v>0</v>
      </c>
      <c r="D20" s="50">
        <v>0</v>
      </c>
      <c r="E20" s="50">
        <v>0</v>
      </c>
    </row>
    <row r="21" spans="1:5">
      <c r="A21" s="50" t="s">
        <v>75</v>
      </c>
      <c r="B21" s="52">
        <v>-4581</v>
      </c>
      <c r="C21" s="50">
        <v>0</v>
      </c>
      <c r="D21" s="50">
        <v>0</v>
      </c>
      <c r="E21" s="50">
        <v>0</v>
      </c>
    </row>
    <row r="22" spans="1:5">
      <c r="A22" s="50" t="s">
        <v>74</v>
      </c>
      <c r="B22" s="51">
        <v>49131</v>
      </c>
      <c r="C22" s="51">
        <v>43123</v>
      </c>
      <c r="D22" s="51">
        <v>101351</v>
      </c>
      <c r="E22" s="54">
        <v>85635</v>
      </c>
    </row>
    <row r="23" spans="1:5">
      <c r="A23" s="49" t="s">
        <v>73</v>
      </c>
      <c r="B23" s="50" t="s">
        <v>52</v>
      </c>
      <c r="C23" s="50" t="s">
        <v>52</v>
      </c>
      <c r="D23" s="50" t="s">
        <v>52</v>
      </c>
      <c r="E23" s="54" t="s">
        <v>52</v>
      </c>
    </row>
    <row r="24" spans="1:5">
      <c r="A24" s="50" t="s">
        <v>67</v>
      </c>
      <c r="B24" s="53">
        <v>1.03</v>
      </c>
      <c r="C24" s="53">
        <v>0.87</v>
      </c>
      <c r="D24" s="53">
        <v>2.1</v>
      </c>
      <c r="E24" s="56">
        <v>1.79</v>
      </c>
    </row>
    <row r="25" spans="1:5">
      <c r="A25" s="50" t="s">
        <v>68</v>
      </c>
      <c r="B25" s="53">
        <v>1.01</v>
      </c>
      <c r="C25" s="53">
        <v>0.86</v>
      </c>
      <c r="D25" s="53">
        <v>2.0699999999999998</v>
      </c>
      <c r="E25" s="56">
        <v>1.76</v>
      </c>
    </row>
    <row r="26" spans="1:5">
      <c r="A26" s="49" t="s">
        <v>72</v>
      </c>
      <c r="B26" s="50" t="s">
        <v>52</v>
      </c>
      <c r="C26" s="50" t="s">
        <v>52</v>
      </c>
      <c r="D26" s="50" t="s">
        <v>52</v>
      </c>
      <c r="E26" s="54" t="s">
        <v>52</v>
      </c>
    </row>
    <row r="27" spans="1:5">
      <c r="A27" s="50" t="s">
        <v>67</v>
      </c>
      <c r="B27" s="52">
        <v>47529</v>
      </c>
      <c r="C27" s="52">
        <v>49815</v>
      </c>
      <c r="D27" s="52">
        <v>48324</v>
      </c>
      <c r="E27" s="54">
        <v>47726</v>
      </c>
    </row>
    <row r="28" spans="1:5">
      <c r="A28" s="50" t="s">
        <v>68</v>
      </c>
      <c r="B28" s="52">
        <v>48510</v>
      </c>
      <c r="C28" s="52">
        <v>50414</v>
      </c>
      <c r="D28" s="52">
        <v>49050</v>
      </c>
      <c r="E28" s="54">
        <v>48685</v>
      </c>
    </row>
  </sheetData>
  <mergeCells count="1">
    <mergeCell ref="A1:A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8">
    <tabColor theme="9" tint="-0.249977111117893"/>
  </sheetPr>
  <dimension ref="B1:M33"/>
  <sheetViews>
    <sheetView zoomScale="80" zoomScaleNormal="80" workbookViewId="0"/>
  </sheetViews>
  <sheetFormatPr defaultColWidth="9.08984375" defaultRowHeight="11.5"/>
  <cols>
    <col min="1" max="1" width="2" style="4" customWidth="1"/>
    <col min="2" max="2" width="27.6328125" style="4" customWidth="1"/>
    <col min="3" max="3" width="14" style="4" bestFit="1" customWidth="1"/>
    <col min="4" max="4" width="9.08984375" style="4"/>
    <col min="5" max="5" width="9.90625" style="4" customWidth="1"/>
    <col min="6" max="6" width="2" style="4" customWidth="1"/>
    <col min="7" max="7" width="11.453125" style="4" bestFit="1" customWidth="1"/>
    <col min="8" max="8" width="11.6328125" style="4" bestFit="1" customWidth="1"/>
    <col min="9" max="9" width="12.81640625" style="4" bestFit="1" customWidth="1"/>
    <col min="10" max="10" width="11.6328125" style="4" bestFit="1" customWidth="1"/>
    <col min="11" max="11" width="11.26953125" style="4" customWidth="1"/>
    <col min="12" max="12" width="2" style="4" customWidth="1"/>
    <col min="13" max="16384" width="9.08984375" style="4"/>
  </cols>
  <sheetData>
    <row r="1" spans="2:13" ht="15.5">
      <c r="B1" s="3" t="s">
        <v>2</v>
      </c>
    </row>
    <row r="2" spans="2:13">
      <c r="E2" s="4" t="s">
        <v>482</v>
      </c>
    </row>
    <row r="3" spans="2:13" ht="14.5">
      <c r="B3" s="4" t="s">
        <v>354</v>
      </c>
      <c r="C3" s="66">
        <f>COVER!B9</f>
        <v>1.48</v>
      </c>
      <c r="E3" s="4" t="s">
        <v>445</v>
      </c>
      <c r="G3" s="200">
        <f>C4+(C3*C5)</f>
        <v>9.9302000000000001E-2</v>
      </c>
      <c r="I3" s="112"/>
      <c r="J3" s="20"/>
    </row>
    <row r="4" spans="2:13" ht="14.5">
      <c r="B4" s="4" t="s">
        <v>444</v>
      </c>
      <c r="C4" s="200">
        <f>COVER!B7</f>
        <v>4.5429999999999998E-2</v>
      </c>
      <c r="D4" s="70"/>
      <c r="E4" s="4" t="s">
        <v>446</v>
      </c>
      <c r="G4" s="200">
        <v>1.5699999999999999E-2</v>
      </c>
      <c r="I4" s="112"/>
      <c r="J4" s="20"/>
      <c r="M4" s="436"/>
    </row>
    <row r="5" spans="2:13" ht="14.5">
      <c r="B5" s="4" t="s">
        <v>353</v>
      </c>
      <c r="C5" s="200">
        <f>3.64%</f>
        <v>3.6400000000000002E-2</v>
      </c>
      <c r="E5" s="4" t="s">
        <v>436</v>
      </c>
      <c r="G5" s="200">
        <f>6%</f>
        <v>0.06</v>
      </c>
      <c r="I5" s="112"/>
    </row>
    <row r="6" spans="2:13" ht="14.5">
      <c r="C6" s="201"/>
      <c r="G6" s="201"/>
      <c r="I6" s="112"/>
      <c r="J6" s="155"/>
    </row>
    <row r="7" spans="2:13" ht="14.5">
      <c r="B7" s="4" t="s">
        <v>437</v>
      </c>
      <c r="C7" s="29">
        <f>C25</f>
        <v>2381963.1174723068</v>
      </c>
      <c r="E7" s="4" t="s">
        <v>443</v>
      </c>
      <c r="G7" s="200">
        <v>0.03</v>
      </c>
      <c r="I7" s="112"/>
    </row>
    <row r="8" spans="2:13" ht="14" customHeight="1">
      <c r="B8" s="4" t="s">
        <v>438</v>
      </c>
      <c r="C8" s="201">
        <f>C26</f>
        <v>1779941.4069966928</v>
      </c>
      <c r="I8" s="112"/>
    </row>
    <row r="9" spans="2:13" ht="14" customHeight="1">
      <c r="C9" s="201"/>
      <c r="G9" s="70"/>
    </row>
    <row r="10" spans="2:13" ht="14" customHeight="1">
      <c r="B10" s="4" t="s">
        <v>439</v>
      </c>
      <c r="C10" s="29">
        <f>C27</f>
        <v>2046115.1267544248</v>
      </c>
    </row>
    <row r="11" spans="2:13" ht="14" customHeight="1">
      <c r="B11" s="207" t="s">
        <v>440</v>
      </c>
      <c r="C11" s="201"/>
    </row>
    <row r="12" spans="2:13" ht="14" customHeight="1">
      <c r="B12" s="207" t="s">
        <v>441</v>
      </c>
      <c r="C12" s="201"/>
    </row>
    <row r="13" spans="2:13" ht="14" customHeight="1">
      <c r="B13" s="65" t="s">
        <v>442</v>
      </c>
      <c r="C13" s="29">
        <f>C31</f>
        <v>2557823.1267544245</v>
      </c>
    </row>
    <row r="15" spans="2:13">
      <c r="B15" s="67"/>
    </row>
    <row r="16" spans="2:13" ht="12">
      <c r="E16" s="196" t="s">
        <v>96</v>
      </c>
      <c r="G16" s="4">
        <v>1</v>
      </c>
      <c r="H16" s="4">
        <v>2</v>
      </c>
      <c r="I16" s="4">
        <v>3</v>
      </c>
      <c r="J16" s="4">
        <v>4</v>
      </c>
      <c r="K16" s="4">
        <v>5</v>
      </c>
    </row>
    <row r="17" spans="2:13" ht="23.5" thickBot="1">
      <c r="B17" s="13" t="s">
        <v>19</v>
      </c>
      <c r="C17" s="14" t="s">
        <v>93</v>
      </c>
      <c r="D17" s="14" t="s">
        <v>94</v>
      </c>
      <c r="E17" s="14" t="s">
        <v>95</v>
      </c>
      <c r="F17" s="17"/>
      <c r="G17" s="15" t="s">
        <v>97</v>
      </c>
      <c r="H17" s="15" t="s">
        <v>98</v>
      </c>
      <c r="I17" s="15" t="s">
        <v>99</v>
      </c>
      <c r="J17" s="15" t="s">
        <v>100</v>
      </c>
      <c r="K17" s="15" t="s">
        <v>101</v>
      </c>
      <c r="M17" s="18" t="s">
        <v>21</v>
      </c>
    </row>
    <row r="18" spans="2:13">
      <c r="B18" s="4" t="s">
        <v>44</v>
      </c>
      <c r="C18" s="202">
        <f>UnleveredCF!C26</f>
        <v>12343.664751307311</v>
      </c>
      <c r="D18" s="202">
        <f>UnleveredCF!D26</f>
        <v>23456.324234607164</v>
      </c>
      <c r="E18" s="202">
        <f>UnleveredCF!E26*2</f>
        <v>33644.574523839983</v>
      </c>
      <c r="G18" s="4">
        <f>UnleveredCF!G26</f>
        <v>59483.313955333317</v>
      </c>
      <c r="H18" s="4">
        <f>UnleveredCF!H26</f>
        <v>59720.373131077067</v>
      </c>
      <c r="I18" s="4">
        <f>UnleveredCF!I26</f>
        <v>62826.079176809522</v>
      </c>
      <c r="J18" s="4">
        <f>UnleveredCF!J26</f>
        <v>66044.620259633113</v>
      </c>
      <c r="K18" s="4">
        <f>UnleveredCF!K26</f>
        <v>69377.566528319614</v>
      </c>
    </row>
    <row r="19" spans="2:13" ht="12" thickBot="1">
      <c r="B19" s="4" t="s">
        <v>447</v>
      </c>
      <c r="G19" s="203">
        <f>1/(1+$G$5)^G$16</f>
        <v>0.94339622641509424</v>
      </c>
      <c r="H19" s="203">
        <f>1/(1+$G$5)^H$16</f>
        <v>0.88999644001423983</v>
      </c>
      <c r="I19" s="203">
        <f>1/(1+$G$5)^I$16</f>
        <v>0.8396192830323016</v>
      </c>
      <c r="J19" s="203">
        <f>1/(1+$G$5)^J$16</f>
        <v>0.79209366323802044</v>
      </c>
      <c r="K19" s="203">
        <f>1/(1+$G$5)^K$16</f>
        <v>0.74725817286605689</v>
      </c>
    </row>
    <row r="20" spans="2:13">
      <c r="B20" s="206" t="s">
        <v>448</v>
      </c>
      <c r="C20" s="206"/>
      <c r="D20" s="206"/>
      <c r="E20" s="206"/>
      <c r="F20" s="206"/>
      <c r="G20" s="206">
        <f>G18*G19</f>
        <v>56116.333920125762</v>
      </c>
      <c r="H20" s="206">
        <f>H18*H19</f>
        <v>53150.919482980651</v>
      </c>
      <c r="I20" s="206">
        <f>I18*I19</f>
        <v>52749.987554163425</v>
      </c>
      <c r="J20" s="206">
        <f>J18*J19</f>
        <v>52313.525198616771</v>
      </c>
      <c r="K20" s="206">
        <f>K18*K19</f>
        <v>51842.953601845424</v>
      </c>
    </row>
    <row r="22" spans="2:13" ht="12" thickBot="1"/>
    <row r="23" spans="2:13">
      <c r="B23" s="206" t="s">
        <v>450</v>
      </c>
      <c r="C23" s="206"/>
      <c r="D23" s="206"/>
      <c r="E23" s="206"/>
      <c r="F23" s="206"/>
      <c r="G23" s="206"/>
      <c r="H23" s="206"/>
      <c r="I23" s="206"/>
      <c r="J23" s="206"/>
      <c r="K23" s="206"/>
    </row>
    <row r="24" spans="2:13">
      <c r="B24" s="4" t="s">
        <v>449</v>
      </c>
      <c r="C24" s="4">
        <f>SUM(G20:K20)</f>
        <v>266173.71975773206</v>
      </c>
    </row>
    <row r="25" spans="2:13">
      <c r="B25" s="4" t="s">
        <v>437</v>
      </c>
      <c r="C25" s="4">
        <f>($K$18*(1+$G$7))/($G$5-$G$7)</f>
        <v>2381963.1174723068</v>
      </c>
    </row>
    <row r="26" spans="2:13" ht="12" thickBot="1">
      <c r="B26" s="67" t="s">
        <v>438</v>
      </c>
      <c r="C26" s="4">
        <f>C25/(1+G5)^K16</f>
        <v>1779941.4069966928</v>
      </c>
    </row>
    <row r="27" spans="2:13">
      <c r="B27" s="206" t="s">
        <v>439</v>
      </c>
      <c r="C27" s="206">
        <f>C24+C26</f>
        <v>2046115.1267544248</v>
      </c>
      <c r="D27" s="206"/>
      <c r="E27" s="206"/>
      <c r="F27" s="206"/>
      <c r="G27" s="206"/>
      <c r="H27" s="206"/>
      <c r="I27" s="206"/>
      <c r="J27" s="206"/>
      <c r="K27" s="206"/>
    </row>
    <row r="28" spans="2:13">
      <c r="B28" s="204" t="s">
        <v>451</v>
      </c>
      <c r="C28" s="4">
        <f>BS!F22</f>
        <v>471054</v>
      </c>
    </row>
    <row r="29" spans="2:13">
      <c r="B29" s="204" t="s">
        <v>452</v>
      </c>
      <c r="C29" s="4">
        <f>BS!F4</f>
        <v>40654</v>
      </c>
    </row>
    <row r="30" spans="2:13" ht="12" thickBot="1">
      <c r="B30" s="204" t="s">
        <v>453</v>
      </c>
      <c r="C30" s="4">
        <f>0</f>
        <v>0</v>
      </c>
    </row>
    <row r="31" spans="2:13">
      <c r="B31" s="206" t="s">
        <v>442</v>
      </c>
      <c r="C31" s="206">
        <f>SUM(C27:C30)</f>
        <v>2557823.1267544245</v>
      </c>
      <c r="D31" s="206"/>
      <c r="E31" s="206"/>
      <c r="F31" s="206"/>
      <c r="G31" s="206"/>
      <c r="H31" s="206"/>
      <c r="I31" s="206"/>
      <c r="J31" s="206"/>
      <c r="K31" s="206"/>
    </row>
    <row r="32" spans="2:13">
      <c r="B32" s="4" t="s">
        <v>455</v>
      </c>
      <c r="C32" s="4">
        <f>'P&amp;L'!F31</f>
        <v>48685</v>
      </c>
    </row>
    <row r="33" spans="2:3">
      <c r="B33" s="19" t="s">
        <v>454</v>
      </c>
      <c r="C33" s="205">
        <f>C31/C32</f>
        <v>52.53821765953424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D3FF-6A7B-465D-9AE6-B977C9E7F3E6}">
  <sheetPr>
    <tabColor rgb="FF92D050"/>
  </sheetPr>
  <dimension ref="A1:V61"/>
  <sheetViews>
    <sheetView workbookViewId="0">
      <pane ySplit="2" topLeftCell="A18" activePane="bottomLeft" state="frozen"/>
      <selection pane="bottomLeft" activeCell="B1" sqref="B1:M1048576"/>
    </sheetView>
  </sheetViews>
  <sheetFormatPr defaultRowHeight="14.5"/>
  <cols>
    <col min="1" max="1" width="65.453125" customWidth="1"/>
    <col min="2" max="2" width="8.81640625" style="270" hidden="1" customWidth="1"/>
    <col min="3" max="4" width="9" style="270" hidden="1" customWidth="1"/>
    <col min="5" max="5" width="8.7265625" style="270" hidden="1" customWidth="1"/>
    <col min="6" max="8" width="8.81640625" style="270" hidden="1" customWidth="1"/>
    <col min="9" max="10" width="9" style="270" hidden="1" customWidth="1"/>
    <col min="11" max="11" width="8.81640625" style="270" hidden="1" customWidth="1"/>
    <col min="12" max="12" width="13" hidden="1" customWidth="1"/>
    <col min="13" max="13" width="8.7265625" hidden="1" customWidth="1"/>
    <col min="14" max="14" width="13" style="54" customWidth="1"/>
    <col min="15" max="15" width="10.6328125" style="270" bestFit="1" customWidth="1"/>
    <col min="16" max="16" width="10.6328125" style="319" bestFit="1" customWidth="1"/>
    <col min="17" max="17" width="8.81640625" bestFit="1" customWidth="1"/>
    <col min="18" max="18" width="8.90625" bestFit="1" customWidth="1"/>
    <col min="19" max="19" width="10.08984375" bestFit="1" customWidth="1"/>
    <col min="20" max="20" width="11.7265625" bestFit="1" customWidth="1"/>
    <col min="21" max="21" width="9.26953125" bestFit="1" customWidth="1"/>
    <col min="22" max="22" width="9.36328125" style="270" bestFit="1" customWidth="1"/>
  </cols>
  <sheetData>
    <row r="1" spans="1:22" ht="42">
      <c r="A1" s="387" t="s">
        <v>484</v>
      </c>
      <c r="B1" s="304" t="s">
        <v>482</v>
      </c>
      <c r="C1" s="304" t="s">
        <v>482</v>
      </c>
      <c r="D1" s="304" t="s">
        <v>482</v>
      </c>
      <c r="E1" s="304" t="s">
        <v>486</v>
      </c>
      <c r="F1" s="304" t="s">
        <v>486</v>
      </c>
      <c r="G1" s="304" t="s">
        <v>486</v>
      </c>
      <c r="H1" s="304" t="s">
        <v>486</v>
      </c>
      <c r="I1" s="304" t="s">
        <v>257</v>
      </c>
      <c r="J1" s="304" t="s">
        <v>257</v>
      </c>
      <c r="K1" s="304" t="s">
        <v>260</v>
      </c>
      <c r="L1" s="242" t="s">
        <v>260</v>
      </c>
      <c r="M1" s="242" t="s">
        <v>260</v>
      </c>
      <c r="N1" s="462" t="s">
        <v>260</v>
      </c>
      <c r="O1" s="304" t="s">
        <v>262</v>
      </c>
      <c r="P1" s="393" t="s">
        <v>262</v>
      </c>
      <c r="Q1" s="242" t="s">
        <v>264</v>
      </c>
      <c r="R1" s="460" t="s">
        <v>264</v>
      </c>
      <c r="S1" s="460" t="s">
        <v>265</v>
      </c>
      <c r="T1" s="460" t="s">
        <v>266</v>
      </c>
      <c r="U1" s="460" t="s">
        <v>485</v>
      </c>
      <c r="V1" s="304" t="s">
        <v>267</v>
      </c>
    </row>
    <row r="2" spans="1:22" ht="73.5">
      <c r="A2" s="388" t="s">
        <v>458</v>
      </c>
      <c r="B2" s="267" t="s">
        <v>265</v>
      </c>
      <c r="C2" s="267" t="s">
        <v>266</v>
      </c>
      <c r="D2" s="267" t="s">
        <v>485</v>
      </c>
      <c r="E2" s="267" t="s">
        <v>265</v>
      </c>
      <c r="F2" s="267" t="s">
        <v>266</v>
      </c>
      <c r="G2" s="267" t="s">
        <v>485</v>
      </c>
      <c r="H2" s="267"/>
      <c r="I2" s="267" t="s">
        <v>266</v>
      </c>
      <c r="J2" s="267"/>
      <c r="K2" s="267" t="s">
        <v>265</v>
      </c>
      <c r="L2" s="290" t="s">
        <v>266</v>
      </c>
      <c r="M2" s="290" t="s">
        <v>485</v>
      </c>
      <c r="N2" s="463"/>
      <c r="O2" s="267" t="s">
        <v>266</v>
      </c>
      <c r="P2" s="394"/>
      <c r="Q2" s="290" t="s">
        <v>266</v>
      </c>
      <c r="R2" s="461"/>
      <c r="S2" s="461"/>
      <c r="T2" s="461"/>
      <c r="U2" s="461"/>
      <c r="V2" s="267"/>
    </row>
    <row r="3" spans="1:22" ht="42">
      <c r="A3" s="355"/>
      <c r="B3" s="267" t="s">
        <v>485</v>
      </c>
      <c r="C3" s="267" t="s">
        <v>485</v>
      </c>
      <c r="D3" s="267"/>
      <c r="E3" s="267"/>
      <c r="F3" s="267"/>
      <c r="G3" s="267"/>
      <c r="H3" s="267"/>
      <c r="I3" s="267"/>
      <c r="J3" s="267"/>
      <c r="K3" s="267"/>
      <c r="L3" s="289"/>
      <c r="M3" s="289"/>
      <c r="N3" s="463"/>
      <c r="O3" s="267"/>
      <c r="P3" s="394"/>
      <c r="Q3" s="289"/>
      <c r="R3" s="461"/>
      <c r="S3" s="461"/>
      <c r="T3" s="461"/>
      <c r="U3" s="461"/>
      <c r="V3" s="267"/>
    </row>
    <row r="4" spans="1:22">
      <c r="A4" t="s">
        <v>270</v>
      </c>
      <c r="B4" s="312"/>
      <c r="C4" s="312"/>
      <c r="D4" s="312"/>
      <c r="E4" s="312"/>
      <c r="F4" s="312"/>
      <c r="G4" s="312"/>
      <c r="H4" s="312"/>
      <c r="I4" s="312"/>
      <c r="J4" s="312"/>
      <c r="K4" s="312"/>
      <c r="L4" s="360"/>
      <c r="M4" s="360"/>
      <c r="N4" s="360"/>
      <c r="O4" s="312"/>
      <c r="P4" s="312"/>
      <c r="Q4" s="360"/>
      <c r="R4" s="360"/>
      <c r="S4" s="360"/>
      <c r="T4" s="360"/>
      <c r="U4" s="360"/>
      <c r="V4" s="312"/>
    </row>
    <row r="5" spans="1:22">
      <c r="A5" t="s">
        <v>487</v>
      </c>
      <c r="B5" s="314"/>
      <c r="C5" s="314"/>
      <c r="D5" s="314">
        <v>0</v>
      </c>
      <c r="E5" s="314"/>
      <c r="F5" s="314"/>
      <c r="G5" s="314"/>
      <c r="H5" s="314">
        <v>977</v>
      </c>
      <c r="I5" s="314"/>
      <c r="J5" s="314">
        <v>855989</v>
      </c>
      <c r="K5" s="314"/>
      <c r="L5" s="361"/>
      <c r="M5" s="361"/>
      <c r="N5" s="362">
        <v>1408333</v>
      </c>
      <c r="O5" s="314"/>
      <c r="P5" s="314">
        <v>-1693122</v>
      </c>
      <c r="Q5" s="361"/>
      <c r="R5" s="363">
        <v>-435</v>
      </c>
      <c r="S5" s="361"/>
      <c r="T5" s="361"/>
      <c r="U5" s="361"/>
      <c r="V5" s="314">
        <v>571742</v>
      </c>
    </row>
    <row r="6" spans="1:22">
      <c r="A6" t="s">
        <v>488</v>
      </c>
      <c r="B6" s="310"/>
      <c r="C6" s="310"/>
      <c r="D6" s="310">
        <v>0</v>
      </c>
      <c r="E6" s="310"/>
      <c r="F6" s="310"/>
      <c r="G6" s="310"/>
      <c r="H6" s="310">
        <v>977</v>
      </c>
      <c r="I6" s="310"/>
      <c r="J6" s="310">
        <v>855989</v>
      </c>
      <c r="K6" s="310"/>
      <c r="L6" s="359"/>
      <c r="M6" s="359"/>
      <c r="N6" s="357">
        <v>1408333</v>
      </c>
      <c r="O6" s="310"/>
      <c r="P6" s="310">
        <v>-1693122</v>
      </c>
      <c r="Q6" s="359"/>
      <c r="R6" s="358">
        <v>-435</v>
      </c>
      <c r="S6" s="359"/>
      <c r="T6" s="359"/>
      <c r="U6" s="359"/>
      <c r="V6" s="310">
        <v>571742</v>
      </c>
    </row>
    <row r="7" spans="1:22">
      <c r="A7" t="s">
        <v>489</v>
      </c>
      <c r="B7" s="310"/>
      <c r="C7" s="310"/>
      <c r="D7" s="310">
        <v>0</v>
      </c>
      <c r="E7" s="310"/>
      <c r="F7" s="310"/>
      <c r="G7" s="310"/>
      <c r="H7" s="310">
        <v>97685</v>
      </c>
      <c r="I7" s="310"/>
      <c r="J7" s="310"/>
      <c r="K7" s="310"/>
      <c r="L7" s="359"/>
      <c r="M7" s="359"/>
      <c r="N7" s="359"/>
      <c r="O7" s="310"/>
      <c r="P7" s="310"/>
      <c r="Q7" s="359"/>
      <c r="R7" s="359"/>
      <c r="S7" s="359"/>
      <c r="T7" s="359"/>
      <c r="U7" s="359"/>
      <c r="V7" s="310"/>
    </row>
    <row r="8" spans="1:22">
      <c r="A8" t="s">
        <v>270</v>
      </c>
      <c r="B8" s="312"/>
      <c r="C8" s="312"/>
      <c r="D8" s="312"/>
      <c r="E8" s="312"/>
      <c r="F8" s="312"/>
      <c r="G8" s="312"/>
      <c r="H8" s="312"/>
      <c r="I8" s="312"/>
      <c r="J8" s="312"/>
      <c r="K8" s="312"/>
      <c r="L8" s="360"/>
      <c r="M8" s="360"/>
      <c r="N8" s="360"/>
      <c r="O8" s="312"/>
      <c r="P8" s="312"/>
      <c r="Q8" s="360"/>
      <c r="R8" s="360"/>
      <c r="S8" s="360"/>
      <c r="T8" s="360"/>
      <c r="U8" s="360"/>
      <c r="V8" s="312"/>
    </row>
    <row r="9" spans="1:22">
      <c r="A9" t="s">
        <v>206</v>
      </c>
      <c r="B9" s="314"/>
      <c r="C9" s="314"/>
      <c r="D9" s="314"/>
      <c r="E9" s="314"/>
      <c r="F9" s="314"/>
      <c r="G9" s="314"/>
      <c r="H9" s="314">
        <v>0</v>
      </c>
      <c r="I9" s="314"/>
      <c r="J9" s="314"/>
      <c r="K9" s="314"/>
      <c r="L9" s="361"/>
      <c r="M9" s="361"/>
      <c r="N9" s="361"/>
      <c r="O9" s="314"/>
      <c r="P9" s="314"/>
      <c r="Q9" s="361"/>
      <c r="R9" s="362">
        <v>114</v>
      </c>
      <c r="S9" s="361"/>
      <c r="T9" s="361"/>
      <c r="U9" s="361"/>
      <c r="V9" s="314">
        <v>114</v>
      </c>
    </row>
    <row r="10" spans="1:22">
      <c r="A10" t="s">
        <v>490</v>
      </c>
      <c r="B10" s="312"/>
      <c r="C10" s="312"/>
      <c r="D10" s="312"/>
      <c r="E10" s="312"/>
      <c r="F10" s="312"/>
      <c r="G10" s="312"/>
      <c r="H10" s="312">
        <v>0</v>
      </c>
      <c r="I10" s="312"/>
      <c r="J10" s="312"/>
      <c r="K10" s="312"/>
      <c r="L10" s="360"/>
      <c r="M10" s="360"/>
      <c r="N10" s="365">
        <v>-253365</v>
      </c>
      <c r="O10" s="312"/>
      <c r="P10" s="312"/>
      <c r="Q10" s="360"/>
      <c r="R10" s="360"/>
      <c r="S10" s="360"/>
      <c r="T10" s="360"/>
      <c r="U10" s="360"/>
      <c r="V10" s="312">
        <v>-253365</v>
      </c>
    </row>
    <row r="11" spans="1:22">
      <c r="A11" t="s">
        <v>271</v>
      </c>
      <c r="B11" s="314"/>
      <c r="C11" s="314"/>
      <c r="D11" s="314"/>
      <c r="E11" s="314"/>
      <c r="F11" s="314"/>
      <c r="G11" s="314"/>
      <c r="H11" s="314">
        <v>0</v>
      </c>
      <c r="I11" s="314"/>
      <c r="J11" s="314"/>
      <c r="K11" s="314"/>
      <c r="L11" s="361"/>
      <c r="M11" s="361"/>
      <c r="N11" s="361"/>
      <c r="O11" s="314"/>
      <c r="P11" s="314"/>
      <c r="Q11" s="361"/>
      <c r="R11" s="363">
        <v>-3464</v>
      </c>
      <c r="S11" s="361"/>
      <c r="T11" s="361"/>
      <c r="U11" s="361"/>
      <c r="V11" s="314">
        <v>-3464</v>
      </c>
    </row>
    <row r="12" spans="1:22">
      <c r="A12" s="412" t="s">
        <v>479</v>
      </c>
      <c r="B12" s="312"/>
      <c r="C12" s="312"/>
      <c r="D12" s="312"/>
      <c r="E12" s="312"/>
      <c r="F12" s="312"/>
      <c r="G12" s="312"/>
      <c r="H12" s="312">
        <v>0</v>
      </c>
      <c r="I12" s="312"/>
      <c r="J12" s="312"/>
      <c r="K12" s="312"/>
      <c r="L12" s="360"/>
      <c r="M12" s="360"/>
      <c r="N12" s="413">
        <v>-16376</v>
      </c>
      <c r="O12" s="312"/>
      <c r="P12" s="312"/>
      <c r="Q12" s="360"/>
      <c r="R12" s="360"/>
      <c r="S12" s="360"/>
      <c r="T12" s="360"/>
      <c r="U12" s="360"/>
      <c r="V12" s="312">
        <v>-16376</v>
      </c>
    </row>
    <row r="13" spans="1:22">
      <c r="A13" t="s">
        <v>182</v>
      </c>
      <c r="B13" s="314"/>
      <c r="C13" s="314"/>
      <c r="D13" s="314"/>
      <c r="E13" s="314"/>
      <c r="F13" s="314"/>
      <c r="G13" s="314"/>
      <c r="H13" s="314">
        <v>7</v>
      </c>
      <c r="I13" s="314"/>
      <c r="J13" s="314">
        <v>21550</v>
      </c>
      <c r="K13" s="314"/>
      <c r="L13" s="361"/>
      <c r="M13" s="361"/>
      <c r="N13" s="361"/>
      <c r="O13" s="314"/>
      <c r="P13" s="314"/>
      <c r="Q13" s="361"/>
      <c r="R13" s="361"/>
      <c r="S13" s="361"/>
      <c r="T13" s="361"/>
      <c r="U13" s="361"/>
      <c r="V13" s="314">
        <v>21557</v>
      </c>
    </row>
    <row r="14" spans="1:22">
      <c r="A14" t="s">
        <v>273</v>
      </c>
      <c r="B14" s="312"/>
      <c r="C14" s="312"/>
      <c r="D14" s="312"/>
      <c r="E14" s="312"/>
      <c r="F14" s="312"/>
      <c r="G14" s="312"/>
      <c r="H14" s="312">
        <v>637</v>
      </c>
      <c r="I14" s="312"/>
      <c r="J14" s="312"/>
      <c r="K14" s="312"/>
      <c r="L14" s="360"/>
      <c r="M14" s="360"/>
      <c r="N14" s="360"/>
      <c r="O14" s="312"/>
      <c r="P14" s="312"/>
      <c r="Q14" s="360"/>
      <c r="R14" s="360"/>
      <c r="S14" s="360"/>
      <c r="T14" s="360"/>
      <c r="U14" s="360"/>
      <c r="V14" s="312"/>
    </row>
    <row r="15" spans="1:22">
      <c r="A15" t="s">
        <v>274</v>
      </c>
      <c r="B15" s="314"/>
      <c r="C15" s="314"/>
      <c r="D15" s="314"/>
      <c r="E15" s="314"/>
      <c r="F15" s="314"/>
      <c r="G15" s="314"/>
      <c r="H15" s="314">
        <v>2</v>
      </c>
      <c r="I15" s="314"/>
      <c r="J15" s="314">
        <v>609</v>
      </c>
      <c r="K15" s="314"/>
      <c r="L15" s="361"/>
      <c r="M15" s="361"/>
      <c r="N15" s="361"/>
      <c r="O15" s="314"/>
      <c r="P15" s="314"/>
      <c r="Q15" s="361"/>
      <c r="R15" s="361"/>
      <c r="S15" s="361"/>
      <c r="T15" s="361"/>
      <c r="U15" s="361"/>
      <c r="V15" s="314">
        <v>611</v>
      </c>
    </row>
    <row r="16" spans="1:22">
      <c r="A16" t="s">
        <v>275</v>
      </c>
      <c r="B16" s="312"/>
      <c r="C16" s="312"/>
      <c r="D16" s="312"/>
      <c r="E16" s="312"/>
      <c r="F16" s="312"/>
      <c r="G16" s="312"/>
      <c r="H16" s="312">
        <v>323</v>
      </c>
      <c r="I16" s="312"/>
      <c r="J16" s="312"/>
      <c r="K16" s="312"/>
      <c r="L16" s="360"/>
      <c r="M16" s="360"/>
      <c r="N16" s="360"/>
      <c r="O16" s="312"/>
      <c r="P16" s="312"/>
      <c r="Q16" s="360"/>
      <c r="R16" s="360"/>
      <c r="S16" s="360"/>
      <c r="T16" s="360"/>
      <c r="U16" s="360"/>
      <c r="V16" s="312"/>
    </row>
    <row r="17" spans="1:22">
      <c r="A17" s="107" t="s">
        <v>204</v>
      </c>
      <c r="B17" s="314"/>
      <c r="C17" s="314"/>
      <c r="D17" s="314"/>
      <c r="E17" s="314"/>
      <c r="F17" s="314"/>
      <c r="G17" s="314"/>
      <c r="H17" s="314">
        <v>0</v>
      </c>
      <c r="I17" s="314"/>
      <c r="J17" s="314"/>
      <c r="K17" s="314"/>
      <c r="L17" s="361"/>
      <c r="M17" s="361"/>
      <c r="N17" s="361"/>
      <c r="O17" s="314"/>
      <c r="P17" s="382">
        <v>-3621</v>
      </c>
      <c r="Q17" s="361"/>
      <c r="R17" s="361"/>
      <c r="S17" s="361"/>
      <c r="T17" s="361"/>
      <c r="U17" s="361"/>
      <c r="V17" s="314">
        <v>-3621</v>
      </c>
    </row>
    <row r="18" spans="1:22">
      <c r="A18" t="s">
        <v>491</v>
      </c>
      <c r="B18" s="312"/>
      <c r="C18" s="312"/>
      <c r="D18" s="312">
        <v>-10257</v>
      </c>
      <c r="E18" s="312"/>
      <c r="F18" s="312"/>
      <c r="G18" s="312">
        <v>0</v>
      </c>
      <c r="H18" s="312"/>
      <c r="I18" s="312"/>
      <c r="J18" s="312"/>
      <c r="K18" s="312"/>
      <c r="L18" s="360"/>
      <c r="M18" s="360"/>
      <c r="N18" s="360"/>
      <c r="O18" s="312"/>
      <c r="P18" s="312"/>
      <c r="Q18" s="360"/>
      <c r="R18" s="360"/>
      <c r="S18" s="360"/>
      <c r="T18" s="360"/>
      <c r="U18" s="360"/>
      <c r="V18" s="312"/>
    </row>
    <row r="19" spans="1:22">
      <c r="A19" t="s">
        <v>492</v>
      </c>
      <c r="B19" s="314"/>
      <c r="C19" s="314"/>
      <c r="D19" s="314">
        <v>189743</v>
      </c>
      <c r="E19" s="314"/>
      <c r="F19" s="314"/>
      <c r="G19" s="314"/>
      <c r="H19" s="314"/>
      <c r="I19" s="314"/>
      <c r="J19" s="314"/>
      <c r="K19" s="314"/>
      <c r="L19" s="361"/>
      <c r="M19" s="361"/>
      <c r="N19" s="361"/>
      <c r="O19" s="314"/>
      <c r="P19" s="314"/>
      <c r="Q19" s="361"/>
      <c r="R19" s="361"/>
      <c r="S19" s="361"/>
      <c r="T19" s="361"/>
      <c r="U19" s="361"/>
      <c r="V19" s="314"/>
    </row>
    <row r="20" spans="1:22">
      <c r="A20" t="s">
        <v>493</v>
      </c>
      <c r="B20" s="312"/>
      <c r="C20" s="312"/>
      <c r="D20" s="312"/>
      <c r="E20" s="312"/>
      <c r="F20" s="312"/>
      <c r="G20" s="312"/>
      <c r="H20" s="312">
        <v>0</v>
      </c>
      <c r="I20" s="312"/>
      <c r="J20" s="312"/>
      <c r="K20" s="312"/>
      <c r="L20" s="360"/>
      <c r="M20" s="360"/>
      <c r="N20" s="360"/>
      <c r="O20" s="312"/>
      <c r="P20" s="312"/>
      <c r="Q20" s="360"/>
      <c r="R20" s="360"/>
      <c r="S20" s="360"/>
      <c r="T20" s="360"/>
      <c r="U20" s="360"/>
      <c r="V20" s="312"/>
    </row>
    <row r="21" spans="1:22">
      <c r="A21" s="412" t="s">
        <v>494</v>
      </c>
      <c r="B21" s="314"/>
      <c r="C21" s="314"/>
      <c r="D21" s="314">
        <v>18248</v>
      </c>
      <c r="E21" s="314"/>
      <c r="F21" s="314"/>
      <c r="G21" s="314"/>
      <c r="H21" s="314">
        <v>0</v>
      </c>
      <c r="I21" s="314"/>
      <c r="J21" s="314"/>
      <c r="K21" s="314"/>
      <c r="L21" s="361"/>
      <c r="M21" s="361"/>
      <c r="N21" s="414">
        <v>18248</v>
      </c>
      <c r="O21" s="314"/>
      <c r="P21" s="314"/>
      <c r="Q21" s="361"/>
      <c r="R21" s="361"/>
      <c r="S21" s="361"/>
      <c r="T21" s="361"/>
      <c r="U21" s="361"/>
      <c r="V21" s="314">
        <v>18248</v>
      </c>
    </row>
    <row r="22" spans="1:22">
      <c r="A22" t="s">
        <v>495</v>
      </c>
      <c r="B22" s="309">
        <v>-4763</v>
      </c>
      <c r="C22" s="309">
        <v>213485</v>
      </c>
      <c r="D22" s="309">
        <v>218248</v>
      </c>
      <c r="E22" s="309"/>
      <c r="F22" s="309">
        <v>986</v>
      </c>
      <c r="G22" s="309"/>
      <c r="H22" s="309">
        <v>986</v>
      </c>
      <c r="I22" s="309">
        <v>878148</v>
      </c>
      <c r="J22" s="309">
        <v>878148</v>
      </c>
      <c r="K22" s="309">
        <v>4763</v>
      </c>
      <c r="L22" s="357">
        <v>1114850</v>
      </c>
      <c r="M22" s="359"/>
      <c r="N22" s="357">
        <v>1110087</v>
      </c>
      <c r="O22" s="309">
        <v>-1696743</v>
      </c>
      <c r="P22" s="309">
        <v>-1696743</v>
      </c>
      <c r="Q22" s="358">
        <v>-3785</v>
      </c>
      <c r="R22" s="358">
        <v>-3785</v>
      </c>
      <c r="S22" s="357">
        <v>4763</v>
      </c>
      <c r="T22" s="357">
        <v>293456</v>
      </c>
      <c r="U22" s="359"/>
      <c r="V22" s="309">
        <v>288693</v>
      </c>
    </row>
    <row r="23" spans="1:22">
      <c r="A23" t="s">
        <v>496</v>
      </c>
      <c r="B23" s="305"/>
      <c r="C23" s="305">
        <v>200</v>
      </c>
      <c r="D23" s="305">
        <v>0</v>
      </c>
      <c r="E23" s="305">
        <v>0</v>
      </c>
      <c r="F23" s="305">
        <v>98645</v>
      </c>
      <c r="G23" s="305"/>
      <c r="H23" s="305">
        <v>98645</v>
      </c>
      <c r="I23" s="305"/>
      <c r="J23" s="305"/>
      <c r="K23" s="305"/>
      <c r="L23" s="291"/>
      <c r="M23" s="291"/>
      <c r="N23" s="359"/>
      <c r="O23" s="305"/>
      <c r="P23" s="310"/>
      <c r="Q23" s="291"/>
      <c r="R23" s="291"/>
      <c r="S23" s="291"/>
      <c r="T23" s="291"/>
      <c r="U23" s="291"/>
      <c r="V23" s="305"/>
    </row>
    <row r="24" spans="1:22">
      <c r="A24" t="s">
        <v>270</v>
      </c>
      <c r="B24" s="268"/>
      <c r="C24" s="268"/>
      <c r="D24" s="268"/>
      <c r="E24" s="268"/>
      <c r="F24" s="268"/>
      <c r="G24" s="268"/>
      <c r="H24" s="268"/>
      <c r="I24" s="268"/>
      <c r="J24" s="268"/>
      <c r="K24" s="268"/>
      <c r="L24" s="292"/>
      <c r="M24" s="292"/>
      <c r="N24" s="360"/>
      <c r="O24" s="268"/>
      <c r="P24" s="312"/>
      <c r="Q24" s="292"/>
      <c r="R24" s="292"/>
      <c r="S24" s="292"/>
      <c r="T24" s="292"/>
      <c r="U24" s="292"/>
      <c r="V24" s="268"/>
    </row>
    <row r="25" spans="1:22">
      <c r="A25" t="s">
        <v>487</v>
      </c>
      <c r="B25" s="389">
        <v>-4763</v>
      </c>
      <c r="C25" s="389">
        <v>213485</v>
      </c>
      <c r="D25" s="389">
        <v>218248</v>
      </c>
      <c r="E25" s="389"/>
      <c r="F25" s="389">
        <v>986</v>
      </c>
      <c r="G25" s="389"/>
      <c r="H25" s="389">
        <v>986</v>
      </c>
      <c r="I25" s="389">
        <v>878148</v>
      </c>
      <c r="J25" s="389">
        <v>878148</v>
      </c>
      <c r="K25" s="389">
        <v>4763</v>
      </c>
      <c r="L25" s="300">
        <v>1114850</v>
      </c>
      <c r="M25" s="293"/>
      <c r="N25" s="362">
        <v>1110087</v>
      </c>
      <c r="O25" s="389">
        <v>-1696743</v>
      </c>
      <c r="P25" s="315">
        <v>-1696743</v>
      </c>
      <c r="Q25" s="384">
        <v>-3785</v>
      </c>
      <c r="R25" s="295">
        <v>-3785</v>
      </c>
      <c r="S25" s="300">
        <v>4763</v>
      </c>
      <c r="T25" s="300">
        <v>293456</v>
      </c>
      <c r="U25" s="293"/>
      <c r="V25" s="389">
        <v>288693</v>
      </c>
    </row>
    <row r="26" spans="1:22">
      <c r="A26" t="s">
        <v>206</v>
      </c>
      <c r="B26" s="268"/>
      <c r="C26" s="268"/>
      <c r="D26" s="268"/>
      <c r="E26" s="268"/>
      <c r="F26" s="268"/>
      <c r="G26" s="268"/>
      <c r="H26" s="268">
        <v>0</v>
      </c>
      <c r="I26" s="268"/>
      <c r="J26" s="268"/>
      <c r="K26" s="268"/>
      <c r="L26" s="292"/>
      <c r="M26" s="292"/>
      <c r="N26" s="360"/>
      <c r="O26" s="268"/>
      <c r="P26" s="312"/>
      <c r="Q26" s="292"/>
      <c r="R26" s="294">
        <v>34</v>
      </c>
      <c r="S26" s="292"/>
      <c r="T26" s="292"/>
      <c r="U26" s="292"/>
      <c r="V26" s="268">
        <v>34</v>
      </c>
    </row>
    <row r="27" spans="1:22">
      <c r="A27" t="s">
        <v>490</v>
      </c>
      <c r="B27" s="306"/>
      <c r="C27" s="306"/>
      <c r="D27" s="306"/>
      <c r="E27" s="306"/>
      <c r="F27" s="306"/>
      <c r="G27" s="306"/>
      <c r="H27" s="306">
        <v>0</v>
      </c>
      <c r="I27" s="306"/>
      <c r="J27" s="306"/>
      <c r="K27" s="306"/>
      <c r="L27" s="293"/>
      <c r="M27" s="293"/>
      <c r="N27" s="362">
        <v>72373</v>
      </c>
      <c r="O27" s="306"/>
      <c r="P27" s="314"/>
      <c r="Q27" s="293"/>
      <c r="R27" s="293"/>
      <c r="S27" s="293"/>
      <c r="T27" s="293"/>
      <c r="U27" s="293"/>
      <c r="V27" s="306">
        <v>72373</v>
      </c>
    </row>
    <row r="28" spans="1:22">
      <c r="A28" t="s">
        <v>271</v>
      </c>
      <c r="B28" s="268"/>
      <c r="C28" s="268"/>
      <c r="D28" s="268"/>
      <c r="E28" s="268"/>
      <c r="F28" s="268"/>
      <c r="G28" s="268"/>
      <c r="H28" s="268">
        <v>0</v>
      </c>
      <c r="I28" s="268"/>
      <c r="J28" s="268"/>
      <c r="K28" s="268"/>
      <c r="L28" s="292"/>
      <c r="M28" s="292"/>
      <c r="N28" s="360"/>
      <c r="O28" s="268"/>
      <c r="P28" s="312"/>
      <c r="Q28" s="292"/>
      <c r="R28" s="297">
        <v>3464</v>
      </c>
      <c r="S28" s="292"/>
      <c r="T28" s="292"/>
      <c r="U28" s="292"/>
      <c r="V28" s="268">
        <v>3464</v>
      </c>
    </row>
    <row r="29" spans="1:22">
      <c r="A29" s="412" t="s">
        <v>518</v>
      </c>
      <c r="B29" s="306"/>
      <c r="C29" s="306"/>
      <c r="D29" s="306"/>
      <c r="E29" s="306"/>
      <c r="F29" s="306"/>
      <c r="G29" s="306"/>
      <c r="H29" s="306">
        <v>0</v>
      </c>
      <c r="I29" s="306"/>
      <c r="J29" s="306"/>
      <c r="K29" s="306"/>
      <c r="L29" s="293"/>
      <c r="M29" s="293"/>
      <c r="N29" s="414">
        <v>588</v>
      </c>
      <c r="O29" s="306"/>
      <c r="P29" s="314"/>
      <c r="Q29" s="293"/>
      <c r="R29" s="293"/>
      <c r="S29" s="293"/>
      <c r="T29" s="293"/>
      <c r="U29" s="293"/>
      <c r="V29" s="306">
        <v>588</v>
      </c>
    </row>
    <row r="30" spans="1:22">
      <c r="A30" t="s">
        <v>182</v>
      </c>
      <c r="B30" s="268"/>
      <c r="C30" s="268"/>
      <c r="D30" s="268"/>
      <c r="E30" s="268"/>
      <c r="F30" s="268"/>
      <c r="G30" s="268"/>
      <c r="H30" s="268">
        <v>8</v>
      </c>
      <c r="I30" s="268"/>
      <c r="J30" s="268">
        <v>24778</v>
      </c>
      <c r="K30" s="268"/>
      <c r="L30" s="292"/>
      <c r="M30" s="292"/>
      <c r="N30" s="360"/>
      <c r="O30" s="268"/>
      <c r="P30" s="312"/>
      <c r="Q30" s="292"/>
      <c r="R30" s="292"/>
      <c r="S30" s="292"/>
      <c r="T30" s="292"/>
      <c r="U30" s="292"/>
      <c r="V30" s="268">
        <v>24786</v>
      </c>
    </row>
    <row r="31" spans="1:22">
      <c r="A31" t="s">
        <v>273</v>
      </c>
      <c r="B31" s="306"/>
      <c r="C31" s="306"/>
      <c r="D31" s="306"/>
      <c r="E31" s="306"/>
      <c r="F31" s="306"/>
      <c r="G31" s="306"/>
      <c r="H31" s="306">
        <v>759</v>
      </c>
      <c r="I31" s="306"/>
      <c r="J31" s="306"/>
      <c r="K31" s="306"/>
      <c r="L31" s="293"/>
      <c r="M31" s="293"/>
      <c r="N31" s="361"/>
      <c r="O31" s="306"/>
      <c r="P31" s="314"/>
      <c r="Q31" s="293"/>
      <c r="R31" s="293"/>
      <c r="S31" s="293"/>
      <c r="T31" s="293"/>
      <c r="U31" s="293"/>
      <c r="V31" s="306"/>
    </row>
    <row r="32" spans="1:22">
      <c r="A32" t="s">
        <v>274</v>
      </c>
      <c r="B32" s="268"/>
      <c r="C32" s="268"/>
      <c r="D32" s="268"/>
      <c r="E32" s="268"/>
      <c r="F32" s="268"/>
      <c r="G32" s="268"/>
      <c r="H32" s="268">
        <v>5</v>
      </c>
      <c r="I32" s="268"/>
      <c r="J32" s="268">
        <v>23177</v>
      </c>
      <c r="K32" s="268"/>
      <c r="L32" s="292"/>
      <c r="M32" s="292"/>
      <c r="N32" s="360"/>
      <c r="O32" s="268"/>
      <c r="P32" s="312"/>
      <c r="Q32" s="292"/>
      <c r="R32" s="292"/>
      <c r="S32" s="292"/>
      <c r="T32" s="292"/>
      <c r="U32" s="292"/>
      <c r="V32" s="268">
        <v>23182</v>
      </c>
    </row>
    <row r="33" spans="1:22">
      <c r="A33" t="s">
        <v>275</v>
      </c>
      <c r="B33" s="306"/>
      <c r="C33" s="306"/>
      <c r="D33" s="306"/>
      <c r="E33" s="306"/>
      <c r="F33" s="306"/>
      <c r="G33" s="306"/>
      <c r="H33" s="306">
        <v>436</v>
      </c>
      <c r="I33" s="306"/>
      <c r="J33" s="306"/>
      <c r="K33" s="306"/>
      <c r="L33" s="293"/>
      <c r="M33" s="293"/>
      <c r="N33" s="361"/>
      <c r="O33" s="306"/>
      <c r="P33" s="314"/>
      <c r="Q33" s="293"/>
      <c r="R33" s="293"/>
      <c r="S33" s="293"/>
      <c r="T33" s="293"/>
      <c r="U33" s="293"/>
      <c r="V33" s="306"/>
    </row>
    <row r="34" spans="1:22">
      <c r="A34" t="s">
        <v>200</v>
      </c>
      <c r="B34" s="268"/>
      <c r="C34" s="268"/>
      <c r="D34" s="268"/>
      <c r="E34" s="268"/>
      <c r="F34" s="268"/>
      <c r="G34" s="268"/>
      <c r="H34" s="268">
        <v>31</v>
      </c>
      <c r="I34" s="268"/>
      <c r="J34" s="268">
        <v>167019</v>
      </c>
      <c r="K34" s="268"/>
      <c r="L34" s="292"/>
      <c r="M34" s="292"/>
      <c r="N34" s="360"/>
      <c r="O34" s="268"/>
      <c r="P34" s="312"/>
      <c r="Q34" s="292"/>
      <c r="R34" s="292"/>
      <c r="S34" s="292"/>
      <c r="T34" s="292"/>
      <c r="U34" s="292"/>
      <c r="V34" s="268">
        <v>167050</v>
      </c>
    </row>
    <row r="35" spans="1:22">
      <c r="A35" t="s">
        <v>276</v>
      </c>
      <c r="B35" s="306"/>
      <c r="C35" s="306"/>
      <c r="D35" s="306"/>
      <c r="E35" s="306"/>
      <c r="F35" s="306"/>
      <c r="G35" s="306"/>
      <c r="H35" s="306">
        <v>3125</v>
      </c>
      <c r="I35" s="306"/>
      <c r="J35" s="306"/>
      <c r="K35" s="306"/>
      <c r="L35" s="293"/>
      <c r="M35" s="293"/>
      <c r="N35" s="361"/>
      <c r="O35" s="306"/>
      <c r="P35" s="314"/>
      <c r="Q35" s="293"/>
      <c r="R35" s="293"/>
      <c r="S35" s="293"/>
      <c r="T35" s="293"/>
      <c r="U35" s="293"/>
      <c r="V35" s="306"/>
    </row>
    <row r="36" spans="1:22">
      <c r="A36" s="107" t="s">
        <v>498</v>
      </c>
      <c r="B36" s="391"/>
      <c r="C36" s="391"/>
      <c r="D36" s="391"/>
      <c r="E36" s="391"/>
      <c r="F36" s="391"/>
      <c r="G36" s="391"/>
      <c r="H36" s="391"/>
      <c r="I36" s="391"/>
      <c r="J36" s="391"/>
      <c r="K36" s="391"/>
      <c r="L36" s="392"/>
      <c r="M36" s="392"/>
      <c r="N36" s="415"/>
      <c r="O36" s="391"/>
      <c r="P36" s="382">
        <v>-5766</v>
      </c>
      <c r="Q36" s="292"/>
      <c r="R36" s="292"/>
      <c r="S36" s="292"/>
      <c r="T36" s="292"/>
      <c r="U36" s="292"/>
      <c r="V36" s="268">
        <v>-5766</v>
      </c>
    </row>
    <row r="37" spans="1:22">
      <c r="A37" s="399" t="s">
        <v>497</v>
      </c>
      <c r="B37" s="306"/>
      <c r="C37" s="306"/>
      <c r="D37" s="306"/>
      <c r="E37" s="306"/>
      <c r="F37" s="306"/>
      <c r="G37" s="306"/>
      <c r="H37" s="306">
        <v>0</v>
      </c>
      <c r="I37" s="306"/>
      <c r="J37" s="306"/>
      <c r="K37" s="306"/>
      <c r="L37" s="293"/>
      <c r="M37" s="293"/>
      <c r="N37" s="361"/>
      <c r="O37" s="306"/>
      <c r="P37" s="314"/>
      <c r="Q37" s="293"/>
      <c r="R37" s="293"/>
      <c r="S37" s="293"/>
      <c r="T37" s="293"/>
      <c r="U37" s="293"/>
      <c r="V37" s="306"/>
    </row>
    <row r="38" spans="1:22">
      <c r="A38" s="412" t="s">
        <v>517</v>
      </c>
      <c r="B38" s="268"/>
      <c r="C38" s="268"/>
      <c r="D38" s="268"/>
      <c r="E38" s="268"/>
      <c r="F38" s="268"/>
      <c r="G38" s="268"/>
      <c r="H38" s="268">
        <v>0</v>
      </c>
      <c r="I38" s="268"/>
      <c r="J38" s="268"/>
      <c r="K38" s="268"/>
      <c r="L38" s="292"/>
      <c r="M38" s="292"/>
      <c r="N38" s="413">
        <v>-5070</v>
      </c>
      <c r="O38" s="268"/>
      <c r="P38" s="312"/>
      <c r="Q38" s="292"/>
      <c r="R38" s="292"/>
      <c r="S38" s="292"/>
      <c r="T38" s="292"/>
      <c r="U38" s="292"/>
      <c r="V38" s="268">
        <v>-5070</v>
      </c>
    </row>
    <row r="39" spans="1:22">
      <c r="A39" t="s">
        <v>197</v>
      </c>
      <c r="B39" s="306"/>
      <c r="C39" s="306"/>
      <c r="D39" s="306">
        <v>-160114</v>
      </c>
      <c r="E39" s="306"/>
      <c r="F39" s="306"/>
      <c r="G39" s="306"/>
      <c r="H39" s="306"/>
      <c r="I39" s="306"/>
      <c r="J39" s="306">
        <v>-283637</v>
      </c>
      <c r="K39" s="306"/>
      <c r="L39" s="293"/>
      <c r="M39" s="293"/>
      <c r="N39" s="361"/>
      <c r="O39" s="306"/>
      <c r="P39" s="314"/>
      <c r="Q39" s="293"/>
      <c r="R39" s="293"/>
      <c r="S39" s="293"/>
      <c r="T39" s="293"/>
      <c r="U39" s="293"/>
      <c r="V39" s="306">
        <v>-283637</v>
      </c>
    </row>
    <row r="40" spans="1:22">
      <c r="A40" t="s">
        <v>277</v>
      </c>
      <c r="B40" s="268"/>
      <c r="C40" s="268"/>
      <c r="D40" s="268">
        <v>-150</v>
      </c>
      <c r="E40" s="268"/>
      <c r="F40" s="268"/>
      <c r="G40" s="268"/>
      <c r="H40" s="268">
        <v>0</v>
      </c>
      <c r="I40" s="268"/>
      <c r="J40" s="268"/>
      <c r="K40" s="268"/>
      <c r="L40" s="292"/>
      <c r="M40" s="292"/>
      <c r="N40" s="360"/>
      <c r="O40" s="268"/>
      <c r="P40" s="312"/>
      <c r="Q40" s="292"/>
      <c r="R40" s="292"/>
      <c r="S40" s="292"/>
      <c r="T40" s="292"/>
      <c r="U40" s="292"/>
      <c r="V40" s="268"/>
    </row>
    <row r="41" spans="1:22">
      <c r="A41" t="s">
        <v>278</v>
      </c>
      <c r="B41" s="306"/>
      <c r="C41" s="306"/>
      <c r="D41" s="306">
        <v>-53371</v>
      </c>
      <c r="E41" s="306"/>
      <c r="F41" s="306"/>
      <c r="G41" s="306"/>
      <c r="H41" s="306">
        <v>24</v>
      </c>
      <c r="I41" s="306"/>
      <c r="J41" s="306">
        <v>53273</v>
      </c>
      <c r="K41" s="306"/>
      <c r="L41" s="293"/>
      <c r="M41" s="293"/>
      <c r="N41" s="361"/>
      <c r="O41" s="306"/>
      <c r="P41" s="314"/>
      <c r="Q41" s="293"/>
      <c r="R41" s="293"/>
      <c r="S41" s="293"/>
      <c r="T41" s="293"/>
      <c r="U41" s="293"/>
      <c r="V41" s="306">
        <v>53297</v>
      </c>
    </row>
    <row r="42" spans="1:22">
      <c r="A42" t="s">
        <v>279</v>
      </c>
      <c r="B42" s="268"/>
      <c r="C42" s="268"/>
      <c r="D42" s="268">
        <v>-50</v>
      </c>
      <c r="E42" s="268"/>
      <c r="F42" s="268"/>
      <c r="G42" s="268"/>
      <c r="H42" s="268">
        <v>2401</v>
      </c>
      <c r="I42" s="268"/>
      <c r="J42" s="268"/>
      <c r="K42" s="268"/>
      <c r="L42" s="292"/>
      <c r="M42" s="292"/>
      <c r="N42" s="360"/>
      <c r="O42" s="268"/>
      <c r="P42" s="312"/>
      <c r="Q42" s="292"/>
      <c r="R42" s="292"/>
      <c r="S42" s="292"/>
      <c r="T42" s="292"/>
      <c r="U42" s="292"/>
      <c r="V42" s="268"/>
    </row>
    <row r="43" spans="1:22">
      <c r="A43" s="412" t="s">
        <v>516</v>
      </c>
      <c r="B43" s="306"/>
      <c r="C43" s="306"/>
      <c r="D43" s="306"/>
      <c r="E43" s="306"/>
      <c r="F43" s="306"/>
      <c r="G43" s="306"/>
      <c r="H43" s="306">
        <v>0</v>
      </c>
      <c r="I43" s="306"/>
      <c r="J43" s="306"/>
      <c r="K43" s="306"/>
      <c r="L43" s="293"/>
      <c r="M43" s="293"/>
      <c r="N43" s="413">
        <v>-13591</v>
      </c>
      <c r="O43" s="306"/>
      <c r="P43" s="314"/>
      <c r="Q43" s="293"/>
      <c r="R43" s="293"/>
      <c r="S43" s="293"/>
      <c r="T43" s="293"/>
      <c r="U43" s="293"/>
      <c r="V43" s="306">
        <v>-13591</v>
      </c>
    </row>
    <row r="44" spans="1:22">
      <c r="A44" t="s">
        <v>282</v>
      </c>
      <c r="B44" s="305"/>
      <c r="C44" s="305"/>
      <c r="D44" s="305">
        <v>0</v>
      </c>
      <c r="E44" s="305"/>
      <c r="F44" s="305"/>
      <c r="G44" s="305"/>
      <c r="H44" s="305">
        <v>1054</v>
      </c>
      <c r="I44" s="305"/>
      <c r="J44" s="305">
        <v>862758</v>
      </c>
      <c r="K44" s="305"/>
      <c r="L44" s="291"/>
      <c r="M44" s="291"/>
      <c r="N44" s="357">
        <v>1169150</v>
      </c>
      <c r="O44" s="305"/>
      <c r="P44" s="310">
        <v>-1702509</v>
      </c>
      <c r="Q44" s="291"/>
      <c r="R44" s="298">
        <v>-287</v>
      </c>
      <c r="S44" s="291"/>
      <c r="T44" s="291"/>
      <c r="U44" s="291"/>
      <c r="V44" s="305">
        <v>330166</v>
      </c>
    </row>
    <row r="45" spans="1:22">
      <c r="A45" t="s">
        <v>283</v>
      </c>
      <c r="B45" s="305"/>
      <c r="C45" s="305"/>
      <c r="D45" s="305">
        <v>0</v>
      </c>
      <c r="E45" s="305"/>
      <c r="F45" s="305"/>
      <c r="G45" s="305"/>
      <c r="H45" s="305">
        <v>105366</v>
      </c>
      <c r="I45" s="305"/>
      <c r="J45" s="305"/>
      <c r="K45" s="305"/>
      <c r="L45" s="291"/>
      <c r="M45" s="291"/>
      <c r="N45" s="359"/>
      <c r="O45" s="305"/>
      <c r="P45" s="310"/>
      <c r="Q45" s="291"/>
      <c r="R45" s="291"/>
      <c r="S45" s="291"/>
      <c r="T45" s="291"/>
      <c r="U45" s="291"/>
      <c r="V45" s="305"/>
    </row>
    <row r="46" spans="1:22">
      <c r="A46" t="s">
        <v>270</v>
      </c>
      <c r="B46" s="268"/>
      <c r="C46" s="268"/>
      <c r="D46" s="268"/>
      <c r="E46" s="268"/>
      <c r="F46" s="268"/>
      <c r="G46" s="268"/>
      <c r="H46" s="268"/>
      <c r="I46" s="268"/>
      <c r="J46" s="268"/>
      <c r="K46" s="268"/>
      <c r="L46" s="292"/>
      <c r="M46" s="292"/>
      <c r="N46" s="360"/>
      <c r="O46" s="268"/>
      <c r="P46" s="312"/>
      <c r="Q46" s="292"/>
      <c r="R46" s="292"/>
      <c r="S46" s="292"/>
      <c r="T46" s="292"/>
      <c r="U46" s="292"/>
      <c r="V46" s="268"/>
    </row>
    <row r="47" spans="1:22">
      <c r="A47" t="s">
        <v>487</v>
      </c>
      <c r="B47" s="306"/>
      <c r="C47" s="306"/>
      <c r="D47" s="306">
        <v>0</v>
      </c>
      <c r="E47" s="306"/>
      <c r="F47" s="306"/>
      <c r="G47" s="306"/>
      <c r="H47" s="306">
        <v>1054</v>
      </c>
      <c r="I47" s="306"/>
      <c r="J47" s="306">
        <v>862758</v>
      </c>
      <c r="K47" s="306"/>
      <c r="L47" s="293"/>
      <c r="M47" s="293"/>
      <c r="N47" s="362">
        <v>1169150</v>
      </c>
      <c r="O47" s="306"/>
      <c r="P47" s="314">
        <v>-1702509</v>
      </c>
      <c r="Q47" s="293"/>
      <c r="R47" s="299">
        <v>-287</v>
      </c>
      <c r="S47" s="293"/>
      <c r="T47" s="293"/>
      <c r="U47" s="293"/>
      <c r="V47" s="306">
        <v>330166</v>
      </c>
    </row>
    <row r="48" spans="1:22">
      <c r="A48" t="s">
        <v>206</v>
      </c>
      <c r="B48" s="268"/>
      <c r="C48" s="268"/>
      <c r="D48" s="268"/>
      <c r="E48" s="268"/>
      <c r="F48" s="268"/>
      <c r="G48" s="268"/>
      <c r="H48" s="268">
        <v>0</v>
      </c>
      <c r="I48" s="268"/>
      <c r="J48" s="268"/>
      <c r="K48" s="268"/>
      <c r="L48" s="292"/>
      <c r="M48" s="292"/>
      <c r="N48" s="360"/>
      <c r="O48" s="268"/>
      <c r="P48" s="312"/>
      <c r="Q48" s="292"/>
      <c r="R48" s="301">
        <v>-695</v>
      </c>
      <c r="S48" s="292"/>
      <c r="T48" s="292"/>
      <c r="U48" s="292"/>
      <c r="V48" s="268">
        <v>-695</v>
      </c>
    </row>
    <row r="49" spans="1:22">
      <c r="A49" t="s">
        <v>490</v>
      </c>
      <c r="B49" s="306"/>
      <c r="C49" s="306"/>
      <c r="D49" s="306"/>
      <c r="E49" s="306"/>
      <c r="F49" s="306"/>
      <c r="G49" s="306"/>
      <c r="H49" s="306">
        <v>0</v>
      </c>
      <c r="I49" s="306"/>
      <c r="J49" s="306"/>
      <c r="K49" s="306"/>
      <c r="L49" s="293"/>
      <c r="M49" s="293"/>
      <c r="N49" s="362">
        <v>43123</v>
      </c>
      <c r="O49" s="306"/>
      <c r="P49" s="314"/>
      <c r="Q49" s="293"/>
      <c r="R49" s="293"/>
      <c r="S49" s="293"/>
      <c r="T49" s="293"/>
      <c r="U49" s="293"/>
      <c r="V49" s="306">
        <v>43123</v>
      </c>
    </row>
    <row r="50" spans="1:22">
      <c r="A50" s="412" t="s">
        <v>519</v>
      </c>
      <c r="B50" s="268"/>
      <c r="C50" s="268"/>
      <c r="D50" s="268"/>
      <c r="E50" s="268"/>
      <c r="F50" s="268"/>
      <c r="G50" s="268"/>
      <c r="H50" s="268">
        <v>0</v>
      </c>
      <c r="I50" s="268"/>
      <c r="J50" s="268"/>
      <c r="K50" s="268"/>
      <c r="L50" s="292"/>
      <c r="M50" s="292"/>
      <c r="N50" s="413">
        <v>-42195</v>
      </c>
      <c r="O50" s="268"/>
      <c r="P50" s="312"/>
      <c r="Q50" s="292"/>
      <c r="R50" s="292"/>
      <c r="S50" s="292"/>
      <c r="T50" s="292"/>
      <c r="U50" s="292"/>
      <c r="V50" s="268">
        <v>-42195</v>
      </c>
    </row>
    <row r="51" spans="1:22">
      <c r="A51" t="s">
        <v>182</v>
      </c>
      <c r="B51" s="306"/>
      <c r="C51" s="306"/>
      <c r="D51" s="306"/>
      <c r="E51" s="306"/>
      <c r="F51" s="306"/>
      <c r="G51" s="306"/>
      <c r="H51" s="306">
        <v>8</v>
      </c>
      <c r="I51" s="306"/>
      <c r="J51" s="306">
        <v>24644</v>
      </c>
      <c r="K51" s="306"/>
      <c r="L51" s="293"/>
      <c r="M51" s="293"/>
      <c r="N51" s="361"/>
      <c r="O51" s="306"/>
      <c r="P51" s="314"/>
      <c r="Q51" s="293"/>
      <c r="R51" s="293"/>
      <c r="S51" s="293"/>
      <c r="T51" s="293"/>
      <c r="U51" s="293"/>
      <c r="V51" s="306">
        <v>24652</v>
      </c>
    </row>
    <row r="52" spans="1:22">
      <c r="A52" t="s">
        <v>273</v>
      </c>
      <c r="B52" s="268"/>
      <c r="C52" s="268"/>
      <c r="D52" s="268"/>
      <c r="E52" s="268"/>
      <c r="F52" s="268"/>
      <c r="G52" s="268"/>
      <c r="H52" s="268">
        <v>788</v>
      </c>
      <c r="I52" s="268"/>
      <c r="J52" s="268"/>
      <c r="K52" s="268"/>
      <c r="L52" s="292"/>
      <c r="M52" s="292"/>
      <c r="N52" s="360"/>
      <c r="O52" s="268"/>
      <c r="P52" s="312"/>
      <c r="Q52" s="292"/>
      <c r="R52" s="292"/>
      <c r="S52" s="292"/>
      <c r="T52" s="292"/>
      <c r="U52" s="292"/>
      <c r="V52" s="268"/>
    </row>
    <row r="53" spans="1:22">
      <c r="A53" t="s">
        <v>274</v>
      </c>
      <c r="B53" s="306"/>
      <c r="C53" s="306"/>
      <c r="D53" s="306"/>
      <c r="E53" s="306"/>
      <c r="F53" s="306"/>
      <c r="G53" s="306"/>
      <c r="H53" s="306">
        <v>1</v>
      </c>
      <c r="I53" s="306"/>
      <c r="J53" s="306">
        <v>83</v>
      </c>
      <c r="K53" s="306"/>
      <c r="L53" s="293"/>
      <c r="M53" s="293"/>
      <c r="N53" s="361"/>
      <c r="O53" s="306"/>
      <c r="P53" s="314"/>
      <c r="Q53" s="293"/>
      <c r="R53" s="293"/>
      <c r="S53" s="293"/>
      <c r="T53" s="293"/>
      <c r="U53" s="293"/>
      <c r="V53" s="306">
        <v>84</v>
      </c>
    </row>
    <row r="54" spans="1:22">
      <c r="A54" t="s">
        <v>275</v>
      </c>
      <c r="B54" s="268"/>
      <c r="C54" s="268"/>
      <c r="D54" s="268"/>
      <c r="E54" s="268"/>
      <c r="F54" s="268"/>
      <c r="G54" s="268"/>
      <c r="H54" s="268">
        <v>169</v>
      </c>
      <c r="I54" s="268"/>
      <c r="J54" s="268"/>
      <c r="K54" s="268"/>
      <c r="L54" s="292"/>
      <c r="M54" s="292"/>
      <c r="N54" s="360"/>
      <c r="O54" s="268"/>
      <c r="P54" s="312"/>
      <c r="Q54" s="292"/>
      <c r="R54" s="292"/>
      <c r="S54" s="292"/>
      <c r="T54" s="292"/>
      <c r="U54" s="292"/>
      <c r="V54" s="268"/>
    </row>
    <row r="55" spans="1:22">
      <c r="A55" s="107" t="s">
        <v>499</v>
      </c>
      <c r="B55" s="306"/>
      <c r="C55" s="306"/>
      <c r="D55" s="306"/>
      <c r="E55" s="306"/>
      <c r="F55" s="306"/>
      <c r="G55" s="306"/>
      <c r="H55" s="306">
        <v>0</v>
      </c>
      <c r="I55" s="306"/>
      <c r="J55" s="306"/>
      <c r="K55" s="306"/>
      <c r="L55" s="293"/>
      <c r="M55" s="293"/>
      <c r="N55" s="361"/>
      <c r="O55" s="306"/>
      <c r="P55" s="382">
        <v>-63132</v>
      </c>
      <c r="Q55" s="293"/>
      <c r="R55" s="293"/>
      <c r="S55" s="293"/>
      <c r="T55" s="293"/>
      <c r="U55" s="293"/>
      <c r="V55" s="306">
        <v>-63132</v>
      </c>
    </row>
    <row r="56" spans="1:22">
      <c r="A56" t="s">
        <v>491</v>
      </c>
      <c r="B56" s="268"/>
      <c r="C56" s="268"/>
      <c r="D56" s="268"/>
      <c r="E56" s="268"/>
      <c r="F56" s="268"/>
      <c r="G56" s="268"/>
      <c r="H56" s="268"/>
      <c r="I56" s="268"/>
      <c r="J56" s="268"/>
      <c r="K56" s="268"/>
      <c r="L56" s="292"/>
      <c r="M56" s="296">
        <v>10257</v>
      </c>
      <c r="N56" s="360"/>
      <c r="O56" s="268"/>
      <c r="P56" s="312"/>
      <c r="Q56" s="292"/>
      <c r="R56" s="292"/>
      <c r="S56" s="292"/>
      <c r="T56" s="292"/>
      <c r="U56" s="296">
        <v>10257</v>
      </c>
      <c r="V56" s="268"/>
    </row>
    <row r="57" spans="1:22">
      <c r="A57" t="s">
        <v>493</v>
      </c>
      <c r="B57" s="306"/>
      <c r="C57" s="306"/>
      <c r="D57" s="306">
        <v>200</v>
      </c>
      <c r="E57" s="306"/>
      <c r="F57" s="306"/>
      <c r="G57" s="306"/>
      <c r="H57" s="306"/>
      <c r="I57" s="306"/>
      <c r="J57" s="306"/>
      <c r="K57" s="306"/>
      <c r="L57" s="293"/>
      <c r="M57" s="293"/>
      <c r="N57" s="361"/>
      <c r="O57" s="306"/>
      <c r="P57" s="314"/>
      <c r="Q57" s="293"/>
      <c r="R57" s="293"/>
      <c r="S57" s="293"/>
      <c r="T57" s="293"/>
      <c r="U57" s="293"/>
      <c r="V57" s="306"/>
    </row>
    <row r="58" spans="1:22">
      <c r="A58" t="s">
        <v>284</v>
      </c>
      <c r="B58" s="305"/>
      <c r="C58" s="305"/>
      <c r="D58" s="305">
        <v>0</v>
      </c>
      <c r="E58" s="305"/>
      <c r="F58" s="305"/>
      <c r="G58" s="305"/>
      <c r="H58" s="305">
        <v>1063</v>
      </c>
      <c r="I58" s="305"/>
      <c r="J58" s="305">
        <v>887485</v>
      </c>
      <c r="K58" s="305"/>
      <c r="L58" s="291"/>
      <c r="M58" s="291"/>
      <c r="N58" s="357">
        <v>1170078</v>
      </c>
      <c r="O58" s="305"/>
      <c r="P58" s="310">
        <v>-1765641</v>
      </c>
      <c r="Q58" s="291"/>
      <c r="R58" s="298">
        <v>-982</v>
      </c>
      <c r="S58" s="291"/>
      <c r="T58" s="291"/>
      <c r="U58" s="291"/>
      <c r="V58" s="305">
        <v>292003</v>
      </c>
    </row>
    <row r="59" spans="1:22">
      <c r="A59" t="s">
        <v>285</v>
      </c>
      <c r="B59" s="305"/>
      <c r="C59" s="305"/>
      <c r="D59" s="305">
        <v>0</v>
      </c>
      <c r="E59" s="305"/>
      <c r="F59" s="305"/>
      <c r="G59" s="305"/>
      <c r="H59" s="305">
        <v>106323</v>
      </c>
      <c r="I59" s="305"/>
      <c r="J59" s="305"/>
      <c r="K59" s="305"/>
      <c r="L59" s="291"/>
      <c r="M59" s="291"/>
      <c r="N59" s="359"/>
      <c r="O59" s="305"/>
      <c r="P59" s="310"/>
      <c r="Q59" s="291"/>
      <c r="R59" s="291"/>
      <c r="S59" s="291"/>
      <c r="T59" s="291"/>
      <c r="U59" s="291"/>
      <c r="V59" s="305"/>
    </row>
    <row r="60" spans="1:22">
      <c r="A60" t="s">
        <v>270</v>
      </c>
      <c r="B60" s="268"/>
      <c r="C60" s="268"/>
      <c r="D60" s="268"/>
      <c r="E60" s="268"/>
      <c r="F60" s="268"/>
      <c r="G60" s="268"/>
      <c r="H60" s="268"/>
      <c r="I60" s="268"/>
      <c r="J60" s="268"/>
      <c r="K60" s="268"/>
      <c r="L60" s="292"/>
      <c r="M60" s="292"/>
      <c r="N60" s="360"/>
      <c r="O60" s="268"/>
      <c r="P60" s="312"/>
      <c r="Q60" s="292"/>
      <c r="R60" s="292"/>
      <c r="S60" s="292"/>
      <c r="T60" s="292"/>
      <c r="U60" s="292"/>
      <c r="V60" s="268"/>
    </row>
    <row r="61" spans="1:22" ht="15" thickBot="1">
      <c r="A61" t="s">
        <v>487</v>
      </c>
      <c r="B61" s="390"/>
      <c r="C61" s="390"/>
      <c r="D61" s="390">
        <v>0</v>
      </c>
      <c r="E61" s="390"/>
      <c r="F61" s="390"/>
      <c r="G61" s="390"/>
      <c r="H61" s="390">
        <v>1063</v>
      </c>
      <c r="I61" s="390"/>
      <c r="J61" s="390">
        <v>887485</v>
      </c>
      <c r="K61" s="390"/>
      <c r="L61" s="385"/>
      <c r="M61" s="385"/>
      <c r="N61" s="416">
        <v>1170078</v>
      </c>
      <c r="O61" s="390"/>
      <c r="P61" s="395">
        <v>-1765641</v>
      </c>
      <c r="Q61" s="385"/>
      <c r="R61" s="386">
        <v>-982</v>
      </c>
      <c r="S61" s="385"/>
      <c r="T61" s="385"/>
      <c r="U61" s="385"/>
      <c r="V61" s="390">
        <v>292003</v>
      </c>
    </row>
  </sheetData>
  <mergeCells count="5">
    <mergeCell ref="T1:T3"/>
    <mergeCell ref="U1:U3"/>
    <mergeCell ref="N1:N3"/>
    <mergeCell ref="R1:R3"/>
    <mergeCell ref="S1:S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A4B2-9F34-4443-888A-CF001B63075D}">
  <sheetPr>
    <tabColor rgb="FF92D050"/>
  </sheetPr>
  <dimension ref="A1:P198"/>
  <sheetViews>
    <sheetView zoomScale="70" zoomScaleNormal="70" workbookViewId="0">
      <selection activeCell="A78" sqref="A78"/>
    </sheetView>
  </sheetViews>
  <sheetFormatPr defaultRowHeight="14.5"/>
  <cols>
    <col min="1" max="1" width="74.7265625" bestFit="1" customWidth="1"/>
    <col min="2" max="2" width="11.7265625" style="246" bestFit="1" customWidth="1"/>
    <col min="3" max="3" width="18.453125" style="257" bestFit="1" customWidth="1"/>
    <col min="4" max="4" width="13.81640625" style="257" bestFit="1" customWidth="1"/>
    <col min="5" max="5" width="11.453125" style="257" bestFit="1" customWidth="1"/>
    <col min="6" max="6" width="36.1796875" style="257" bestFit="1" customWidth="1"/>
    <col min="7" max="7" width="11.7265625" style="54" bestFit="1" customWidth="1"/>
    <col min="10" max="10" width="73.6328125" bestFit="1" customWidth="1"/>
    <col min="11" max="12" width="8.7265625" style="270"/>
    <col min="13" max="13" width="8.7265625" style="274"/>
    <col min="14" max="15" width="8.7265625" style="270"/>
  </cols>
  <sheetData>
    <row r="1" spans="1:16" ht="105" customHeight="1">
      <c r="A1" s="261" t="s">
        <v>457</v>
      </c>
      <c r="B1" s="467" t="s">
        <v>255</v>
      </c>
      <c r="C1" s="469" t="s">
        <v>257</v>
      </c>
      <c r="D1" s="469" t="s">
        <v>260</v>
      </c>
      <c r="E1" s="469" t="s">
        <v>262</v>
      </c>
      <c r="F1" s="469" t="s">
        <v>459</v>
      </c>
      <c r="G1" s="471" t="s">
        <v>267</v>
      </c>
      <c r="J1" s="464" t="s">
        <v>472</v>
      </c>
      <c r="K1" s="460" t="s">
        <v>473</v>
      </c>
      <c r="L1" s="460"/>
      <c r="M1" s="460"/>
      <c r="N1" s="460"/>
      <c r="O1" s="460"/>
      <c r="P1" s="466"/>
    </row>
    <row r="2" spans="1:16" ht="21">
      <c r="A2" s="262" t="s">
        <v>458</v>
      </c>
      <c r="B2" s="468"/>
      <c r="C2" s="470"/>
      <c r="D2" s="470"/>
      <c r="E2" s="470"/>
      <c r="F2" s="470"/>
      <c r="G2" s="472"/>
      <c r="J2" s="465"/>
      <c r="K2" s="267" t="s">
        <v>474</v>
      </c>
      <c r="L2" s="267" t="s">
        <v>51</v>
      </c>
      <c r="M2" s="271" t="s">
        <v>475</v>
      </c>
      <c r="N2" s="267" t="s">
        <v>476</v>
      </c>
      <c r="O2" s="267" t="s">
        <v>216</v>
      </c>
      <c r="P2" s="264" t="s">
        <v>477</v>
      </c>
    </row>
    <row r="3" spans="1:16">
      <c r="A3" t="s">
        <v>460</v>
      </c>
      <c r="B3" s="247">
        <v>1063</v>
      </c>
      <c r="C3" s="250">
        <v>887485</v>
      </c>
      <c r="D3" s="250">
        <v>1170078</v>
      </c>
      <c r="E3" s="260">
        <v>-1765641</v>
      </c>
      <c r="F3" s="260">
        <v>-982</v>
      </c>
      <c r="G3" s="278">
        <v>292003</v>
      </c>
      <c r="J3" s="263" t="s">
        <v>478</v>
      </c>
      <c r="K3" s="268"/>
      <c r="L3" s="268"/>
      <c r="M3" s="272"/>
      <c r="N3" s="268"/>
      <c r="O3" s="268"/>
      <c r="P3" s="241"/>
    </row>
    <row r="4" spans="1:16" ht="15" thickBot="1">
      <c r="A4" t="s">
        <v>461</v>
      </c>
      <c r="B4" s="247">
        <v>106323</v>
      </c>
      <c r="C4" s="251"/>
      <c r="D4" s="251"/>
      <c r="E4" s="251"/>
      <c r="F4" s="251"/>
      <c r="G4" s="279"/>
      <c r="J4" s="266" t="s">
        <v>479</v>
      </c>
      <c r="K4" s="269">
        <v>0.27</v>
      </c>
      <c r="L4" s="269">
        <v>0.27</v>
      </c>
      <c r="M4" s="273">
        <v>0.27</v>
      </c>
      <c r="N4" s="269">
        <v>0.27</v>
      </c>
      <c r="O4" s="269">
        <v>0.27</v>
      </c>
      <c r="P4" s="265">
        <v>0.27</v>
      </c>
    </row>
    <row r="5" spans="1:16">
      <c r="A5" t="s">
        <v>270</v>
      </c>
      <c r="B5" s="243"/>
      <c r="C5" s="252"/>
      <c r="D5" s="252"/>
      <c r="E5" s="252"/>
      <c r="F5" s="252"/>
      <c r="G5" s="280"/>
    </row>
    <row r="6" spans="1:16">
      <c r="A6" t="s">
        <v>66</v>
      </c>
      <c r="B6" s="244"/>
      <c r="C6" s="253"/>
      <c r="D6" s="255">
        <v>28050</v>
      </c>
      <c r="E6" s="253"/>
      <c r="F6" s="253"/>
      <c r="G6" s="281">
        <v>28050</v>
      </c>
    </row>
    <row r="7" spans="1:16">
      <c r="A7" t="s">
        <v>206</v>
      </c>
      <c r="B7" s="243"/>
      <c r="C7" s="252"/>
      <c r="D7" s="252"/>
      <c r="E7" s="252"/>
      <c r="F7" s="254">
        <v>147</v>
      </c>
      <c r="G7" s="282">
        <v>147</v>
      </c>
    </row>
    <row r="8" spans="1:16">
      <c r="A8" s="412" t="s">
        <v>521</v>
      </c>
      <c r="B8" s="244"/>
      <c r="C8" s="253"/>
      <c r="D8" s="417">
        <v>-13929</v>
      </c>
      <c r="E8" s="253"/>
      <c r="F8" s="253"/>
      <c r="G8" s="283">
        <v>-13929</v>
      </c>
    </row>
    <row r="9" spans="1:16">
      <c r="A9" t="s">
        <v>182</v>
      </c>
      <c r="B9" s="245">
        <v>6</v>
      </c>
      <c r="C9" s="254">
        <v>5938</v>
      </c>
      <c r="D9" s="252"/>
      <c r="E9" s="252"/>
      <c r="F9" s="252"/>
      <c r="G9" s="282">
        <v>5944</v>
      </c>
    </row>
    <row r="10" spans="1:16">
      <c r="A10" t="s">
        <v>273</v>
      </c>
      <c r="B10" s="248">
        <v>628</v>
      </c>
      <c r="C10" s="253"/>
      <c r="D10" s="253"/>
      <c r="E10" s="253"/>
      <c r="F10" s="253"/>
      <c r="G10" s="284"/>
    </row>
    <row r="11" spans="1:16">
      <c r="A11" s="107" t="s">
        <v>500</v>
      </c>
      <c r="B11" s="243"/>
      <c r="C11" s="252"/>
      <c r="D11" s="252"/>
      <c r="E11" s="275">
        <v>-12376</v>
      </c>
      <c r="F11" s="252"/>
      <c r="G11" s="285">
        <v>-12376</v>
      </c>
    </row>
    <row r="12" spans="1:16">
      <c r="A12" t="s">
        <v>462</v>
      </c>
      <c r="B12" s="247">
        <v>1069</v>
      </c>
      <c r="C12" s="250">
        <v>893423</v>
      </c>
      <c r="D12" s="250">
        <v>1184199</v>
      </c>
      <c r="E12" s="260">
        <v>-1778017</v>
      </c>
      <c r="F12" s="260">
        <v>-835</v>
      </c>
      <c r="G12" s="278">
        <v>299839</v>
      </c>
    </row>
    <row r="13" spans="1:16">
      <c r="A13" t="s">
        <v>463</v>
      </c>
      <c r="B13" s="247">
        <v>106951</v>
      </c>
      <c r="C13" s="251"/>
      <c r="D13" s="251"/>
      <c r="E13" s="251"/>
      <c r="F13" s="251"/>
      <c r="G13" s="279"/>
    </row>
    <row r="14" spans="1:16">
      <c r="A14" t="s">
        <v>460</v>
      </c>
      <c r="B14" s="247">
        <v>1063</v>
      </c>
      <c r="C14" s="250">
        <v>887485</v>
      </c>
      <c r="D14" s="250">
        <v>1170078</v>
      </c>
      <c r="E14" s="260">
        <v>-1765641</v>
      </c>
      <c r="F14" s="260">
        <v>-982</v>
      </c>
      <c r="G14" s="278">
        <v>292003</v>
      </c>
    </row>
    <row r="15" spans="1:16">
      <c r="A15" t="s">
        <v>461</v>
      </c>
      <c r="B15" s="247">
        <v>106323</v>
      </c>
      <c r="C15" s="251"/>
      <c r="D15" s="251"/>
      <c r="E15" s="251"/>
      <c r="F15" s="251"/>
      <c r="G15" s="279"/>
    </row>
    <row r="16" spans="1:16">
      <c r="A16" t="s">
        <v>270</v>
      </c>
      <c r="B16" s="244"/>
      <c r="C16" s="253"/>
      <c r="D16" s="253"/>
      <c r="E16" s="253"/>
      <c r="F16" s="253"/>
      <c r="G16" s="284"/>
    </row>
    <row r="17" spans="1:7">
      <c r="A17" t="s">
        <v>66</v>
      </c>
      <c r="B17" s="243"/>
      <c r="C17" s="252"/>
      <c r="D17" s="252"/>
      <c r="E17" s="252"/>
      <c r="F17" s="252"/>
      <c r="G17" s="282">
        <v>88670</v>
      </c>
    </row>
    <row r="18" spans="1:7">
      <c r="A18" t="s">
        <v>206</v>
      </c>
      <c r="B18" s="244"/>
      <c r="C18" s="253"/>
      <c r="D18" s="253"/>
      <c r="E18" s="253"/>
      <c r="F18" s="253"/>
      <c r="G18" s="283">
        <v>-84</v>
      </c>
    </row>
    <row r="19" spans="1:7">
      <c r="A19" t="s">
        <v>464</v>
      </c>
      <c r="B19" s="247">
        <v>1071</v>
      </c>
      <c r="C19" s="250">
        <v>906458</v>
      </c>
      <c r="D19" s="250">
        <v>1217271</v>
      </c>
      <c r="E19" s="260">
        <v>-1802090</v>
      </c>
      <c r="F19" s="260">
        <v>-1066</v>
      </c>
      <c r="G19" s="278">
        <v>321644</v>
      </c>
    </row>
    <row r="20" spans="1:7">
      <c r="A20" t="s">
        <v>465</v>
      </c>
      <c r="B20" s="247">
        <v>107098</v>
      </c>
      <c r="C20" s="251"/>
      <c r="D20" s="251"/>
      <c r="E20" s="251"/>
      <c r="F20" s="251"/>
      <c r="G20" s="279"/>
    </row>
    <row r="21" spans="1:7">
      <c r="A21" t="s">
        <v>466</v>
      </c>
      <c r="B21" s="247">
        <v>1069</v>
      </c>
      <c r="C21" s="250">
        <v>893423</v>
      </c>
      <c r="D21" s="250">
        <v>1184199</v>
      </c>
      <c r="E21" s="260">
        <v>-1778017</v>
      </c>
      <c r="F21" s="260">
        <v>-835</v>
      </c>
      <c r="G21" s="278">
        <v>299839</v>
      </c>
    </row>
    <row r="22" spans="1:7">
      <c r="A22" t="s">
        <v>467</v>
      </c>
      <c r="B22" s="247">
        <v>106951</v>
      </c>
      <c r="C22" s="251"/>
      <c r="D22" s="251"/>
      <c r="E22" s="251"/>
      <c r="F22" s="251"/>
      <c r="G22" s="279"/>
    </row>
    <row r="23" spans="1:7">
      <c r="A23" t="s">
        <v>270</v>
      </c>
      <c r="B23" s="243"/>
      <c r="C23" s="252"/>
      <c r="D23" s="252"/>
      <c r="E23" s="252"/>
      <c r="F23" s="252"/>
      <c r="G23" s="280"/>
    </row>
    <row r="24" spans="1:7">
      <c r="A24" t="s">
        <v>66</v>
      </c>
      <c r="B24" s="244"/>
      <c r="C24" s="253"/>
      <c r="D24" s="255">
        <v>42675</v>
      </c>
      <c r="E24" s="253"/>
      <c r="F24" s="253"/>
      <c r="G24" s="281">
        <v>42675</v>
      </c>
    </row>
    <row r="25" spans="1:7">
      <c r="A25" t="s">
        <v>206</v>
      </c>
      <c r="B25" s="243"/>
      <c r="C25" s="252"/>
      <c r="D25" s="252"/>
      <c r="E25" s="252"/>
      <c r="F25" s="254">
        <v>180</v>
      </c>
      <c r="G25" s="282">
        <v>180</v>
      </c>
    </row>
    <row r="26" spans="1:7">
      <c r="A26" s="412" t="s">
        <v>521</v>
      </c>
      <c r="B26" s="244"/>
      <c r="C26" s="253"/>
      <c r="D26" s="417">
        <v>-13759</v>
      </c>
      <c r="E26" s="253"/>
      <c r="F26" s="253"/>
      <c r="G26" s="283">
        <v>-13759</v>
      </c>
    </row>
    <row r="27" spans="1:7">
      <c r="A27" t="s">
        <v>182</v>
      </c>
      <c r="B27" s="245">
        <v>1</v>
      </c>
      <c r="C27" s="254">
        <v>6369</v>
      </c>
      <c r="D27" s="252"/>
      <c r="E27" s="252"/>
      <c r="F27" s="252"/>
      <c r="G27" s="282">
        <v>6370</v>
      </c>
    </row>
    <row r="28" spans="1:7">
      <c r="A28" t="s">
        <v>273</v>
      </c>
      <c r="B28" s="248">
        <v>92</v>
      </c>
      <c r="C28" s="253"/>
      <c r="D28" s="253"/>
      <c r="E28" s="253"/>
      <c r="F28" s="253"/>
      <c r="G28" s="284"/>
    </row>
    <row r="29" spans="1:7">
      <c r="A29" s="107" t="s">
        <v>501</v>
      </c>
      <c r="B29" s="243"/>
      <c r="C29" s="252"/>
      <c r="D29" s="252"/>
      <c r="E29" s="275">
        <v>-9402</v>
      </c>
      <c r="F29" s="252"/>
      <c r="G29" s="285">
        <v>-9402</v>
      </c>
    </row>
    <row r="30" spans="1:7">
      <c r="A30" t="s">
        <v>468</v>
      </c>
      <c r="B30" s="247">
        <v>1070</v>
      </c>
      <c r="C30" s="250">
        <v>899792</v>
      </c>
      <c r="D30" s="250">
        <v>1213115</v>
      </c>
      <c r="E30" s="260">
        <v>-1787419</v>
      </c>
      <c r="F30" s="260">
        <v>-655</v>
      </c>
      <c r="G30" s="278">
        <v>325903</v>
      </c>
    </row>
    <row r="31" spans="1:7">
      <c r="A31" t="s">
        <v>469</v>
      </c>
      <c r="B31" s="247">
        <v>107043</v>
      </c>
      <c r="C31" s="251"/>
      <c r="D31" s="251"/>
      <c r="E31" s="251"/>
      <c r="F31" s="251"/>
      <c r="G31" s="279"/>
    </row>
    <row r="32" spans="1:7">
      <c r="A32" t="s">
        <v>270</v>
      </c>
      <c r="B32" s="244"/>
      <c r="C32" s="253"/>
      <c r="D32" s="253"/>
      <c r="E32" s="253"/>
      <c r="F32" s="253"/>
      <c r="G32" s="284"/>
    </row>
    <row r="33" spans="1:7">
      <c r="A33" t="s">
        <v>66</v>
      </c>
      <c r="B33" s="243"/>
      <c r="C33" s="252"/>
      <c r="D33" s="254">
        <v>17945</v>
      </c>
      <c r="E33" s="252"/>
      <c r="F33" s="252"/>
      <c r="G33" s="282">
        <v>17945</v>
      </c>
    </row>
    <row r="34" spans="1:7">
      <c r="A34" t="s">
        <v>206</v>
      </c>
      <c r="B34" s="244"/>
      <c r="C34" s="253"/>
      <c r="D34" s="253"/>
      <c r="E34" s="253"/>
      <c r="F34" s="258">
        <v>-411</v>
      </c>
      <c r="G34" s="283">
        <v>-411</v>
      </c>
    </row>
    <row r="35" spans="1:7">
      <c r="A35" s="412" t="s">
        <v>521</v>
      </c>
      <c r="B35" s="243"/>
      <c r="C35" s="252"/>
      <c r="D35" s="417">
        <v>-13789</v>
      </c>
      <c r="E35" s="252"/>
      <c r="F35" s="252"/>
      <c r="G35" s="285">
        <v>-13789</v>
      </c>
    </row>
    <row r="36" spans="1:7">
      <c r="A36" t="s">
        <v>182</v>
      </c>
      <c r="B36" s="248">
        <v>1</v>
      </c>
      <c r="C36" s="255">
        <v>6666</v>
      </c>
      <c r="D36" s="253"/>
      <c r="E36" s="253"/>
      <c r="F36" s="253"/>
      <c r="G36" s="281">
        <v>6667</v>
      </c>
    </row>
    <row r="37" spans="1:7">
      <c r="A37" t="s">
        <v>273</v>
      </c>
      <c r="B37" s="245">
        <v>55</v>
      </c>
      <c r="C37" s="252"/>
      <c r="D37" s="252"/>
      <c r="E37" s="252"/>
      <c r="F37" s="252"/>
      <c r="G37" s="280"/>
    </row>
    <row r="38" spans="1:7">
      <c r="A38" s="107" t="s">
        <v>502</v>
      </c>
      <c r="B38" s="244"/>
      <c r="C38" s="253"/>
      <c r="D38" s="253"/>
      <c r="E38" s="275">
        <v>-14671</v>
      </c>
      <c r="F38" s="253"/>
      <c r="G38" s="283">
        <v>-14671</v>
      </c>
    </row>
    <row r="39" spans="1:7">
      <c r="A39" t="s">
        <v>464</v>
      </c>
      <c r="B39" s="247">
        <v>1071</v>
      </c>
      <c r="C39" s="250">
        <v>906458</v>
      </c>
      <c r="D39" s="250">
        <v>1217271</v>
      </c>
      <c r="E39" s="260">
        <v>-1802090</v>
      </c>
      <c r="F39" s="260">
        <v>-1066</v>
      </c>
      <c r="G39" s="278">
        <v>321644</v>
      </c>
    </row>
    <row r="40" spans="1:7">
      <c r="A40" t="s">
        <v>465</v>
      </c>
      <c r="B40" s="247">
        <v>107098</v>
      </c>
      <c r="C40" s="251"/>
      <c r="D40" s="251"/>
      <c r="F40" s="251"/>
      <c r="G40" s="279"/>
    </row>
    <row r="41" spans="1:7">
      <c r="A41" s="398" t="s">
        <v>503</v>
      </c>
      <c r="B41" s="247"/>
      <c r="C41" s="251"/>
      <c r="D41" s="251"/>
      <c r="E41" s="397">
        <f>E42-E39</f>
        <v>-9907</v>
      </c>
      <c r="F41" s="251"/>
      <c r="G41" s="279"/>
    </row>
    <row r="42" spans="1:7">
      <c r="A42" t="s">
        <v>290</v>
      </c>
      <c r="B42" s="247">
        <v>1072</v>
      </c>
      <c r="C42" s="250">
        <v>913442</v>
      </c>
      <c r="D42" s="250">
        <v>1216239</v>
      </c>
      <c r="E42" s="260">
        <v>-1811997</v>
      </c>
      <c r="F42" s="260">
        <v>-694</v>
      </c>
      <c r="G42" s="278">
        <v>318062</v>
      </c>
    </row>
    <row r="43" spans="1:7">
      <c r="A43" t="s">
        <v>291</v>
      </c>
      <c r="B43" s="247">
        <v>107195</v>
      </c>
      <c r="C43" s="251"/>
      <c r="D43" s="251"/>
      <c r="E43" s="251"/>
      <c r="F43" s="251"/>
      <c r="G43" s="279"/>
    </row>
    <row r="44" spans="1:7">
      <c r="A44" t="s">
        <v>270</v>
      </c>
      <c r="B44" s="243"/>
      <c r="C44" s="252"/>
      <c r="D44" s="252"/>
      <c r="E44" s="252"/>
      <c r="F44" s="252"/>
      <c r="G44" s="280"/>
    </row>
    <row r="45" spans="1:7">
      <c r="A45" t="s">
        <v>66</v>
      </c>
      <c r="B45" s="244"/>
      <c r="C45" s="253"/>
      <c r="D45" s="255">
        <v>33191</v>
      </c>
      <c r="E45" s="253"/>
      <c r="F45" s="253"/>
      <c r="G45" s="281">
        <v>33191</v>
      </c>
    </row>
    <row r="46" spans="1:7">
      <c r="A46" t="s">
        <v>206</v>
      </c>
      <c r="B46" s="243"/>
      <c r="C46" s="252"/>
      <c r="D46" s="252"/>
      <c r="E46" s="252"/>
      <c r="F46" s="259">
        <v>-253</v>
      </c>
      <c r="G46" s="285">
        <v>-253</v>
      </c>
    </row>
    <row r="47" spans="1:7">
      <c r="A47" s="412" t="s">
        <v>522</v>
      </c>
      <c r="B47" s="244"/>
      <c r="C47" s="253"/>
      <c r="D47" s="417">
        <v>-13764</v>
      </c>
      <c r="E47" s="253"/>
      <c r="F47" s="253"/>
      <c r="G47" s="283">
        <v>-13764</v>
      </c>
    </row>
    <row r="48" spans="1:7">
      <c r="A48" t="s">
        <v>182</v>
      </c>
      <c r="B48" s="245">
        <v>7</v>
      </c>
      <c r="C48" s="254">
        <v>7691</v>
      </c>
      <c r="D48" s="252"/>
      <c r="E48" s="252"/>
      <c r="F48" s="252"/>
      <c r="G48" s="282">
        <v>7698</v>
      </c>
    </row>
    <row r="49" spans="1:7">
      <c r="A49" t="s">
        <v>273</v>
      </c>
      <c r="B49" s="248">
        <v>680</v>
      </c>
      <c r="C49" s="253"/>
      <c r="D49" s="253"/>
      <c r="E49" s="253"/>
      <c r="F49" s="253"/>
      <c r="G49" s="284"/>
    </row>
    <row r="50" spans="1:7">
      <c r="A50" s="107" t="s">
        <v>504</v>
      </c>
      <c r="B50" s="243"/>
      <c r="C50" s="252"/>
      <c r="D50" s="252"/>
      <c r="E50" s="275">
        <v>-12496</v>
      </c>
      <c r="F50" s="252"/>
      <c r="G50" s="285">
        <v>-12496</v>
      </c>
    </row>
    <row r="51" spans="1:7">
      <c r="A51" t="s">
        <v>294</v>
      </c>
      <c r="B51" s="247">
        <v>1079</v>
      </c>
      <c r="C51" s="250">
        <v>921133</v>
      </c>
      <c r="D51" s="250">
        <v>1235666</v>
      </c>
      <c r="E51" s="260">
        <v>-1824493</v>
      </c>
      <c r="F51" s="260">
        <v>-947</v>
      </c>
      <c r="G51" s="278">
        <v>332438</v>
      </c>
    </row>
    <row r="52" spans="1:7">
      <c r="A52" t="s">
        <v>295</v>
      </c>
      <c r="B52" s="247">
        <v>107875</v>
      </c>
      <c r="C52" s="251"/>
      <c r="D52" s="251"/>
      <c r="E52" s="251"/>
      <c r="F52" s="251"/>
      <c r="G52" s="279"/>
    </row>
    <row r="53" spans="1:7">
      <c r="A53" t="s">
        <v>290</v>
      </c>
      <c r="B53" s="247">
        <v>1072</v>
      </c>
      <c r="C53" s="250">
        <v>913442</v>
      </c>
      <c r="D53" s="250">
        <v>1216239</v>
      </c>
      <c r="E53" s="260">
        <v>-1811997</v>
      </c>
      <c r="F53" s="260">
        <v>-694</v>
      </c>
      <c r="G53" s="278">
        <v>318062</v>
      </c>
    </row>
    <row r="54" spans="1:7">
      <c r="A54" t="s">
        <v>291</v>
      </c>
      <c r="B54" s="276">
        <v>107195</v>
      </c>
      <c r="C54" s="277"/>
      <c r="D54" s="277"/>
      <c r="E54" s="277"/>
      <c r="F54" s="277"/>
      <c r="G54" s="286"/>
    </row>
    <row r="55" spans="1:7">
      <c r="A55" t="s">
        <v>270</v>
      </c>
      <c r="B55" s="244"/>
      <c r="C55" s="253"/>
      <c r="D55" s="253"/>
      <c r="E55" s="253"/>
      <c r="F55" s="253"/>
      <c r="G55" s="284"/>
    </row>
    <row r="56" spans="1:7">
      <c r="A56" t="s">
        <v>66</v>
      </c>
      <c r="B56" s="243"/>
      <c r="C56" s="252"/>
      <c r="D56" s="252"/>
      <c r="E56" s="252"/>
      <c r="F56" s="252"/>
      <c r="G56" s="282">
        <v>115629</v>
      </c>
    </row>
    <row r="57" spans="1:7">
      <c r="A57" t="s">
        <v>206</v>
      </c>
      <c r="B57" s="244"/>
      <c r="C57" s="253"/>
      <c r="D57" s="253"/>
      <c r="E57" s="253"/>
      <c r="F57" s="253"/>
      <c r="G57" s="283">
        <v>-200</v>
      </c>
    </row>
    <row r="58" spans="1:7">
      <c r="A58" s="399" t="s">
        <v>506</v>
      </c>
      <c r="B58" s="243"/>
      <c r="C58" s="252"/>
      <c r="D58" s="252"/>
      <c r="E58" s="252"/>
      <c r="F58" s="252"/>
      <c r="G58" s="287">
        <v>500</v>
      </c>
    </row>
    <row r="59" spans="1:7">
      <c r="A59" t="s">
        <v>470</v>
      </c>
      <c r="B59" s="247">
        <v>1080</v>
      </c>
      <c r="C59" s="250">
        <v>935093</v>
      </c>
      <c r="D59" s="250">
        <v>1290562</v>
      </c>
      <c r="E59" s="260">
        <v>-1829462</v>
      </c>
      <c r="F59" s="260">
        <v>-894</v>
      </c>
      <c r="G59" s="278">
        <v>396379</v>
      </c>
    </row>
    <row r="60" spans="1:7">
      <c r="A60" t="s">
        <v>471</v>
      </c>
      <c r="B60" s="247">
        <v>107983</v>
      </c>
      <c r="C60" s="251"/>
      <c r="D60" s="251"/>
      <c r="E60" s="251"/>
      <c r="F60" s="251"/>
      <c r="G60" s="279"/>
    </row>
    <row r="61" spans="1:7">
      <c r="A61" t="s">
        <v>299</v>
      </c>
      <c r="B61" s="247">
        <v>1079</v>
      </c>
      <c r="C61" s="250">
        <v>921133</v>
      </c>
      <c r="D61" s="250">
        <v>1235666</v>
      </c>
      <c r="E61" s="260">
        <v>-1824493</v>
      </c>
      <c r="F61" s="260">
        <v>-947</v>
      </c>
      <c r="G61" s="278">
        <v>332438</v>
      </c>
    </row>
    <row r="62" spans="1:7">
      <c r="A62" t="s">
        <v>300</v>
      </c>
      <c r="B62" s="247">
        <v>107875</v>
      </c>
      <c r="C62" s="251"/>
      <c r="D62" s="251"/>
      <c r="E62" s="251"/>
      <c r="F62" s="251"/>
      <c r="G62" s="279"/>
    </row>
    <row r="63" spans="1:7">
      <c r="A63" t="s">
        <v>270</v>
      </c>
      <c r="B63" s="244"/>
      <c r="C63" s="253"/>
      <c r="D63" s="253"/>
      <c r="E63" s="253"/>
      <c r="F63" s="253"/>
      <c r="G63" s="284"/>
    </row>
    <row r="64" spans="1:7">
      <c r="A64" t="s">
        <v>66</v>
      </c>
      <c r="B64" s="243"/>
      <c r="C64" s="252"/>
      <c r="D64" s="254">
        <v>52444</v>
      </c>
      <c r="E64" s="252"/>
      <c r="F64" s="252"/>
      <c r="G64" s="282">
        <v>52444</v>
      </c>
    </row>
    <row r="65" spans="1:15">
      <c r="A65" t="s">
        <v>206</v>
      </c>
      <c r="B65" s="244"/>
      <c r="C65" s="253"/>
      <c r="D65" s="253"/>
      <c r="E65" s="253"/>
      <c r="F65" s="258">
        <v>-124</v>
      </c>
      <c r="G65" s="283">
        <v>-124</v>
      </c>
    </row>
    <row r="66" spans="1:15">
      <c r="A66" s="412" t="s">
        <v>523</v>
      </c>
      <c r="B66" s="243"/>
      <c r="C66" s="252"/>
      <c r="D66" s="417">
        <v>-13771</v>
      </c>
      <c r="E66" s="252"/>
      <c r="F66" s="252"/>
      <c r="G66" s="285">
        <v>-13771</v>
      </c>
    </row>
    <row r="67" spans="1:15">
      <c r="A67" t="s">
        <v>182</v>
      </c>
      <c r="B67" s="248">
        <v>0</v>
      </c>
      <c r="C67" s="255">
        <v>6882</v>
      </c>
      <c r="D67" s="253"/>
      <c r="E67" s="253"/>
      <c r="F67" s="253"/>
      <c r="G67" s="281">
        <v>6882</v>
      </c>
    </row>
    <row r="68" spans="1:15">
      <c r="A68" t="s">
        <v>273</v>
      </c>
      <c r="B68" s="245">
        <v>42</v>
      </c>
      <c r="C68" s="252"/>
      <c r="D68" s="252"/>
      <c r="E68" s="252"/>
      <c r="F68" s="252"/>
      <c r="G68" s="280"/>
    </row>
    <row r="69" spans="1:15">
      <c r="A69" s="107" t="s">
        <v>505</v>
      </c>
      <c r="B69" s="244"/>
      <c r="C69" s="253"/>
      <c r="D69" s="253"/>
      <c r="E69" s="275">
        <v>-3889</v>
      </c>
      <c r="F69" s="253"/>
      <c r="G69" s="283">
        <v>-3889</v>
      </c>
    </row>
    <row r="70" spans="1:15">
      <c r="A70" t="s">
        <v>297</v>
      </c>
      <c r="B70" s="247">
        <v>1079</v>
      </c>
      <c r="C70" s="250">
        <v>928015</v>
      </c>
      <c r="D70" s="250">
        <v>1274339</v>
      </c>
      <c r="E70" s="260">
        <v>-1828382</v>
      </c>
      <c r="F70" s="260">
        <v>-1071</v>
      </c>
      <c r="G70" s="278">
        <v>373980</v>
      </c>
    </row>
    <row r="71" spans="1:15" s="112" customFormat="1">
      <c r="B71" s="418"/>
      <c r="C71" s="419"/>
      <c r="D71" s="419"/>
      <c r="E71" s="420"/>
      <c r="F71" s="420"/>
      <c r="G71" s="421"/>
      <c r="K71" s="422"/>
      <c r="L71" s="422"/>
      <c r="M71" s="423"/>
      <c r="N71" s="422"/>
      <c r="O71" s="422"/>
    </row>
    <row r="72" spans="1:15" s="112" customFormat="1">
      <c r="B72" s="418"/>
      <c r="C72" s="419"/>
      <c r="D72" s="419"/>
      <c r="E72" s="420"/>
      <c r="F72" s="420"/>
      <c r="G72" s="421"/>
      <c r="K72" s="422"/>
      <c r="L72" s="422"/>
      <c r="M72" s="423"/>
      <c r="N72" s="422"/>
      <c r="O72" s="422"/>
    </row>
    <row r="73" spans="1:15">
      <c r="A73" t="s">
        <v>298</v>
      </c>
      <c r="B73" s="247">
        <v>107917</v>
      </c>
      <c r="C73" s="251"/>
      <c r="D73" s="251"/>
      <c r="E73" s="251"/>
      <c r="F73" s="251"/>
      <c r="G73" s="279"/>
    </row>
    <row r="74" spans="1:15">
      <c r="A74" t="s">
        <v>270</v>
      </c>
      <c r="B74" s="243"/>
      <c r="C74" s="252"/>
      <c r="D74" s="252"/>
      <c r="E74" s="252"/>
      <c r="F74" s="252"/>
      <c r="G74" s="280"/>
    </row>
    <row r="75" spans="1:15">
      <c r="A75" t="s">
        <v>66</v>
      </c>
      <c r="B75" s="244"/>
      <c r="C75" s="253"/>
      <c r="D75" s="255">
        <v>29994</v>
      </c>
      <c r="E75" s="253"/>
      <c r="F75" s="253"/>
      <c r="G75" s="281">
        <v>29994</v>
      </c>
    </row>
    <row r="76" spans="1:15">
      <c r="A76" t="s">
        <v>206</v>
      </c>
      <c r="B76" s="243"/>
      <c r="C76" s="252"/>
      <c r="D76" s="252"/>
      <c r="E76" s="252"/>
      <c r="F76" s="254">
        <v>177</v>
      </c>
      <c r="G76" s="282">
        <v>177</v>
      </c>
    </row>
    <row r="77" spans="1:15">
      <c r="A77" s="412" t="s">
        <v>524</v>
      </c>
      <c r="B77" s="244"/>
      <c r="C77" s="253"/>
      <c r="D77" s="417">
        <v>-13771</v>
      </c>
      <c r="E77" s="253"/>
      <c r="F77" s="253"/>
      <c r="G77" s="283">
        <v>-13771</v>
      </c>
    </row>
    <row r="78" spans="1:15">
      <c r="A78" t="s">
        <v>182</v>
      </c>
      <c r="B78" s="245">
        <v>1</v>
      </c>
      <c r="C78" s="254">
        <v>7078</v>
      </c>
      <c r="D78" s="252"/>
      <c r="E78" s="252"/>
      <c r="F78" s="252"/>
      <c r="G78" s="282">
        <v>7079</v>
      </c>
    </row>
    <row r="79" spans="1:15">
      <c r="A79" t="s">
        <v>273</v>
      </c>
      <c r="B79" s="248">
        <v>66</v>
      </c>
      <c r="C79" s="253"/>
      <c r="D79" s="253"/>
      <c r="E79" s="253"/>
      <c r="F79" s="253"/>
      <c r="G79" s="284"/>
    </row>
    <row r="80" spans="1:15">
      <c r="A80" s="107" t="s">
        <v>507</v>
      </c>
      <c r="B80" s="243"/>
      <c r="C80" s="252"/>
      <c r="D80" s="252"/>
      <c r="E80" s="275">
        <v>-1080</v>
      </c>
      <c r="F80" s="252"/>
      <c r="G80" s="285">
        <v>-1080</v>
      </c>
    </row>
    <row r="81" spans="1:7">
      <c r="A81" s="399" t="s">
        <v>508</v>
      </c>
      <c r="B81" s="244"/>
      <c r="C81" s="253"/>
      <c r="D81" s="253"/>
      <c r="E81" s="253"/>
      <c r="F81" s="253"/>
      <c r="G81" s="287">
        <v>29450</v>
      </c>
    </row>
    <row r="82" spans="1:7">
      <c r="A82" t="s">
        <v>470</v>
      </c>
      <c r="B82" s="247">
        <v>1080</v>
      </c>
      <c r="C82" s="250">
        <v>935093</v>
      </c>
      <c r="D82" s="250">
        <v>1290562</v>
      </c>
      <c r="E82" s="260">
        <v>-1829462</v>
      </c>
      <c r="F82" s="260">
        <v>-894</v>
      </c>
      <c r="G82" s="278">
        <v>396379</v>
      </c>
    </row>
    <row r="83" spans="1:7" ht="15" thickBot="1">
      <c r="A83" t="s">
        <v>471</v>
      </c>
      <c r="B83" s="249">
        <v>107983</v>
      </c>
      <c r="C83" s="256"/>
      <c r="D83" s="256"/>
      <c r="E83" s="256"/>
      <c r="F83" s="256"/>
      <c r="G83" s="288"/>
    </row>
    <row r="84" spans="1:7">
      <c r="A84" s="239"/>
    </row>
    <row r="85" spans="1:7">
      <c r="A85" s="238"/>
    </row>
    <row r="86" spans="1:7">
      <c r="A86" s="239"/>
    </row>
    <row r="87" spans="1:7">
      <c r="A87" s="238"/>
    </row>
    <row r="88" spans="1:7">
      <c r="A88" s="240"/>
    </row>
    <row r="89" spans="1:7">
      <c r="A89" s="238"/>
    </row>
    <row r="90" spans="1:7">
      <c r="A90" s="239"/>
    </row>
    <row r="91" spans="1:7">
      <c r="A91" s="238"/>
    </row>
    <row r="92" spans="1:7">
      <c r="A92" s="240"/>
    </row>
    <row r="93" spans="1:7">
      <c r="A93" s="240"/>
    </row>
    <row r="94" spans="1:7">
      <c r="A94" s="240"/>
    </row>
    <row r="95" spans="1:7">
      <c r="A95" s="239"/>
    </row>
    <row r="96" spans="1:7">
      <c r="A96" s="240"/>
    </row>
    <row r="97" spans="1:1">
      <c r="A97" s="240"/>
    </row>
    <row r="98" spans="1:1">
      <c r="A98" s="239"/>
    </row>
    <row r="99" spans="1:1">
      <c r="A99" s="238"/>
    </row>
    <row r="100" spans="1:1">
      <c r="A100" s="240"/>
    </row>
    <row r="101" spans="1:1">
      <c r="A101" s="240"/>
    </row>
    <row r="102" spans="1:1">
      <c r="A102" s="240"/>
    </row>
    <row r="103" spans="1:1">
      <c r="A103" s="240"/>
    </row>
    <row r="104" spans="1:1">
      <c r="A104" s="240"/>
    </row>
    <row r="105" spans="1:1">
      <c r="A105" s="240"/>
    </row>
    <row r="106" spans="1:1">
      <c r="A106" s="240"/>
    </row>
    <row r="107" spans="1:1">
      <c r="A107" s="238"/>
    </row>
    <row r="108" spans="1:1">
      <c r="A108" s="240"/>
    </row>
    <row r="109" spans="1:1">
      <c r="A109" s="240"/>
    </row>
    <row r="110" spans="1:1">
      <c r="A110" s="240"/>
    </row>
    <row r="111" spans="1:1">
      <c r="A111" s="239"/>
    </row>
    <row r="112" spans="1:1">
      <c r="A112" s="240"/>
    </row>
    <row r="113" spans="1:1">
      <c r="A113" s="240"/>
    </row>
    <row r="114" spans="1:1">
      <c r="A114" s="239"/>
    </row>
    <row r="115" spans="1:1">
      <c r="A115" s="238"/>
    </row>
    <row r="116" spans="1:1">
      <c r="A116" s="240"/>
    </row>
    <row r="117" spans="1:1">
      <c r="A117" s="240"/>
    </row>
    <row r="118" spans="1:1">
      <c r="A118" s="239"/>
    </row>
    <row r="119" spans="1:1">
      <c r="A119" s="240"/>
    </row>
    <row r="120" spans="1:1">
      <c r="A120" s="240"/>
    </row>
    <row r="121" spans="1:1">
      <c r="A121" s="240"/>
    </row>
    <row r="122" spans="1:1">
      <c r="A122" s="239"/>
    </row>
    <row r="123" spans="1:1">
      <c r="A123" s="238"/>
    </row>
    <row r="124" spans="1:1">
      <c r="A124" s="240"/>
    </row>
    <row r="125" spans="1:1">
      <c r="A125" s="240"/>
    </row>
    <row r="126" spans="1:1">
      <c r="A126" s="240"/>
    </row>
    <row r="127" spans="1:1">
      <c r="A127" s="240"/>
    </row>
    <row r="128" spans="1:1">
      <c r="A128" s="239"/>
    </row>
    <row r="129" spans="1:1">
      <c r="A129" s="240"/>
    </row>
    <row r="130" spans="1:1">
      <c r="A130" s="239"/>
    </row>
    <row r="131" spans="1:1">
      <c r="A131" s="238"/>
    </row>
    <row r="132" spans="1:1">
      <c r="A132" s="239"/>
    </row>
    <row r="133" spans="1:1">
      <c r="A133" s="238"/>
    </row>
    <row r="134" spans="1:1">
      <c r="A134" s="239"/>
    </row>
    <row r="135" spans="1:1">
      <c r="A135" s="238"/>
    </row>
    <row r="136" spans="1:1">
      <c r="A136" s="239"/>
    </row>
    <row r="137" spans="1:1">
      <c r="A137" s="238"/>
    </row>
    <row r="138" spans="1:1">
      <c r="A138" s="239"/>
    </row>
    <row r="139" spans="1:1">
      <c r="A139" s="238"/>
    </row>
    <row r="140" spans="1:1">
      <c r="A140" s="239"/>
    </row>
    <row r="141" spans="1:1">
      <c r="A141" s="238"/>
    </row>
    <row r="142" spans="1:1">
      <c r="A142" s="239"/>
    </row>
    <row r="143" spans="1:1">
      <c r="A143" s="238"/>
    </row>
    <row r="144" spans="1:1">
      <c r="A144" s="239"/>
    </row>
    <row r="145" spans="1:1">
      <c r="A145" s="238"/>
    </row>
    <row r="146" spans="1:1">
      <c r="A146" s="240"/>
    </row>
    <row r="147" spans="1:1">
      <c r="A147" s="240"/>
    </row>
    <row r="148" spans="1:1">
      <c r="A148" s="240"/>
    </row>
    <row r="149" spans="1:1">
      <c r="A149" s="239"/>
    </row>
    <row r="150" spans="1:1">
      <c r="A150" s="240"/>
    </row>
    <row r="151" spans="1:1">
      <c r="A151" s="240"/>
    </row>
    <row r="152" spans="1:1">
      <c r="A152" s="239"/>
    </row>
    <row r="153" spans="1:1">
      <c r="A153" s="238"/>
    </row>
    <row r="154" spans="1:1">
      <c r="A154" s="240"/>
    </row>
    <row r="155" spans="1:1">
      <c r="A155" s="240"/>
    </row>
    <row r="156" spans="1:1">
      <c r="A156" s="240"/>
    </row>
    <row r="157" spans="1:1">
      <c r="A157" s="240"/>
    </row>
    <row r="158" spans="1:1">
      <c r="A158" s="240"/>
    </row>
    <row r="159" spans="1:1">
      <c r="A159" s="240"/>
    </row>
    <row r="160" spans="1:1">
      <c r="A160" s="240"/>
    </row>
    <row r="161" spans="1:1">
      <c r="A161" s="238"/>
    </row>
    <row r="162" spans="1:1">
      <c r="A162" s="240"/>
    </row>
    <row r="163" spans="1:1">
      <c r="A163" s="240"/>
    </row>
    <row r="164" spans="1:1">
      <c r="A164" s="240"/>
    </row>
    <row r="165" spans="1:1">
      <c r="A165" s="239"/>
    </row>
    <row r="166" spans="1:1">
      <c r="A166" s="240"/>
    </row>
    <row r="167" spans="1:1">
      <c r="A167" s="240"/>
    </row>
    <row r="168" spans="1:1">
      <c r="A168" s="239"/>
    </row>
    <row r="169" spans="1:1">
      <c r="A169" s="238"/>
    </row>
    <row r="170" spans="1:1">
      <c r="A170" s="240"/>
    </row>
    <row r="171" spans="1:1">
      <c r="A171" s="240"/>
    </row>
    <row r="172" spans="1:1">
      <c r="A172" s="239"/>
    </row>
    <row r="173" spans="1:1">
      <c r="A173" s="240"/>
    </row>
    <row r="174" spans="1:1">
      <c r="A174" s="240"/>
    </row>
    <row r="175" spans="1:1">
      <c r="A175" s="240"/>
    </row>
    <row r="176" spans="1:1">
      <c r="A176" s="239"/>
    </row>
    <row r="177" spans="1:1">
      <c r="A177" s="238"/>
    </row>
    <row r="178" spans="1:1">
      <c r="A178" s="240"/>
    </row>
    <row r="179" spans="1:1">
      <c r="A179" s="240"/>
    </row>
    <row r="180" spans="1:1">
      <c r="A180" s="240"/>
    </row>
    <row r="181" spans="1:1">
      <c r="A181" s="240"/>
    </row>
    <row r="182" spans="1:1">
      <c r="A182" s="239"/>
    </row>
    <row r="183" spans="1:1">
      <c r="A183" s="240"/>
    </row>
    <row r="184" spans="1:1">
      <c r="A184" s="239"/>
    </row>
    <row r="185" spans="1:1">
      <c r="A185" s="238"/>
    </row>
    <row r="186" spans="1:1">
      <c r="A186" s="239"/>
    </row>
    <row r="187" spans="1:1">
      <c r="A187" s="238"/>
    </row>
    <row r="188" spans="1:1">
      <c r="A188" s="239"/>
    </row>
    <row r="189" spans="1:1">
      <c r="A189" s="238"/>
    </row>
    <row r="190" spans="1:1">
      <c r="A190" s="239"/>
    </row>
    <row r="191" spans="1:1">
      <c r="A191" s="238"/>
    </row>
    <row r="192" spans="1:1">
      <c r="A192" s="239"/>
    </row>
    <row r="193" spans="1:1">
      <c r="A193" s="238"/>
    </row>
    <row r="194" spans="1:1">
      <c r="A194" s="239"/>
    </row>
    <row r="195" spans="1:1">
      <c r="A195" s="238"/>
    </row>
    <row r="196" spans="1:1">
      <c r="A196" s="240"/>
    </row>
    <row r="197" spans="1:1">
      <c r="A197" s="238"/>
    </row>
    <row r="198" spans="1:1">
      <c r="A198" s="239"/>
    </row>
  </sheetData>
  <mergeCells count="8">
    <mergeCell ref="J1:J2"/>
    <mergeCell ref="K1:P1"/>
    <mergeCell ref="B1:B2"/>
    <mergeCell ref="C1:C2"/>
    <mergeCell ref="D1:D2"/>
    <mergeCell ref="E1:E2"/>
    <mergeCell ref="F1:F2"/>
    <mergeCell ref="G1:G2"/>
  </mergeCells>
  <hyperlinks>
    <hyperlink ref="J3" r:id="rId1" display="javascript:void(0);" xr:uid="{0F522039-3324-4D4B-AB4D-4055322480A1}"/>
    <hyperlink ref="J4" r:id="rId2" display="javascript:void(0);" xr:uid="{7D4A4799-F085-488D-BB0D-1774E090D778}"/>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58AC-30F9-402B-A000-1FA30EFCDA73}">
  <sheetPr codeName="Sheet18">
    <tabColor rgb="FF92D050"/>
  </sheetPr>
  <dimension ref="A1:E36"/>
  <sheetViews>
    <sheetView workbookViewId="0"/>
  </sheetViews>
  <sheetFormatPr defaultRowHeight="14.5"/>
  <cols>
    <col min="1" max="1" width="80" customWidth="1"/>
    <col min="2" max="2" width="17.36328125" customWidth="1"/>
    <col min="3" max="4" width="14" customWidth="1"/>
    <col min="5" max="5" width="12.1796875" style="54" bestFit="1" customWidth="1"/>
  </cols>
  <sheetData>
    <row r="1" spans="1:5">
      <c r="B1">
        <v>2021</v>
      </c>
      <c r="C1">
        <v>2022</v>
      </c>
      <c r="D1">
        <v>2023</v>
      </c>
      <c r="E1">
        <v>2024</v>
      </c>
    </row>
    <row r="2" spans="1:5">
      <c r="A2" s="47" t="s">
        <v>139</v>
      </c>
      <c r="B2" s="48" t="s">
        <v>69</v>
      </c>
      <c r="C2" s="48" t="s">
        <v>70</v>
      </c>
      <c r="D2" s="48" t="s">
        <v>71</v>
      </c>
      <c r="E2" s="54" t="s">
        <v>51</v>
      </c>
    </row>
    <row r="3" spans="1:5">
      <c r="A3" s="49" t="s">
        <v>112</v>
      </c>
      <c r="B3" s="85"/>
      <c r="C3" s="50" t="s">
        <v>52</v>
      </c>
      <c r="D3" s="50" t="s">
        <v>52</v>
      </c>
    </row>
    <row r="4" spans="1:5">
      <c r="A4" s="50" t="s">
        <v>113</v>
      </c>
      <c r="B4" s="85">
        <v>189627</v>
      </c>
      <c r="C4" s="51">
        <v>114777</v>
      </c>
      <c r="D4" s="51">
        <v>56290</v>
      </c>
      <c r="E4" s="54">
        <v>40654</v>
      </c>
    </row>
    <row r="5" spans="1:5">
      <c r="A5" s="50" t="s">
        <v>114</v>
      </c>
      <c r="B5" s="85">
        <v>100504</v>
      </c>
      <c r="C5" s="52">
        <v>105511</v>
      </c>
      <c r="D5" s="52">
        <v>103094</v>
      </c>
      <c r="E5" s="54">
        <v>72420</v>
      </c>
    </row>
    <row r="6" spans="1:5">
      <c r="A6" s="50" t="s">
        <v>115</v>
      </c>
      <c r="B6" s="85">
        <v>36173</v>
      </c>
      <c r="C6" s="52">
        <v>21522</v>
      </c>
      <c r="D6" s="52">
        <v>20670</v>
      </c>
      <c r="E6" s="54">
        <v>24855</v>
      </c>
    </row>
    <row r="7" spans="1:5">
      <c r="A7" s="50" t="s">
        <v>116</v>
      </c>
      <c r="B7" s="85">
        <v>42839</v>
      </c>
      <c r="C7" s="52">
        <v>55559</v>
      </c>
      <c r="D7" s="52">
        <v>57654</v>
      </c>
      <c r="E7" s="54">
        <v>70987</v>
      </c>
    </row>
    <row r="8" spans="1:5">
      <c r="A8" s="50" t="s">
        <v>117</v>
      </c>
      <c r="B8" s="85">
        <v>36446</v>
      </c>
      <c r="C8" s="52">
        <v>48399</v>
      </c>
      <c r="D8" s="52">
        <v>63090</v>
      </c>
      <c r="E8" s="54">
        <v>69019</v>
      </c>
    </row>
    <row r="9" spans="1:5">
      <c r="A9" s="50" t="s">
        <v>118</v>
      </c>
      <c r="B9" s="85">
        <v>405589</v>
      </c>
      <c r="C9" s="91">
        <v>345768</v>
      </c>
      <c r="D9" s="91">
        <v>300798</v>
      </c>
      <c r="E9" s="92">
        <v>277935</v>
      </c>
    </row>
    <row r="10" spans="1:5">
      <c r="A10" s="50" t="s">
        <v>119</v>
      </c>
      <c r="B10" s="85">
        <v>741746</v>
      </c>
      <c r="C10" s="52">
        <v>746051</v>
      </c>
      <c r="D10" s="52">
        <v>791093</v>
      </c>
      <c r="E10" s="54">
        <v>810444</v>
      </c>
    </row>
    <row r="11" spans="1:5">
      <c r="A11" s="49" t="s">
        <v>120</v>
      </c>
      <c r="B11" s="85">
        <v>0</v>
      </c>
      <c r="C11" s="50" t="s">
        <v>52</v>
      </c>
      <c r="D11" s="50" t="s">
        <v>52</v>
      </c>
      <c r="E11" s="54" t="s">
        <v>52</v>
      </c>
    </row>
    <row r="12" spans="1:5">
      <c r="A12" s="50" t="s">
        <v>121</v>
      </c>
      <c r="B12" s="85">
        <v>251701</v>
      </c>
      <c r="C12" s="52">
        <v>251524</v>
      </c>
      <c r="D12" s="52">
        <v>251727</v>
      </c>
      <c r="E12" s="54">
        <v>252039</v>
      </c>
    </row>
    <row r="13" spans="1:5">
      <c r="A13" s="50" t="s">
        <v>122</v>
      </c>
      <c r="B13" s="85">
        <v>1241237</v>
      </c>
      <c r="C13" s="52">
        <v>1268986</v>
      </c>
      <c r="D13" s="52">
        <v>1302150</v>
      </c>
      <c r="E13" s="54">
        <v>1338155</v>
      </c>
    </row>
    <row r="14" spans="1:5">
      <c r="A14" s="50" t="s">
        <v>123</v>
      </c>
      <c r="B14" s="85">
        <v>157852</v>
      </c>
      <c r="C14" s="52">
        <v>162891</v>
      </c>
      <c r="D14" s="52">
        <v>194615</v>
      </c>
      <c r="E14" s="54">
        <v>201018</v>
      </c>
    </row>
    <row r="15" spans="1:5">
      <c r="A15" s="50" t="s">
        <v>124</v>
      </c>
      <c r="B15" s="85">
        <v>1650790</v>
      </c>
      <c r="C15" s="52">
        <v>1683401</v>
      </c>
      <c r="D15" s="52">
        <v>1748492</v>
      </c>
      <c r="E15" s="54">
        <v>1791212</v>
      </c>
    </row>
    <row r="16" spans="1:5">
      <c r="A16" s="50" t="s">
        <v>125</v>
      </c>
      <c r="B16" s="85">
        <v>2798125</v>
      </c>
      <c r="C16" s="91">
        <v>2775220</v>
      </c>
      <c r="D16" s="91">
        <v>2840383</v>
      </c>
      <c r="E16" s="92">
        <v>2879591</v>
      </c>
    </row>
    <row r="17" spans="1:5">
      <c r="A17" s="49" t="s">
        <v>126</v>
      </c>
      <c r="B17" s="85">
        <v>0</v>
      </c>
      <c r="C17" s="50" t="s">
        <v>52</v>
      </c>
      <c r="D17" s="50" t="s">
        <v>52</v>
      </c>
      <c r="E17" s="54" t="s">
        <v>52</v>
      </c>
    </row>
    <row r="18" spans="1:5">
      <c r="A18" s="50" t="s">
        <v>127</v>
      </c>
      <c r="B18" s="85">
        <v>54086</v>
      </c>
      <c r="C18" s="52">
        <v>66638</v>
      </c>
      <c r="D18" s="52">
        <v>63152</v>
      </c>
      <c r="E18" s="54">
        <v>68644</v>
      </c>
    </row>
    <row r="19" spans="1:5">
      <c r="A19" s="50" t="s">
        <v>128</v>
      </c>
      <c r="B19" s="85">
        <v>211182</v>
      </c>
      <c r="C19" s="52">
        <v>219808</v>
      </c>
      <c r="D19" s="52">
        <v>222915</v>
      </c>
      <c r="E19" s="54">
        <v>192344</v>
      </c>
    </row>
    <row r="20" spans="1:5">
      <c r="A20" s="50" t="s">
        <v>129</v>
      </c>
      <c r="B20" s="85">
        <v>131818</v>
      </c>
      <c r="C20" s="52">
        <v>139099</v>
      </c>
      <c r="D20" s="52">
        <v>134905</v>
      </c>
      <c r="E20" s="54">
        <v>149899</v>
      </c>
    </row>
    <row r="21" spans="1:5">
      <c r="A21" s="50" t="s">
        <v>130</v>
      </c>
      <c r="B21" s="85">
        <v>239187</v>
      </c>
      <c r="C21" s="52">
        <v>231133</v>
      </c>
      <c r="D21" s="52">
        <v>239699</v>
      </c>
      <c r="E21" s="54">
        <v>231720</v>
      </c>
    </row>
    <row r="22" spans="1:5">
      <c r="A22" s="49" t="s">
        <v>131</v>
      </c>
      <c r="B22" s="90">
        <v>636273</v>
      </c>
      <c r="C22" s="91">
        <v>656678</v>
      </c>
      <c r="D22" s="91">
        <v>660671</v>
      </c>
      <c r="E22" s="92">
        <v>642607</v>
      </c>
    </row>
    <row r="23" spans="1:5">
      <c r="A23" s="50" t="s">
        <v>132</v>
      </c>
      <c r="B23" s="85">
        <v>466017</v>
      </c>
      <c r="C23" s="52">
        <v>468032</v>
      </c>
      <c r="D23" s="52">
        <v>470047</v>
      </c>
      <c r="E23" s="54">
        <v>471054</v>
      </c>
    </row>
    <row r="24" spans="1:5">
      <c r="A24" s="50" t="s">
        <v>129</v>
      </c>
      <c r="B24" s="52">
        <v>1218269</v>
      </c>
      <c r="C24" s="52">
        <v>1233497</v>
      </c>
      <c r="D24" s="52">
        <v>1254955</v>
      </c>
      <c r="E24" s="54">
        <v>1258933</v>
      </c>
    </row>
    <row r="25" spans="1:5">
      <c r="A25" s="50" t="s">
        <v>133</v>
      </c>
      <c r="B25" s="85">
        <v>147400</v>
      </c>
      <c r="C25" s="52">
        <v>125010</v>
      </c>
      <c r="D25" s="52">
        <v>136648</v>
      </c>
      <c r="E25" s="54">
        <v>133017</v>
      </c>
    </row>
    <row r="26" spans="1:5">
      <c r="A26" s="50" t="s">
        <v>134</v>
      </c>
      <c r="B26" s="90">
        <v>2467959</v>
      </c>
      <c r="C26" s="91">
        <v>2483217</v>
      </c>
      <c r="D26" s="91">
        <v>2522321</v>
      </c>
      <c r="E26" s="92">
        <v>2505611</v>
      </c>
    </row>
    <row r="27" spans="1:5">
      <c r="A27" s="50" t="s">
        <v>140</v>
      </c>
      <c r="B27" s="85"/>
      <c r="C27" s="50" t="s">
        <v>29</v>
      </c>
      <c r="D27" s="50" t="s">
        <v>29</v>
      </c>
      <c r="E27" s="54">
        <v>0</v>
      </c>
    </row>
    <row r="28" spans="1:5">
      <c r="A28" s="49" t="s">
        <v>135</v>
      </c>
      <c r="B28" s="85"/>
      <c r="C28" s="50" t="s">
        <v>52</v>
      </c>
      <c r="D28" s="50" t="s">
        <v>52</v>
      </c>
      <c r="E28" s="54" t="s">
        <v>52</v>
      </c>
    </row>
    <row r="29" spans="1:5">
      <c r="A29" s="50" t="s">
        <v>141</v>
      </c>
      <c r="B29" s="85">
        <v>0</v>
      </c>
      <c r="C29" s="50" t="s">
        <v>29</v>
      </c>
      <c r="D29" s="50" t="s">
        <v>29</v>
      </c>
      <c r="E29" s="54">
        <v>0</v>
      </c>
    </row>
    <row r="30" spans="1:5" ht="43.5">
      <c r="A30" s="50" t="s">
        <v>142</v>
      </c>
      <c r="B30" s="85">
        <v>1054</v>
      </c>
      <c r="C30" s="52">
        <v>1063</v>
      </c>
      <c r="D30" s="52">
        <v>1072</v>
      </c>
      <c r="E30" s="86">
        <v>1079</v>
      </c>
    </row>
    <row r="31" spans="1:5">
      <c r="A31" s="50" t="s">
        <v>136</v>
      </c>
      <c r="B31" s="52">
        <v>862758</v>
      </c>
      <c r="C31" s="52">
        <v>887485</v>
      </c>
      <c r="D31" s="52">
        <v>913442</v>
      </c>
      <c r="E31" s="54">
        <v>928015</v>
      </c>
    </row>
    <row r="32" spans="1:5">
      <c r="A32" s="50" t="s">
        <v>15</v>
      </c>
      <c r="B32" s="52">
        <v>1169150</v>
      </c>
      <c r="C32" s="52">
        <v>1170078</v>
      </c>
      <c r="D32" s="52">
        <v>1216239</v>
      </c>
      <c r="E32" s="54">
        <v>1274339</v>
      </c>
    </row>
    <row r="33" spans="1:5" ht="29">
      <c r="A33" s="50" t="s">
        <v>143</v>
      </c>
      <c r="B33" s="85">
        <v>-1702509</v>
      </c>
      <c r="C33" s="52">
        <v>-1765641</v>
      </c>
      <c r="D33" s="52">
        <v>-1811997</v>
      </c>
      <c r="E33" s="86">
        <v>-1828382</v>
      </c>
    </row>
    <row r="34" spans="1:5">
      <c r="A34" s="50" t="s">
        <v>137</v>
      </c>
      <c r="B34" s="52">
        <v>-287</v>
      </c>
      <c r="C34" s="52">
        <v>-982</v>
      </c>
      <c r="D34" s="52">
        <v>-694</v>
      </c>
      <c r="E34" s="54">
        <v>-1071</v>
      </c>
    </row>
    <row r="35" spans="1:5">
      <c r="A35" s="50" t="s">
        <v>138</v>
      </c>
      <c r="B35" s="52">
        <v>330166</v>
      </c>
      <c r="C35" s="52">
        <v>292003</v>
      </c>
      <c r="D35" s="52">
        <v>318062</v>
      </c>
      <c r="E35" s="54">
        <v>373980</v>
      </c>
    </row>
    <row r="36" spans="1:5">
      <c r="A36" s="50" t="s">
        <v>144</v>
      </c>
      <c r="B36" s="51">
        <v>2798125</v>
      </c>
      <c r="C36" s="51">
        <v>2775220</v>
      </c>
      <c r="D36" s="51">
        <v>2840383</v>
      </c>
      <c r="E36" s="54">
        <v>2879591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1FB4-E18A-4AED-9BCE-F36D0CFBA127}">
  <sheetPr codeName="Sheet7">
    <tabColor rgb="FF92D050"/>
  </sheetPr>
  <dimension ref="A1:T105"/>
  <sheetViews>
    <sheetView zoomScale="80" zoomScaleNormal="80" workbookViewId="0">
      <pane ySplit="1" topLeftCell="A31" activePane="bottomLeft" state="frozen"/>
      <selection activeCell="B1" sqref="B1"/>
      <selection pane="bottomLeft" activeCell="F39" activeCellId="3" sqref="K36 F42 F40 F39"/>
    </sheetView>
  </sheetViews>
  <sheetFormatPr defaultRowHeight="14.5"/>
  <cols>
    <col min="1" max="1" width="65.54296875" style="145" customWidth="1"/>
    <col min="2" max="3" width="10.6328125" style="112" customWidth="1"/>
    <col min="4" max="4" width="12" style="112" bestFit="1" customWidth="1"/>
    <col min="5" max="5" width="12.81640625" style="112" bestFit="1" customWidth="1"/>
    <col min="6" max="7" width="10.6328125" style="112" customWidth="1"/>
    <col min="8" max="8" width="12.7265625" style="112" bestFit="1" customWidth="1"/>
    <col min="9" max="9" width="10.6328125" style="112" customWidth="1"/>
    <col min="10" max="10" width="11.7265625" style="112" bestFit="1" customWidth="1"/>
    <col min="11" max="11" width="14.7265625" style="230" bestFit="1" customWidth="1"/>
    <col min="12" max="12" width="12.26953125" style="112" bestFit="1" customWidth="1"/>
    <col min="13" max="13" width="15.54296875" style="112" bestFit="1" customWidth="1"/>
    <col min="14" max="18" width="10.6328125" style="112" customWidth="1"/>
    <col min="19" max="19" width="10.1796875" style="112" bestFit="1" customWidth="1"/>
    <col min="20" max="16384" width="8.7265625" style="112"/>
  </cols>
  <sheetData>
    <row r="1" spans="1:18" customFormat="1" ht="188.5">
      <c r="A1" s="208" t="s">
        <v>250</v>
      </c>
      <c r="B1" s="48" t="s">
        <v>251</v>
      </c>
      <c r="C1" s="48" t="s">
        <v>252</v>
      </c>
      <c r="D1" s="48" t="s">
        <v>253</v>
      </c>
      <c r="E1" s="48" t="s">
        <v>254</v>
      </c>
      <c r="F1" s="48" t="s">
        <v>255</v>
      </c>
      <c r="G1" s="48" t="s">
        <v>256</v>
      </c>
      <c r="H1" s="48" t="s">
        <v>257</v>
      </c>
      <c r="I1" s="48" t="s">
        <v>258</v>
      </c>
      <c r="J1" s="48" t="s">
        <v>259</v>
      </c>
      <c r="K1" s="237" t="s">
        <v>260</v>
      </c>
      <c r="L1" s="48" t="s">
        <v>261</v>
      </c>
      <c r="M1" s="48" t="s">
        <v>262</v>
      </c>
      <c r="N1" s="48" t="s">
        <v>263</v>
      </c>
      <c r="O1" s="48" t="s">
        <v>264</v>
      </c>
      <c r="P1" s="48" t="s">
        <v>265</v>
      </c>
      <c r="Q1" s="48" t="s">
        <v>266</v>
      </c>
      <c r="R1" s="48" t="s">
        <v>267</v>
      </c>
    </row>
    <row r="2" spans="1:18" s="218" customFormat="1" ht="21">
      <c r="A2" s="211" t="s">
        <v>268</v>
      </c>
      <c r="B2" s="213">
        <v>-4763</v>
      </c>
      <c r="C2" s="213">
        <v>213485</v>
      </c>
      <c r="D2" s="213">
        <v>218248</v>
      </c>
      <c r="E2" s="213">
        <v>986</v>
      </c>
      <c r="F2" s="213">
        <v>986</v>
      </c>
      <c r="G2" s="213">
        <v>878148</v>
      </c>
      <c r="H2" s="213">
        <v>878148</v>
      </c>
      <c r="I2" s="213">
        <v>4763</v>
      </c>
      <c r="J2" s="213">
        <v>1114850</v>
      </c>
      <c r="K2" s="231">
        <v>1110087</v>
      </c>
      <c r="L2" s="213">
        <v>-1696743</v>
      </c>
      <c r="M2" s="213">
        <v>-1696743</v>
      </c>
      <c r="N2" s="213">
        <v>-3785</v>
      </c>
      <c r="O2" s="213">
        <v>-3785</v>
      </c>
      <c r="P2" s="213">
        <v>4763</v>
      </c>
      <c r="Q2" s="213">
        <v>293456</v>
      </c>
      <c r="R2" s="213">
        <v>288693</v>
      </c>
    </row>
    <row r="3" spans="1:18" s="223" customFormat="1" ht="18.5">
      <c r="A3" s="219" t="s">
        <v>269</v>
      </c>
      <c r="B3" s="220" t="s">
        <v>52</v>
      </c>
      <c r="C3" s="221">
        <v>200</v>
      </c>
      <c r="D3" s="221">
        <v>200</v>
      </c>
      <c r="E3" s="221">
        <v>98645</v>
      </c>
      <c r="F3" s="221">
        <v>98645</v>
      </c>
      <c r="G3" s="220" t="s">
        <v>52</v>
      </c>
      <c r="H3" s="220" t="s">
        <v>52</v>
      </c>
      <c r="I3" s="220" t="s">
        <v>52</v>
      </c>
      <c r="J3" s="220" t="s">
        <v>52</v>
      </c>
      <c r="K3" s="222" t="s">
        <v>52</v>
      </c>
      <c r="L3" s="220" t="s">
        <v>52</v>
      </c>
      <c r="M3" s="220" t="s">
        <v>52</v>
      </c>
      <c r="N3" s="220" t="s">
        <v>52</v>
      </c>
      <c r="O3" s="220" t="s">
        <v>52</v>
      </c>
      <c r="P3" s="220" t="s">
        <v>52</v>
      </c>
      <c r="Q3" s="220" t="s">
        <v>52</v>
      </c>
      <c r="R3" s="220" t="s">
        <v>52</v>
      </c>
    </row>
    <row r="4" spans="1:18">
      <c r="A4" s="139" t="s">
        <v>270</v>
      </c>
      <c r="B4" s="137" t="s">
        <v>52</v>
      </c>
      <c r="C4" s="137" t="s">
        <v>52</v>
      </c>
      <c r="D4" s="137" t="s">
        <v>52</v>
      </c>
      <c r="E4" s="137" t="s">
        <v>52</v>
      </c>
      <c r="F4" s="137" t="s">
        <v>52</v>
      </c>
      <c r="G4" s="137" t="s">
        <v>52</v>
      </c>
      <c r="H4" s="137" t="s">
        <v>52</v>
      </c>
      <c r="I4" s="137" t="s">
        <v>52</v>
      </c>
      <c r="J4" s="137" t="s">
        <v>52</v>
      </c>
      <c r="K4" s="222" t="s">
        <v>52</v>
      </c>
      <c r="L4" s="137" t="s">
        <v>52</v>
      </c>
      <c r="M4" s="137" t="s">
        <v>52</v>
      </c>
      <c r="N4" s="137" t="s">
        <v>52</v>
      </c>
      <c r="O4" s="137" t="s">
        <v>52</v>
      </c>
      <c r="P4" s="137" t="s">
        <v>52</v>
      </c>
      <c r="Q4" s="137" t="s">
        <v>52</v>
      </c>
      <c r="R4" s="137" t="s">
        <v>52</v>
      </c>
    </row>
    <row r="5" spans="1:18">
      <c r="A5" s="139" t="s">
        <v>66</v>
      </c>
      <c r="B5" s="137" t="s">
        <v>52</v>
      </c>
      <c r="C5" s="137" t="s">
        <v>52</v>
      </c>
      <c r="D5" s="137" t="s">
        <v>52</v>
      </c>
      <c r="E5" s="137" t="s">
        <v>52</v>
      </c>
      <c r="F5" s="137" t="s">
        <v>52</v>
      </c>
      <c r="G5" s="137" t="s">
        <v>52</v>
      </c>
      <c r="H5" s="137" t="s">
        <v>52</v>
      </c>
      <c r="I5" s="137" t="s">
        <v>52</v>
      </c>
      <c r="J5" s="137" t="s">
        <v>52</v>
      </c>
      <c r="K5" s="229">
        <v>72373</v>
      </c>
      <c r="L5" s="137" t="s">
        <v>52</v>
      </c>
      <c r="M5" s="137" t="s">
        <v>52</v>
      </c>
      <c r="N5" s="137" t="s">
        <v>52</v>
      </c>
      <c r="O5" s="137" t="s">
        <v>52</v>
      </c>
      <c r="P5" s="137" t="s">
        <v>52</v>
      </c>
      <c r="Q5" s="137" t="s">
        <v>52</v>
      </c>
      <c r="R5" s="138">
        <v>72373</v>
      </c>
    </row>
    <row r="6" spans="1:18">
      <c r="A6" s="135" t="s">
        <v>206</v>
      </c>
      <c r="B6" s="137" t="s">
        <v>52</v>
      </c>
      <c r="C6" s="137" t="s">
        <v>52</v>
      </c>
      <c r="D6" s="137" t="s">
        <v>52</v>
      </c>
      <c r="E6" s="137" t="s">
        <v>52</v>
      </c>
      <c r="F6" s="137" t="s">
        <v>52</v>
      </c>
      <c r="G6" s="137" t="s">
        <v>52</v>
      </c>
      <c r="H6" s="137" t="s">
        <v>52</v>
      </c>
      <c r="I6" s="137" t="s">
        <v>52</v>
      </c>
      <c r="J6" s="137" t="s">
        <v>52</v>
      </c>
      <c r="K6" s="222" t="s">
        <v>52</v>
      </c>
      <c r="L6" s="137" t="s">
        <v>52</v>
      </c>
      <c r="M6" s="137" t="s">
        <v>52</v>
      </c>
      <c r="N6" s="137" t="s">
        <v>52</v>
      </c>
      <c r="O6" s="138">
        <v>34</v>
      </c>
      <c r="P6" s="137" t="s">
        <v>52</v>
      </c>
      <c r="Q6" s="137" t="s">
        <v>52</v>
      </c>
      <c r="R6" s="138">
        <v>34</v>
      </c>
    </row>
    <row r="7" spans="1:18">
      <c r="A7" s="135" t="s">
        <v>271</v>
      </c>
      <c r="B7" s="137" t="s">
        <v>52</v>
      </c>
      <c r="C7" s="137" t="s">
        <v>52</v>
      </c>
      <c r="D7" s="137" t="s">
        <v>52</v>
      </c>
      <c r="E7" s="137" t="s">
        <v>52</v>
      </c>
      <c r="F7" s="137" t="s">
        <v>52</v>
      </c>
      <c r="G7" s="137" t="s">
        <v>52</v>
      </c>
      <c r="H7" s="137" t="s">
        <v>52</v>
      </c>
      <c r="I7" s="137" t="s">
        <v>52</v>
      </c>
      <c r="J7" s="137" t="s">
        <v>52</v>
      </c>
      <c r="K7" s="222" t="s">
        <v>52</v>
      </c>
      <c r="L7" s="137" t="s">
        <v>52</v>
      </c>
      <c r="M7" s="137" t="s">
        <v>52</v>
      </c>
      <c r="N7" s="137" t="s">
        <v>52</v>
      </c>
      <c r="O7" s="138">
        <v>3464</v>
      </c>
      <c r="P7" s="137" t="s">
        <v>52</v>
      </c>
      <c r="Q7" s="137" t="s">
        <v>52</v>
      </c>
      <c r="R7" s="138">
        <v>3464</v>
      </c>
    </row>
    <row r="8" spans="1:18">
      <c r="A8" s="135" t="s">
        <v>272</v>
      </c>
      <c r="B8" s="137" t="s">
        <v>52</v>
      </c>
      <c r="C8" s="137" t="s">
        <v>52</v>
      </c>
      <c r="D8" s="137" t="s">
        <v>52</v>
      </c>
      <c r="E8" s="137" t="s">
        <v>52</v>
      </c>
      <c r="F8" s="137" t="s">
        <v>52</v>
      </c>
      <c r="G8" s="137" t="s">
        <v>52</v>
      </c>
      <c r="H8" s="137" t="s">
        <v>52</v>
      </c>
      <c r="I8" s="137" t="s">
        <v>52</v>
      </c>
      <c r="J8" s="137" t="s">
        <v>52</v>
      </c>
      <c r="K8" s="229">
        <v>588</v>
      </c>
      <c r="L8" s="137" t="s">
        <v>52</v>
      </c>
      <c r="M8" s="137" t="s">
        <v>52</v>
      </c>
      <c r="N8" s="137" t="s">
        <v>52</v>
      </c>
      <c r="O8" s="137" t="s">
        <v>52</v>
      </c>
      <c r="P8" s="137" t="s">
        <v>52</v>
      </c>
      <c r="Q8" s="137" t="s">
        <v>52</v>
      </c>
      <c r="R8" s="138">
        <v>588</v>
      </c>
    </row>
    <row r="9" spans="1:18">
      <c r="A9" s="135" t="s">
        <v>182</v>
      </c>
      <c r="B9" s="137" t="s">
        <v>52</v>
      </c>
      <c r="C9" s="137" t="s">
        <v>52</v>
      </c>
      <c r="D9" s="137" t="s">
        <v>52</v>
      </c>
      <c r="E9" s="137" t="s">
        <v>52</v>
      </c>
      <c r="F9" s="136">
        <v>8</v>
      </c>
      <c r="G9" s="137" t="s">
        <v>52</v>
      </c>
      <c r="H9" s="138">
        <v>24778</v>
      </c>
      <c r="I9" s="137" t="s">
        <v>52</v>
      </c>
      <c r="J9" s="137" t="s">
        <v>52</v>
      </c>
      <c r="K9" s="222" t="s">
        <v>52</v>
      </c>
      <c r="L9" s="137" t="s">
        <v>52</v>
      </c>
      <c r="M9" s="137" t="s">
        <v>52</v>
      </c>
      <c r="N9" s="137" t="s">
        <v>52</v>
      </c>
      <c r="O9" s="137" t="s">
        <v>52</v>
      </c>
      <c r="P9" s="137" t="s">
        <v>52</v>
      </c>
      <c r="Q9" s="137" t="s">
        <v>52</v>
      </c>
      <c r="R9" s="138">
        <v>24786</v>
      </c>
    </row>
    <row r="10" spans="1:18">
      <c r="A10" s="135" t="s">
        <v>273</v>
      </c>
      <c r="B10" s="137" t="s">
        <v>52</v>
      </c>
      <c r="C10" s="137" t="s">
        <v>52</v>
      </c>
      <c r="D10" s="137" t="s">
        <v>52</v>
      </c>
      <c r="E10" s="137" t="s">
        <v>52</v>
      </c>
      <c r="F10" s="138">
        <v>759</v>
      </c>
      <c r="G10" s="137" t="s">
        <v>52</v>
      </c>
      <c r="H10" s="137" t="s">
        <v>52</v>
      </c>
      <c r="I10" s="137" t="s">
        <v>52</v>
      </c>
      <c r="J10" s="137" t="s">
        <v>52</v>
      </c>
      <c r="K10" s="222" t="s">
        <v>52</v>
      </c>
      <c r="L10" s="137" t="s">
        <v>52</v>
      </c>
      <c r="M10" s="137" t="s">
        <v>52</v>
      </c>
      <c r="N10" s="137" t="s">
        <v>52</v>
      </c>
      <c r="O10" s="137" t="s">
        <v>52</v>
      </c>
      <c r="P10" s="137" t="s">
        <v>52</v>
      </c>
      <c r="Q10" s="137" t="s">
        <v>52</v>
      </c>
      <c r="R10" s="137" t="s">
        <v>52</v>
      </c>
    </row>
    <row r="11" spans="1:18">
      <c r="A11" s="135" t="s">
        <v>274</v>
      </c>
      <c r="B11" s="137" t="s">
        <v>52</v>
      </c>
      <c r="C11" s="137" t="s">
        <v>52</v>
      </c>
      <c r="D11" s="137" t="s">
        <v>52</v>
      </c>
      <c r="E11" s="137" t="s">
        <v>52</v>
      </c>
      <c r="F11" s="136">
        <v>5</v>
      </c>
      <c r="G11" s="137" t="s">
        <v>52</v>
      </c>
      <c r="H11" s="138">
        <v>23177</v>
      </c>
      <c r="I11" s="137" t="s">
        <v>52</v>
      </c>
      <c r="J11" s="137" t="s">
        <v>52</v>
      </c>
      <c r="K11" s="222" t="s">
        <v>52</v>
      </c>
      <c r="L11" s="137" t="s">
        <v>52</v>
      </c>
      <c r="M11" s="137" t="s">
        <v>52</v>
      </c>
      <c r="N11" s="137" t="s">
        <v>52</v>
      </c>
      <c r="O11" s="137" t="s">
        <v>52</v>
      </c>
      <c r="P11" s="137" t="s">
        <v>52</v>
      </c>
      <c r="Q11" s="137" t="s">
        <v>52</v>
      </c>
      <c r="R11" s="138">
        <v>23182</v>
      </c>
    </row>
    <row r="12" spans="1:18">
      <c r="A12" s="135" t="s">
        <v>275</v>
      </c>
      <c r="B12" s="137" t="s">
        <v>52</v>
      </c>
      <c r="C12" s="137" t="s">
        <v>52</v>
      </c>
      <c r="D12" s="137" t="s">
        <v>52</v>
      </c>
      <c r="E12" s="137" t="s">
        <v>52</v>
      </c>
      <c r="F12" s="138">
        <v>436</v>
      </c>
      <c r="G12" s="137" t="s">
        <v>52</v>
      </c>
      <c r="H12" s="137" t="s">
        <v>52</v>
      </c>
      <c r="I12" s="137" t="s">
        <v>52</v>
      </c>
      <c r="J12" s="137" t="s">
        <v>52</v>
      </c>
      <c r="K12" s="222" t="s">
        <v>52</v>
      </c>
      <c r="L12" s="137" t="s">
        <v>52</v>
      </c>
      <c r="M12" s="137" t="s">
        <v>52</v>
      </c>
      <c r="N12" s="137" t="s">
        <v>52</v>
      </c>
      <c r="O12" s="137" t="s">
        <v>52</v>
      </c>
      <c r="P12" s="137" t="s">
        <v>52</v>
      </c>
      <c r="Q12" s="137" t="s">
        <v>52</v>
      </c>
      <c r="R12" s="137" t="s">
        <v>52</v>
      </c>
    </row>
    <row r="13" spans="1:18">
      <c r="A13" s="135" t="s">
        <v>200</v>
      </c>
      <c r="B13" s="137" t="s">
        <v>52</v>
      </c>
      <c r="C13" s="137" t="s">
        <v>52</v>
      </c>
      <c r="D13" s="137" t="s">
        <v>52</v>
      </c>
      <c r="E13" s="137" t="s">
        <v>52</v>
      </c>
      <c r="F13" s="136">
        <v>31</v>
      </c>
      <c r="G13" s="137" t="s">
        <v>52</v>
      </c>
      <c r="H13" s="138">
        <v>167019</v>
      </c>
      <c r="I13" s="137" t="s">
        <v>52</v>
      </c>
      <c r="J13" s="137" t="s">
        <v>52</v>
      </c>
      <c r="K13" s="222" t="s">
        <v>52</v>
      </c>
      <c r="L13" s="137" t="s">
        <v>52</v>
      </c>
      <c r="M13" s="137" t="s">
        <v>52</v>
      </c>
      <c r="N13" s="137" t="s">
        <v>52</v>
      </c>
      <c r="O13" s="137" t="s">
        <v>52</v>
      </c>
      <c r="P13" s="137" t="s">
        <v>52</v>
      </c>
      <c r="Q13" s="137" t="s">
        <v>52</v>
      </c>
      <c r="R13" s="138">
        <v>167050</v>
      </c>
    </row>
    <row r="14" spans="1:18">
      <c r="A14" s="135" t="s">
        <v>276</v>
      </c>
      <c r="B14" s="137" t="s">
        <v>52</v>
      </c>
      <c r="C14" s="137" t="s">
        <v>52</v>
      </c>
      <c r="D14" s="137" t="s">
        <v>52</v>
      </c>
      <c r="E14" s="137" t="s">
        <v>52</v>
      </c>
      <c r="F14" s="138">
        <v>3125</v>
      </c>
      <c r="G14" s="137" t="s">
        <v>52</v>
      </c>
      <c r="H14" s="137" t="s">
        <v>52</v>
      </c>
      <c r="I14" s="137" t="s">
        <v>52</v>
      </c>
      <c r="J14" s="137" t="s">
        <v>52</v>
      </c>
      <c r="K14" s="222" t="s">
        <v>52</v>
      </c>
      <c r="L14" s="137" t="s">
        <v>52</v>
      </c>
      <c r="M14" s="137" t="s">
        <v>52</v>
      </c>
      <c r="N14" s="137" t="s">
        <v>52</v>
      </c>
      <c r="O14" s="137" t="s">
        <v>52</v>
      </c>
      <c r="P14" s="137" t="s">
        <v>52</v>
      </c>
      <c r="Q14" s="137" t="s">
        <v>52</v>
      </c>
      <c r="R14" s="137" t="s">
        <v>52</v>
      </c>
    </row>
    <row r="15" spans="1:18">
      <c r="A15" s="135" t="s">
        <v>204</v>
      </c>
      <c r="B15" s="137" t="s">
        <v>52</v>
      </c>
      <c r="C15" s="137" t="s">
        <v>52</v>
      </c>
      <c r="D15" s="137" t="s">
        <v>52</v>
      </c>
      <c r="E15" s="137" t="s">
        <v>52</v>
      </c>
      <c r="F15" s="137" t="s">
        <v>52</v>
      </c>
      <c r="G15" s="137" t="s">
        <v>52</v>
      </c>
      <c r="H15" s="137" t="s">
        <v>52</v>
      </c>
      <c r="I15" s="137" t="s">
        <v>52</v>
      </c>
      <c r="J15" s="137" t="s">
        <v>52</v>
      </c>
      <c r="K15" s="222" t="s">
        <v>52</v>
      </c>
      <c r="L15" s="137" t="s">
        <v>52</v>
      </c>
      <c r="M15" s="138">
        <v>-5766</v>
      </c>
      <c r="N15" s="137" t="s">
        <v>52</v>
      </c>
      <c r="O15" s="137" t="s">
        <v>52</v>
      </c>
      <c r="P15" s="137" t="s">
        <v>52</v>
      </c>
      <c r="Q15" s="137" t="s">
        <v>52</v>
      </c>
      <c r="R15" s="138">
        <v>-5766</v>
      </c>
    </row>
    <row r="16" spans="1:18">
      <c r="A16" s="135" t="s">
        <v>197</v>
      </c>
      <c r="B16" s="137" t="s">
        <v>52</v>
      </c>
      <c r="C16" s="137" t="s">
        <v>52</v>
      </c>
      <c r="D16" s="136">
        <v>-160114</v>
      </c>
      <c r="E16" s="137" t="s">
        <v>52</v>
      </c>
      <c r="F16" s="137" t="s">
        <v>52</v>
      </c>
      <c r="G16" s="137" t="s">
        <v>52</v>
      </c>
      <c r="H16" s="138">
        <v>-283637</v>
      </c>
      <c r="I16" s="137" t="s">
        <v>52</v>
      </c>
      <c r="J16" s="137" t="s">
        <v>52</v>
      </c>
      <c r="K16" s="222" t="s">
        <v>52</v>
      </c>
      <c r="L16" s="137" t="s">
        <v>52</v>
      </c>
      <c r="M16" s="137" t="s">
        <v>52</v>
      </c>
      <c r="N16" s="137" t="s">
        <v>52</v>
      </c>
      <c r="O16" s="137" t="s">
        <v>52</v>
      </c>
      <c r="P16" s="137" t="s">
        <v>52</v>
      </c>
      <c r="Q16" s="137" t="s">
        <v>52</v>
      </c>
      <c r="R16" s="138">
        <v>-283637</v>
      </c>
    </row>
    <row r="17" spans="1:20">
      <c r="A17" s="135" t="s">
        <v>277</v>
      </c>
      <c r="B17" s="137" t="s">
        <v>52</v>
      </c>
      <c r="C17" s="137" t="s">
        <v>52</v>
      </c>
      <c r="D17" s="138">
        <v>150</v>
      </c>
      <c r="E17" s="137" t="s">
        <v>52</v>
      </c>
      <c r="F17" s="137" t="s">
        <v>52</v>
      </c>
      <c r="G17" s="137" t="s">
        <v>52</v>
      </c>
      <c r="H17" s="137" t="s">
        <v>52</v>
      </c>
      <c r="I17" s="137" t="s">
        <v>52</v>
      </c>
      <c r="J17" s="137" t="s">
        <v>52</v>
      </c>
      <c r="K17" s="222" t="s">
        <v>52</v>
      </c>
      <c r="L17" s="137" t="s">
        <v>52</v>
      </c>
      <c r="M17" s="137" t="s">
        <v>52</v>
      </c>
      <c r="N17" s="137" t="s">
        <v>52</v>
      </c>
      <c r="O17" s="137" t="s">
        <v>52</v>
      </c>
      <c r="P17" s="137" t="s">
        <v>52</v>
      </c>
      <c r="Q17" s="137" t="s">
        <v>52</v>
      </c>
      <c r="R17" s="137" t="s">
        <v>52</v>
      </c>
    </row>
    <row r="18" spans="1:20">
      <c r="A18" s="135" t="s">
        <v>278</v>
      </c>
      <c r="B18" s="137" t="s">
        <v>52</v>
      </c>
      <c r="C18" s="137" t="s">
        <v>52</v>
      </c>
      <c r="D18" s="136">
        <v>-53371</v>
      </c>
      <c r="E18" s="137" t="s">
        <v>52</v>
      </c>
      <c r="F18" s="136">
        <v>24</v>
      </c>
      <c r="G18" s="137" t="s">
        <v>52</v>
      </c>
      <c r="H18" s="138">
        <v>53273</v>
      </c>
      <c r="I18" s="137" t="s">
        <v>52</v>
      </c>
      <c r="J18" s="137" t="s">
        <v>52</v>
      </c>
      <c r="K18" s="222" t="s">
        <v>52</v>
      </c>
      <c r="L18" s="137" t="s">
        <v>52</v>
      </c>
      <c r="M18" s="137" t="s">
        <v>52</v>
      </c>
      <c r="N18" s="137" t="s">
        <v>52</v>
      </c>
      <c r="O18" s="137" t="s">
        <v>52</v>
      </c>
      <c r="P18" s="137" t="s">
        <v>52</v>
      </c>
      <c r="Q18" s="137" t="s">
        <v>52</v>
      </c>
      <c r="R18" s="138">
        <v>53297</v>
      </c>
    </row>
    <row r="19" spans="1:20">
      <c r="A19" s="135" t="s">
        <v>279</v>
      </c>
      <c r="B19" s="137" t="s">
        <v>52</v>
      </c>
      <c r="C19" s="137" t="s">
        <v>52</v>
      </c>
      <c r="D19" s="138">
        <v>-50</v>
      </c>
      <c r="E19" s="137" t="s">
        <v>52</v>
      </c>
      <c r="F19" s="138">
        <v>2401</v>
      </c>
      <c r="G19" s="137" t="s">
        <v>52</v>
      </c>
      <c r="H19" s="137" t="s">
        <v>52</v>
      </c>
      <c r="I19" s="137" t="s">
        <v>52</v>
      </c>
      <c r="J19" s="137" t="s">
        <v>52</v>
      </c>
      <c r="K19" s="222" t="s">
        <v>52</v>
      </c>
      <c r="L19" s="137" t="s">
        <v>52</v>
      </c>
      <c r="M19" s="137" t="s">
        <v>52</v>
      </c>
      <c r="N19" s="137" t="s">
        <v>52</v>
      </c>
      <c r="O19" s="137" t="s">
        <v>52</v>
      </c>
      <c r="P19" s="137" t="s">
        <v>52</v>
      </c>
      <c r="Q19" s="137" t="s">
        <v>52</v>
      </c>
      <c r="R19" s="137" t="s">
        <v>52</v>
      </c>
    </row>
    <row r="20" spans="1:20">
      <c r="A20" s="135" t="s">
        <v>280</v>
      </c>
      <c r="B20" s="137" t="s">
        <v>52</v>
      </c>
      <c r="C20" s="137" t="s">
        <v>52</v>
      </c>
      <c r="D20" s="137" t="s">
        <v>52</v>
      </c>
      <c r="E20" s="137" t="s">
        <v>52</v>
      </c>
      <c r="F20" s="137" t="s">
        <v>52</v>
      </c>
      <c r="G20" s="137" t="s">
        <v>52</v>
      </c>
      <c r="H20" s="137" t="s">
        <v>52</v>
      </c>
      <c r="I20" s="137" t="s">
        <v>52</v>
      </c>
      <c r="J20" s="137" t="s">
        <v>52</v>
      </c>
      <c r="K20" s="229">
        <v>-13591</v>
      </c>
      <c r="L20" s="137" t="s">
        <v>52</v>
      </c>
      <c r="M20" s="137" t="s">
        <v>52</v>
      </c>
      <c r="N20" s="137" t="s">
        <v>52</v>
      </c>
      <c r="O20" s="137" t="s">
        <v>52</v>
      </c>
      <c r="P20" s="137" t="s">
        <v>52</v>
      </c>
      <c r="Q20" s="137" t="s">
        <v>52</v>
      </c>
      <c r="R20" s="138">
        <v>-13591</v>
      </c>
    </row>
    <row r="21" spans="1:20">
      <c r="A21" s="135" t="s">
        <v>281</v>
      </c>
      <c r="B21" s="137" t="s">
        <v>52</v>
      </c>
      <c r="C21" s="137" t="s">
        <v>52</v>
      </c>
      <c r="D21" s="137" t="s">
        <v>52</v>
      </c>
      <c r="E21" s="137" t="s">
        <v>52</v>
      </c>
      <c r="F21" s="137" t="s">
        <v>52</v>
      </c>
      <c r="G21" s="137" t="s">
        <v>52</v>
      </c>
      <c r="H21" s="137" t="s">
        <v>52</v>
      </c>
      <c r="I21" s="137" t="s">
        <v>52</v>
      </c>
      <c r="J21" s="137" t="s">
        <v>52</v>
      </c>
      <c r="K21" s="229">
        <v>-5070</v>
      </c>
      <c r="L21" s="137" t="s">
        <v>52</v>
      </c>
      <c r="M21" s="137" t="s">
        <v>52</v>
      </c>
      <c r="N21" s="137" t="s">
        <v>52</v>
      </c>
      <c r="O21" s="137" t="s">
        <v>52</v>
      </c>
      <c r="P21" s="137" t="s">
        <v>52</v>
      </c>
      <c r="Q21" s="137" t="s">
        <v>52</v>
      </c>
      <c r="R21" s="138">
        <v>-5070</v>
      </c>
    </row>
    <row r="22" spans="1:20" s="218" customFormat="1" ht="21">
      <c r="A22" s="211" t="s">
        <v>282</v>
      </c>
      <c r="B22" s="212" t="s">
        <v>52</v>
      </c>
      <c r="C22" s="212" t="s">
        <v>52</v>
      </c>
      <c r="D22" s="212" t="s">
        <v>52</v>
      </c>
      <c r="E22" s="212" t="s">
        <v>52</v>
      </c>
      <c r="F22" s="213">
        <v>1054</v>
      </c>
      <c r="G22" s="212" t="s">
        <v>52</v>
      </c>
      <c r="H22" s="214">
        <v>862758</v>
      </c>
      <c r="I22" s="212" t="s">
        <v>52</v>
      </c>
      <c r="J22" s="212" t="s">
        <v>52</v>
      </c>
      <c r="K22" s="229">
        <v>1169150</v>
      </c>
      <c r="L22" s="212" t="s">
        <v>52</v>
      </c>
      <c r="M22" s="214">
        <v>-1702509</v>
      </c>
      <c r="N22" s="212" t="s">
        <v>52</v>
      </c>
      <c r="O22" s="214">
        <v>-287</v>
      </c>
      <c r="P22" s="212" t="s">
        <v>52</v>
      </c>
      <c r="Q22" s="212" t="s">
        <v>52</v>
      </c>
      <c r="R22" s="215">
        <v>330166</v>
      </c>
      <c r="S22" s="216">
        <f>SUM(R2,R5:R14,R16:R21)</f>
        <v>331169</v>
      </c>
      <c r="T22" s="217">
        <f>R22-S22</f>
        <v>-1003</v>
      </c>
    </row>
    <row r="23" spans="1:20" ht="21">
      <c r="A23" s="209" t="s">
        <v>283</v>
      </c>
      <c r="B23" s="137" t="s">
        <v>52</v>
      </c>
      <c r="C23" s="137" t="s">
        <v>52</v>
      </c>
      <c r="D23" s="137" t="s">
        <v>52</v>
      </c>
      <c r="E23" s="137" t="s">
        <v>52</v>
      </c>
      <c r="F23" s="138">
        <v>105366</v>
      </c>
      <c r="G23" s="137" t="s">
        <v>52</v>
      </c>
      <c r="H23" s="137" t="s">
        <v>52</v>
      </c>
      <c r="I23" s="137" t="s">
        <v>52</v>
      </c>
      <c r="J23" s="137" t="s">
        <v>52</v>
      </c>
      <c r="K23" s="222" t="s">
        <v>52</v>
      </c>
      <c r="L23" s="137" t="s">
        <v>52</v>
      </c>
      <c r="M23" s="137" t="s">
        <v>52</v>
      </c>
      <c r="N23" s="137" t="s">
        <v>52</v>
      </c>
      <c r="O23" s="137" t="s">
        <v>52</v>
      </c>
      <c r="P23" s="137" t="s">
        <v>52</v>
      </c>
      <c r="Q23" s="137" t="s">
        <v>52</v>
      </c>
      <c r="R23" s="137" t="s">
        <v>52</v>
      </c>
    </row>
    <row r="24" spans="1:20">
      <c r="A24" s="139" t="s">
        <v>270</v>
      </c>
      <c r="B24" s="137" t="s">
        <v>52</v>
      </c>
      <c r="C24" s="137" t="s">
        <v>52</v>
      </c>
      <c r="D24" s="137" t="s">
        <v>52</v>
      </c>
      <c r="E24" s="137" t="s">
        <v>52</v>
      </c>
      <c r="F24" s="137" t="s">
        <v>52</v>
      </c>
      <c r="G24" s="137" t="s">
        <v>52</v>
      </c>
      <c r="H24" s="137" t="s">
        <v>52</v>
      </c>
      <c r="I24" s="137" t="s">
        <v>52</v>
      </c>
      <c r="J24" s="137" t="s">
        <v>52</v>
      </c>
      <c r="K24" s="222" t="s">
        <v>52</v>
      </c>
      <c r="L24" s="137" t="s">
        <v>52</v>
      </c>
      <c r="M24" s="137" t="s">
        <v>52</v>
      </c>
      <c r="N24" s="137" t="s">
        <v>52</v>
      </c>
      <c r="O24" s="137" t="s">
        <v>52</v>
      </c>
      <c r="P24" s="137" t="s">
        <v>52</v>
      </c>
      <c r="Q24" s="137" t="s">
        <v>52</v>
      </c>
      <c r="R24" s="137" t="s">
        <v>52</v>
      </c>
    </row>
    <row r="25" spans="1:20">
      <c r="A25" s="139" t="s">
        <v>66</v>
      </c>
      <c r="B25" s="137" t="s">
        <v>52</v>
      </c>
      <c r="C25" s="137" t="s">
        <v>52</v>
      </c>
      <c r="D25" s="137" t="s">
        <v>52</v>
      </c>
      <c r="E25" s="137" t="s">
        <v>52</v>
      </c>
      <c r="F25" s="137" t="s">
        <v>52</v>
      </c>
      <c r="G25" s="137" t="s">
        <v>52</v>
      </c>
      <c r="H25" s="137" t="s">
        <v>52</v>
      </c>
      <c r="I25" s="137" t="s">
        <v>52</v>
      </c>
      <c r="J25" s="137" t="s">
        <v>52</v>
      </c>
      <c r="K25" s="229">
        <v>43123</v>
      </c>
      <c r="L25" s="137" t="s">
        <v>52</v>
      </c>
      <c r="M25" s="137" t="s">
        <v>52</v>
      </c>
      <c r="N25" s="137" t="s">
        <v>52</v>
      </c>
      <c r="O25" s="137" t="s">
        <v>52</v>
      </c>
      <c r="P25" s="137" t="s">
        <v>52</v>
      </c>
      <c r="Q25" s="137" t="s">
        <v>52</v>
      </c>
      <c r="R25" s="140">
        <v>43123</v>
      </c>
    </row>
    <row r="26" spans="1:20">
      <c r="A26" s="135" t="s">
        <v>206</v>
      </c>
      <c r="B26" s="137" t="s">
        <v>52</v>
      </c>
      <c r="C26" s="137" t="s">
        <v>52</v>
      </c>
      <c r="D26" s="137" t="s">
        <v>52</v>
      </c>
      <c r="E26" s="137" t="s">
        <v>52</v>
      </c>
      <c r="F26" s="137" t="s">
        <v>52</v>
      </c>
      <c r="G26" s="137" t="s">
        <v>52</v>
      </c>
      <c r="H26" s="137" t="s">
        <v>52</v>
      </c>
      <c r="I26" s="137" t="s">
        <v>52</v>
      </c>
      <c r="J26" s="137" t="s">
        <v>52</v>
      </c>
      <c r="K26" s="222" t="s">
        <v>52</v>
      </c>
      <c r="L26" s="137" t="s">
        <v>52</v>
      </c>
      <c r="M26" s="137" t="s">
        <v>52</v>
      </c>
      <c r="N26" s="137" t="s">
        <v>52</v>
      </c>
      <c r="O26" s="138">
        <v>-695</v>
      </c>
      <c r="P26" s="137" t="s">
        <v>52</v>
      </c>
      <c r="Q26" s="137" t="s">
        <v>52</v>
      </c>
      <c r="R26" s="138">
        <v>-695</v>
      </c>
    </row>
    <row r="27" spans="1:20">
      <c r="A27" s="135" t="s">
        <v>272</v>
      </c>
      <c r="B27" s="137" t="s">
        <v>52</v>
      </c>
      <c r="C27" s="137" t="s">
        <v>52</v>
      </c>
      <c r="D27" s="137" t="s">
        <v>52</v>
      </c>
      <c r="E27" s="137" t="s">
        <v>52</v>
      </c>
      <c r="F27" s="137" t="s">
        <v>52</v>
      </c>
      <c r="G27" s="137" t="s">
        <v>52</v>
      </c>
      <c r="H27" s="137" t="s">
        <v>52</v>
      </c>
      <c r="I27" s="137" t="s">
        <v>52</v>
      </c>
      <c r="J27" s="137" t="s">
        <v>52</v>
      </c>
      <c r="K27" s="229">
        <v>-42195</v>
      </c>
      <c r="L27" s="137" t="s">
        <v>52</v>
      </c>
      <c r="M27" s="137" t="s">
        <v>52</v>
      </c>
      <c r="N27" s="137" t="s">
        <v>52</v>
      </c>
      <c r="O27" s="137" t="s">
        <v>52</v>
      </c>
      <c r="P27" s="137" t="s">
        <v>52</v>
      </c>
      <c r="Q27" s="137" t="s">
        <v>52</v>
      </c>
      <c r="R27" s="138">
        <v>-42195</v>
      </c>
    </row>
    <row r="28" spans="1:20">
      <c r="A28" s="135" t="s">
        <v>182</v>
      </c>
      <c r="B28" s="137" t="s">
        <v>52</v>
      </c>
      <c r="C28" s="137" t="s">
        <v>52</v>
      </c>
      <c r="D28" s="137" t="s">
        <v>52</v>
      </c>
      <c r="E28" s="137" t="s">
        <v>52</v>
      </c>
      <c r="F28" s="136">
        <v>8</v>
      </c>
      <c r="G28" s="137" t="s">
        <v>52</v>
      </c>
      <c r="H28" s="138">
        <v>24644</v>
      </c>
      <c r="I28" s="137" t="s">
        <v>52</v>
      </c>
      <c r="J28" s="137" t="s">
        <v>52</v>
      </c>
      <c r="K28" s="222" t="s">
        <v>52</v>
      </c>
      <c r="L28" s="137" t="s">
        <v>52</v>
      </c>
      <c r="M28" s="137" t="s">
        <v>52</v>
      </c>
      <c r="N28" s="137" t="s">
        <v>52</v>
      </c>
      <c r="O28" s="137" t="s">
        <v>52</v>
      </c>
      <c r="P28" s="137" t="s">
        <v>52</v>
      </c>
      <c r="Q28" s="137" t="s">
        <v>52</v>
      </c>
      <c r="R28" s="138">
        <v>24652</v>
      </c>
    </row>
    <row r="29" spans="1:20">
      <c r="A29" s="135" t="s">
        <v>273</v>
      </c>
      <c r="B29" s="137" t="s">
        <v>52</v>
      </c>
      <c r="C29" s="137" t="s">
        <v>52</v>
      </c>
      <c r="D29" s="137" t="s">
        <v>52</v>
      </c>
      <c r="E29" s="137" t="s">
        <v>52</v>
      </c>
      <c r="F29" s="138">
        <v>788</v>
      </c>
      <c r="G29" s="137" t="s">
        <v>52</v>
      </c>
      <c r="H29" s="137" t="s">
        <v>52</v>
      </c>
      <c r="I29" s="137" t="s">
        <v>52</v>
      </c>
      <c r="J29" s="137" t="s">
        <v>52</v>
      </c>
      <c r="K29" s="222" t="s">
        <v>52</v>
      </c>
      <c r="L29" s="137" t="s">
        <v>52</v>
      </c>
      <c r="M29" s="137" t="s">
        <v>52</v>
      </c>
      <c r="N29" s="137" t="s">
        <v>52</v>
      </c>
      <c r="O29" s="137" t="s">
        <v>52</v>
      </c>
      <c r="P29" s="137" t="s">
        <v>52</v>
      </c>
      <c r="Q29" s="137" t="s">
        <v>52</v>
      </c>
      <c r="R29" s="137" t="s">
        <v>52</v>
      </c>
    </row>
    <row r="30" spans="1:20">
      <c r="A30" s="135" t="s">
        <v>274</v>
      </c>
      <c r="B30" s="137" t="s">
        <v>52</v>
      </c>
      <c r="C30" s="137" t="s">
        <v>52</v>
      </c>
      <c r="D30" s="137" t="s">
        <v>52</v>
      </c>
      <c r="E30" s="137" t="s">
        <v>52</v>
      </c>
      <c r="F30" s="136">
        <v>1</v>
      </c>
      <c r="G30" s="137" t="s">
        <v>52</v>
      </c>
      <c r="H30" s="138">
        <v>83</v>
      </c>
      <c r="I30" s="137" t="s">
        <v>52</v>
      </c>
      <c r="J30" s="137" t="s">
        <v>52</v>
      </c>
      <c r="K30" s="222" t="s">
        <v>52</v>
      </c>
      <c r="L30" s="137" t="s">
        <v>52</v>
      </c>
      <c r="M30" s="137" t="s">
        <v>52</v>
      </c>
      <c r="N30" s="137" t="s">
        <v>52</v>
      </c>
      <c r="O30" s="137" t="s">
        <v>52</v>
      </c>
      <c r="P30" s="137" t="s">
        <v>52</v>
      </c>
      <c r="Q30" s="137" t="s">
        <v>52</v>
      </c>
      <c r="R30" s="138">
        <v>84</v>
      </c>
    </row>
    <row r="31" spans="1:20">
      <c r="A31" s="135" t="s">
        <v>275</v>
      </c>
      <c r="B31" s="137" t="s">
        <v>52</v>
      </c>
      <c r="C31" s="137" t="s">
        <v>52</v>
      </c>
      <c r="D31" s="137" t="s">
        <v>52</v>
      </c>
      <c r="E31" s="137" t="s">
        <v>52</v>
      </c>
      <c r="F31" s="138">
        <v>169</v>
      </c>
      <c r="G31" s="137" t="s">
        <v>52</v>
      </c>
      <c r="H31" s="137" t="s">
        <v>52</v>
      </c>
      <c r="I31" s="137" t="s">
        <v>52</v>
      </c>
      <c r="J31" s="137" t="s">
        <v>52</v>
      </c>
      <c r="K31" s="222" t="s">
        <v>52</v>
      </c>
      <c r="L31" s="137" t="s">
        <v>52</v>
      </c>
      <c r="M31" s="137" t="s">
        <v>52</v>
      </c>
      <c r="N31" s="137" t="s">
        <v>52</v>
      </c>
      <c r="O31" s="137" t="s">
        <v>52</v>
      </c>
      <c r="P31" s="137" t="s">
        <v>52</v>
      </c>
      <c r="Q31" s="137" t="s">
        <v>52</v>
      </c>
      <c r="R31" s="137" t="s">
        <v>52</v>
      </c>
    </row>
    <row r="32" spans="1:20">
      <c r="A32" s="135" t="s">
        <v>204</v>
      </c>
      <c r="B32" s="137" t="s">
        <v>52</v>
      </c>
      <c r="C32" s="137" t="s">
        <v>52</v>
      </c>
      <c r="D32" s="137" t="s">
        <v>52</v>
      </c>
      <c r="E32" s="137" t="s">
        <v>52</v>
      </c>
      <c r="F32" s="137" t="s">
        <v>52</v>
      </c>
      <c r="G32" s="137" t="s">
        <v>52</v>
      </c>
      <c r="H32" s="137" t="s">
        <v>52</v>
      </c>
      <c r="I32" s="137" t="s">
        <v>52</v>
      </c>
      <c r="J32" s="137" t="s">
        <v>52</v>
      </c>
      <c r="K32" s="222" t="s">
        <v>52</v>
      </c>
      <c r="L32" s="137" t="s">
        <v>52</v>
      </c>
      <c r="M32" s="138">
        <v>-63132</v>
      </c>
      <c r="N32" s="137" t="s">
        <v>52</v>
      </c>
      <c r="O32" s="137" t="s">
        <v>52</v>
      </c>
      <c r="P32" s="137" t="s">
        <v>52</v>
      </c>
      <c r="Q32" s="137" t="s">
        <v>52</v>
      </c>
      <c r="R32" s="138">
        <v>-63132</v>
      </c>
    </row>
    <row r="33" spans="1:19" s="223" customFormat="1" ht="18.5">
      <c r="A33" s="219" t="s">
        <v>284</v>
      </c>
      <c r="B33" s="220" t="s">
        <v>52</v>
      </c>
      <c r="C33" s="220" t="s">
        <v>52</v>
      </c>
      <c r="D33" s="220" t="s">
        <v>52</v>
      </c>
      <c r="E33" s="220" t="s">
        <v>52</v>
      </c>
      <c r="F33" s="231">
        <v>1063</v>
      </c>
      <c r="G33" s="220" t="s">
        <v>52</v>
      </c>
      <c r="H33" s="221">
        <v>887485</v>
      </c>
      <c r="I33" s="220" t="s">
        <v>52</v>
      </c>
      <c r="J33" s="220" t="s">
        <v>52</v>
      </c>
      <c r="K33" s="229">
        <v>1170078</v>
      </c>
      <c r="L33" s="220" t="s">
        <v>52</v>
      </c>
      <c r="M33" s="221">
        <v>-1765641</v>
      </c>
      <c r="N33" s="220" t="s">
        <v>52</v>
      </c>
      <c r="O33" s="221">
        <v>-982</v>
      </c>
      <c r="P33" s="220" t="s">
        <v>52</v>
      </c>
      <c r="Q33" s="220" t="s">
        <v>52</v>
      </c>
      <c r="R33" s="229">
        <v>292003</v>
      </c>
      <c r="S33" s="232">
        <f>R22+SUM(R23:R32)</f>
        <v>292003</v>
      </c>
    </row>
    <row r="34" spans="1:19" ht="18.5">
      <c r="A34" s="210" t="s">
        <v>285</v>
      </c>
      <c r="B34" s="137" t="s">
        <v>52</v>
      </c>
      <c r="C34" s="137" t="s">
        <v>52</v>
      </c>
      <c r="D34" s="137" t="s">
        <v>52</v>
      </c>
      <c r="E34" s="137" t="s">
        <v>52</v>
      </c>
      <c r="F34" s="140">
        <v>106323</v>
      </c>
      <c r="G34" s="142">
        <f>SUM(F23,F29,F31)</f>
        <v>106323</v>
      </c>
      <c r="H34" s="137" t="s">
        <v>52</v>
      </c>
      <c r="I34" s="137" t="s">
        <v>52</v>
      </c>
      <c r="J34" s="137" t="s">
        <v>52</v>
      </c>
      <c r="K34" s="222" t="s">
        <v>52</v>
      </c>
      <c r="L34" s="137" t="s">
        <v>52</v>
      </c>
      <c r="M34" s="137" t="s">
        <v>52</v>
      </c>
      <c r="N34" s="137" t="s">
        <v>52</v>
      </c>
      <c r="O34" s="137" t="s">
        <v>52</v>
      </c>
      <c r="P34" s="137" t="s">
        <v>52</v>
      </c>
      <c r="Q34" s="137" t="s">
        <v>52</v>
      </c>
      <c r="R34" s="137" t="s">
        <v>52</v>
      </c>
    </row>
    <row r="35" spans="1:19">
      <c r="A35" s="139" t="s">
        <v>270</v>
      </c>
      <c r="B35" s="137" t="s">
        <v>52</v>
      </c>
      <c r="C35" s="137" t="s">
        <v>52</v>
      </c>
      <c r="D35" s="137" t="s">
        <v>52</v>
      </c>
      <c r="E35" s="137" t="s">
        <v>52</v>
      </c>
      <c r="F35" s="137" t="s">
        <v>52</v>
      </c>
      <c r="G35" s="137" t="s">
        <v>52</v>
      </c>
      <c r="H35" s="137" t="s">
        <v>52</v>
      </c>
      <c r="I35" s="137" t="s">
        <v>52</v>
      </c>
      <c r="J35" s="137" t="s">
        <v>52</v>
      </c>
      <c r="K35" s="222" t="s">
        <v>52</v>
      </c>
      <c r="L35" s="137" t="s">
        <v>52</v>
      </c>
      <c r="M35" s="137" t="s">
        <v>52</v>
      </c>
      <c r="N35" s="137" t="s">
        <v>52</v>
      </c>
      <c r="O35" s="137" t="s">
        <v>52</v>
      </c>
      <c r="P35" s="137" t="s">
        <v>52</v>
      </c>
      <c r="Q35" s="137" t="s">
        <v>52</v>
      </c>
      <c r="R35" s="137" t="s">
        <v>52</v>
      </c>
    </row>
    <row r="36" spans="1:19" s="235" customFormat="1" ht="18.5">
      <c r="A36" s="219" t="s">
        <v>66</v>
      </c>
      <c r="B36" s="233" t="s">
        <v>52</v>
      </c>
      <c r="C36" s="233" t="s">
        <v>52</v>
      </c>
      <c r="D36" s="233" t="s">
        <v>52</v>
      </c>
      <c r="E36" s="233" t="s">
        <v>52</v>
      </c>
      <c r="F36" s="233" t="s">
        <v>52</v>
      </c>
      <c r="G36" s="233" t="s">
        <v>52</v>
      </c>
      <c r="H36" s="233" t="s">
        <v>52</v>
      </c>
      <c r="I36" s="233" t="s">
        <v>52</v>
      </c>
      <c r="J36" s="233" t="s">
        <v>52</v>
      </c>
      <c r="K36" s="227">
        <v>101351</v>
      </c>
      <c r="L36" s="233" t="s">
        <v>52</v>
      </c>
      <c r="M36" s="233" t="s">
        <v>52</v>
      </c>
      <c r="N36" s="233" t="s">
        <v>52</v>
      </c>
      <c r="O36" s="233" t="s">
        <v>52</v>
      </c>
      <c r="P36" s="233" t="s">
        <v>52</v>
      </c>
      <c r="Q36" s="233" t="s">
        <v>52</v>
      </c>
      <c r="R36" s="234">
        <v>101351</v>
      </c>
    </row>
    <row r="37" spans="1:19">
      <c r="A37" s="135" t="s">
        <v>206</v>
      </c>
      <c r="B37" s="137" t="s">
        <v>52</v>
      </c>
      <c r="C37" s="137" t="s">
        <v>52</v>
      </c>
      <c r="D37" s="137" t="s">
        <v>52</v>
      </c>
      <c r="E37" s="137" t="s">
        <v>52</v>
      </c>
      <c r="F37" s="137" t="s">
        <v>52</v>
      </c>
      <c r="G37" s="137" t="s">
        <v>52</v>
      </c>
      <c r="H37" s="137" t="s">
        <v>52</v>
      </c>
      <c r="I37" s="137" t="s">
        <v>52</v>
      </c>
      <c r="J37" s="137" t="s">
        <v>52</v>
      </c>
      <c r="K37" s="222" t="s">
        <v>52</v>
      </c>
      <c r="L37" s="137" t="s">
        <v>52</v>
      </c>
      <c r="M37" s="137" t="s">
        <v>52</v>
      </c>
      <c r="N37" s="137" t="s">
        <v>52</v>
      </c>
      <c r="O37" s="138">
        <v>288</v>
      </c>
      <c r="P37" s="137" t="s">
        <v>52</v>
      </c>
      <c r="Q37" s="137" t="s">
        <v>52</v>
      </c>
      <c r="R37" s="138">
        <v>288</v>
      </c>
    </row>
    <row r="38" spans="1:19">
      <c r="A38" s="135" t="s">
        <v>272</v>
      </c>
      <c r="B38" s="137" t="s">
        <v>52</v>
      </c>
      <c r="C38" s="137" t="s">
        <v>52</v>
      </c>
      <c r="D38" s="137" t="s">
        <v>52</v>
      </c>
      <c r="E38" s="137" t="s">
        <v>52</v>
      </c>
      <c r="F38" s="137" t="s">
        <v>52</v>
      </c>
      <c r="G38" s="137" t="s">
        <v>52</v>
      </c>
      <c r="H38" s="137" t="s">
        <v>52</v>
      </c>
      <c r="I38" s="137" t="s">
        <v>52</v>
      </c>
      <c r="J38" s="137" t="s">
        <v>52</v>
      </c>
      <c r="K38" s="229">
        <v>-55190</v>
      </c>
      <c r="L38" s="137" t="s">
        <v>52</v>
      </c>
      <c r="M38" s="137" t="s">
        <v>52</v>
      </c>
      <c r="N38" s="137" t="s">
        <v>52</v>
      </c>
      <c r="O38" s="137" t="s">
        <v>52</v>
      </c>
      <c r="P38" s="137" t="s">
        <v>52</v>
      </c>
      <c r="Q38" s="137" t="s">
        <v>52</v>
      </c>
      <c r="R38" s="138">
        <v>-55190</v>
      </c>
    </row>
    <row r="39" spans="1:19">
      <c r="A39" s="135" t="s">
        <v>182</v>
      </c>
      <c r="B39" s="137" t="s">
        <v>52</v>
      </c>
      <c r="C39" s="137" t="s">
        <v>52</v>
      </c>
      <c r="D39" s="137" t="s">
        <v>52</v>
      </c>
      <c r="E39" s="137" t="s">
        <v>52</v>
      </c>
      <c r="F39" s="136">
        <v>9</v>
      </c>
      <c r="G39" s="137" t="s">
        <v>52</v>
      </c>
      <c r="H39" s="138">
        <v>25957</v>
      </c>
      <c r="I39" s="137" t="s">
        <v>52</v>
      </c>
      <c r="J39" s="137" t="s">
        <v>52</v>
      </c>
      <c r="K39" s="222" t="s">
        <v>52</v>
      </c>
      <c r="L39" s="137" t="s">
        <v>52</v>
      </c>
      <c r="M39" s="137" t="s">
        <v>52</v>
      </c>
      <c r="N39" s="137" t="s">
        <v>52</v>
      </c>
      <c r="O39" s="137" t="s">
        <v>52</v>
      </c>
      <c r="P39" s="137" t="s">
        <v>52</v>
      </c>
      <c r="Q39" s="137" t="s">
        <v>52</v>
      </c>
      <c r="R39" s="138">
        <v>25966</v>
      </c>
    </row>
    <row r="40" spans="1:19">
      <c r="A40" s="135" t="s">
        <v>273</v>
      </c>
      <c r="B40" s="137" t="s">
        <v>52</v>
      </c>
      <c r="C40" s="137" t="s">
        <v>52</v>
      </c>
      <c r="D40" s="137" t="s">
        <v>52</v>
      </c>
      <c r="E40" s="137" t="s">
        <v>52</v>
      </c>
      <c r="F40" s="138">
        <v>872</v>
      </c>
      <c r="G40" s="137" t="s">
        <v>52</v>
      </c>
      <c r="H40" s="137" t="s">
        <v>52</v>
      </c>
      <c r="I40" s="137" t="s">
        <v>52</v>
      </c>
      <c r="J40" s="137" t="s">
        <v>52</v>
      </c>
      <c r="K40" s="222" t="s">
        <v>52</v>
      </c>
      <c r="L40" s="137" t="s">
        <v>52</v>
      </c>
      <c r="M40" s="137" t="s">
        <v>52</v>
      </c>
      <c r="N40" s="137" t="s">
        <v>52</v>
      </c>
      <c r="O40" s="137" t="s">
        <v>52</v>
      </c>
      <c r="P40" s="137" t="s">
        <v>52</v>
      </c>
      <c r="Q40" s="137" t="s">
        <v>52</v>
      </c>
      <c r="R40" s="137" t="s">
        <v>52</v>
      </c>
    </row>
    <row r="41" spans="1:19">
      <c r="A41" s="135" t="s">
        <v>204</v>
      </c>
      <c r="B41" s="137" t="s">
        <v>52</v>
      </c>
      <c r="C41" s="137" t="s">
        <v>52</v>
      </c>
      <c r="D41" s="137" t="s">
        <v>52</v>
      </c>
      <c r="E41" s="137" t="s">
        <v>52</v>
      </c>
      <c r="F41" s="137" t="s">
        <v>52</v>
      </c>
      <c r="G41" s="137" t="s">
        <v>52</v>
      </c>
      <c r="H41" s="137" t="s">
        <v>52</v>
      </c>
      <c r="I41" s="137" t="s">
        <v>52</v>
      </c>
      <c r="J41" s="137" t="s">
        <v>52</v>
      </c>
      <c r="K41" s="222" t="s">
        <v>52</v>
      </c>
      <c r="L41" s="137" t="s">
        <v>52</v>
      </c>
      <c r="M41" s="138">
        <v>-46356</v>
      </c>
      <c r="N41" s="137" t="s">
        <v>52</v>
      </c>
      <c r="O41" s="137" t="s">
        <v>52</v>
      </c>
      <c r="P41" s="137" t="s">
        <v>52</v>
      </c>
      <c r="Q41" s="137" t="s">
        <v>52</v>
      </c>
      <c r="R41" s="138">
        <v>-46356</v>
      </c>
    </row>
    <row r="42" spans="1:19" s="225" customFormat="1" ht="18.5">
      <c r="A42" s="210" t="s">
        <v>286</v>
      </c>
      <c r="B42" s="210" t="s">
        <v>52</v>
      </c>
      <c r="C42" s="210" t="s">
        <v>52</v>
      </c>
      <c r="D42" s="210" t="s">
        <v>52</v>
      </c>
      <c r="E42" s="210" t="s">
        <v>52</v>
      </c>
      <c r="F42" s="224">
        <v>1072</v>
      </c>
      <c r="G42" s="210" t="s">
        <v>52</v>
      </c>
      <c r="H42" s="224">
        <v>913442</v>
      </c>
      <c r="I42" s="210" t="s">
        <v>52</v>
      </c>
      <c r="J42" s="210" t="s">
        <v>52</v>
      </c>
      <c r="K42" s="226">
        <v>1216239</v>
      </c>
      <c r="L42" s="210" t="s">
        <v>52</v>
      </c>
      <c r="M42" s="224">
        <v>-1811997</v>
      </c>
      <c r="N42" s="210" t="s">
        <v>52</v>
      </c>
      <c r="O42" s="224">
        <v>-694</v>
      </c>
      <c r="P42" s="210" t="s">
        <v>52</v>
      </c>
      <c r="Q42" s="210" t="s">
        <v>52</v>
      </c>
      <c r="R42" s="224">
        <v>318062</v>
      </c>
    </row>
    <row r="43" spans="1:19">
      <c r="A43" s="135" t="s">
        <v>287</v>
      </c>
      <c r="B43" s="137" t="s">
        <v>52</v>
      </c>
      <c r="C43" s="137" t="s">
        <v>52</v>
      </c>
      <c r="D43" s="137" t="s">
        <v>52</v>
      </c>
      <c r="E43" s="137" t="s">
        <v>52</v>
      </c>
      <c r="F43" s="138">
        <v>107195</v>
      </c>
      <c r="G43" s="137" t="s">
        <v>52</v>
      </c>
      <c r="H43" s="137" t="s">
        <v>52</v>
      </c>
      <c r="I43" s="137" t="s">
        <v>52</v>
      </c>
      <c r="J43" s="137" t="s">
        <v>52</v>
      </c>
      <c r="K43" s="222" t="s">
        <v>52</v>
      </c>
      <c r="L43" s="137" t="s">
        <v>52</v>
      </c>
      <c r="M43" s="137" t="s">
        <v>52</v>
      </c>
      <c r="N43" s="137" t="s">
        <v>52</v>
      </c>
      <c r="O43" s="137" t="s">
        <v>52</v>
      </c>
      <c r="P43" s="137" t="s">
        <v>52</v>
      </c>
      <c r="Q43" s="137" t="s">
        <v>52</v>
      </c>
      <c r="R43" s="137" t="s">
        <v>52</v>
      </c>
    </row>
    <row r="45" spans="1:19" s="228" customFormat="1" ht="18.5">
      <c r="A45" s="219" t="s">
        <v>290</v>
      </c>
      <c r="B45" s="226">
        <v>1072</v>
      </c>
      <c r="C45" s="227">
        <v>913442</v>
      </c>
      <c r="D45" s="227">
        <v>1216239</v>
      </c>
      <c r="E45" s="227">
        <v>-1811997</v>
      </c>
      <c r="F45" s="227">
        <v>-694</v>
      </c>
      <c r="G45" s="227">
        <v>318062</v>
      </c>
    </row>
    <row r="46" spans="1:19" s="228" customFormat="1" ht="18.5">
      <c r="A46" s="219" t="s">
        <v>291</v>
      </c>
      <c r="B46" s="227">
        <v>107195</v>
      </c>
      <c r="C46" s="219" t="s">
        <v>52</v>
      </c>
      <c r="D46" s="219" t="s">
        <v>52</v>
      </c>
      <c r="E46" s="219" t="s">
        <v>52</v>
      </c>
      <c r="F46" s="219" t="s">
        <v>52</v>
      </c>
      <c r="G46" s="219" t="s">
        <v>52</v>
      </c>
    </row>
    <row r="47" spans="1:19">
      <c r="A47" s="144" t="s">
        <v>270</v>
      </c>
      <c r="B47" s="137" t="s">
        <v>52</v>
      </c>
      <c r="C47" s="137" t="s">
        <v>52</v>
      </c>
      <c r="D47" s="137" t="s">
        <v>52</v>
      </c>
      <c r="E47" s="137" t="s">
        <v>52</v>
      </c>
      <c r="F47" s="137" t="s">
        <v>52</v>
      </c>
      <c r="G47" s="137" t="s">
        <v>52</v>
      </c>
    </row>
    <row r="48" spans="1:19" s="230" customFormat="1">
      <c r="A48" s="222" t="s">
        <v>66</v>
      </c>
      <c r="B48" s="222" t="s">
        <v>52</v>
      </c>
      <c r="C48" s="222" t="s">
        <v>52</v>
      </c>
      <c r="D48" s="229">
        <v>33191</v>
      </c>
      <c r="E48" s="222" t="s">
        <v>52</v>
      </c>
      <c r="F48" s="222" t="s">
        <v>52</v>
      </c>
      <c r="G48" s="229">
        <v>33191</v>
      </c>
    </row>
    <row r="49" spans="1:11">
      <c r="A49" s="137" t="s">
        <v>206</v>
      </c>
      <c r="B49" s="137" t="s">
        <v>52</v>
      </c>
      <c r="C49" s="137" t="s">
        <v>52</v>
      </c>
      <c r="D49" s="137" t="s">
        <v>52</v>
      </c>
      <c r="E49" s="137" t="s">
        <v>52</v>
      </c>
      <c r="F49" s="138">
        <v>-253</v>
      </c>
      <c r="G49" s="138">
        <v>-253</v>
      </c>
    </row>
    <row r="50" spans="1:11">
      <c r="A50" s="137" t="s">
        <v>292</v>
      </c>
      <c r="B50" s="137" t="s">
        <v>52</v>
      </c>
      <c r="C50" s="137" t="s">
        <v>52</v>
      </c>
      <c r="D50" s="138">
        <v>-13764</v>
      </c>
      <c r="E50" s="137" t="s">
        <v>52</v>
      </c>
      <c r="F50" s="137" t="s">
        <v>52</v>
      </c>
      <c r="G50" s="138">
        <v>-13764</v>
      </c>
    </row>
    <row r="51" spans="1:11">
      <c r="A51" s="137" t="s">
        <v>182</v>
      </c>
      <c r="B51" s="136">
        <v>7</v>
      </c>
      <c r="C51" s="138">
        <v>7691</v>
      </c>
      <c r="D51" s="137" t="s">
        <v>52</v>
      </c>
      <c r="E51" s="137" t="s">
        <v>52</v>
      </c>
      <c r="F51" s="137" t="s">
        <v>52</v>
      </c>
      <c r="G51" s="138">
        <v>7698</v>
      </c>
    </row>
    <row r="52" spans="1:11">
      <c r="A52" s="137" t="s">
        <v>273</v>
      </c>
      <c r="B52" s="138">
        <v>680</v>
      </c>
      <c r="C52" s="137" t="s">
        <v>52</v>
      </c>
      <c r="D52" s="137" t="s">
        <v>52</v>
      </c>
      <c r="E52" s="137" t="s">
        <v>52</v>
      </c>
      <c r="F52" s="137" t="s">
        <v>52</v>
      </c>
      <c r="G52" s="137" t="s">
        <v>52</v>
      </c>
    </row>
    <row r="53" spans="1:11">
      <c r="A53" s="137" t="s">
        <v>293</v>
      </c>
      <c r="B53" s="137" t="s">
        <v>52</v>
      </c>
      <c r="C53" s="137" t="s">
        <v>52</v>
      </c>
      <c r="D53" s="137" t="s">
        <v>52</v>
      </c>
      <c r="E53" s="138">
        <v>-12496</v>
      </c>
      <c r="F53" s="137" t="s">
        <v>52</v>
      </c>
      <c r="G53" s="138">
        <v>-12496</v>
      </c>
    </row>
    <row r="54" spans="1:11" s="223" customFormat="1">
      <c r="A54" s="222" t="s">
        <v>294</v>
      </c>
      <c r="B54" s="231">
        <v>1079</v>
      </c>
      <c r="C54" s="229">
        <v>921133</v>
      </c>
      <c r="D54" s="229">
        <v>1235666</v>
      </c>
      <c r="E54" s="229">
        <v>-1824493</v>
      </c>
      <c r="F54" s="229">
        <v>-947</v>
      </c>
      <c r="G54" s="229">
        <v>332438</v>
      </c>
      <c r="K54" s="230"/>
    </row>
    <row r="55" spans="1:11">
      <c r="A55" s="137" t="s">
        <v>295</v>
      </c>
      <c r="B55" s="138">
        <v>107875</v>
      </c>
      <c r="C55" s="137" t="s">
        <v>52</v>
      </c>
      <c r="D55" s="137" t="s">
        <v>52</v>
      </c>
      <c r="E55" s="137" t="s">
        <v>52</v>
      </c>
      <c r="F55" s="137" t="s">
        <v>52</v>
      </c>
      <c r="G55" s="137" t="s">
        <v>52</v>
      </c>
    </row>
    <row r="56" spans="1:11" s="148" customFormat="1" ht="18.5">
      <c r="A56" s="210" t="s">
        <v>290</v>
      </c>
      <c r="B56" s="143">
        <v>1072</v>
      </c>
      <c r="C56" s="140">
        <v>913442</v>
      </c>
      <c r="D56" s="140">
        <v>1216239</v>
      </c>
      <c r="E56" s="140">
        <v>-1811997</v>
      </c>
      <c r="F56" s="140">
        <v>-694</v>
      </c>
      <c r="G56" s="140">
        <v>318062</v>
      </c>
      <c r="K56" s="230"/>
    </row>
    <row r="57" spans="1:11" s="230" customFormat="1" ht="18.5">
      <c r="A57" s="219" t="s">
        <v>291</v>
      </c>
      <c r="B57" s="229">
        <v>107195</v>
      </c>
      <c r="C57" s="222" t="s">
        <v>52</v>
      </c>
      <c r="D57" s="222" t="s">
        <v>52</v>
      </c>
      <c r="E57" s="222" t="s">
        <v>52</v>
      </c>
      <c r="F57" s="222" t="s">
        <v>52</v>
      </c>
      <c r="G57" s="222" t="s">
        <v>52</v>
      </c>
    </row>
    <row r="58" spans="1:11">
      <c r="A58" s="144" t="s">
        <v>270</v>
      </c>
      <c r="B58" s="137" t="s">
        <v>52</v>
      </c>
      <c r="C58" s="137" t="s">
        <v>52</v>
      </c>
      <c r="D58" s="137" t="s">
        <v>52</v>
      </c>
      <c r="E58" s="137" t="s">
        <v>52</v>
      </c>
      <c r="F58" s="137" t="s">
        <v>52</v>
      </c>
      <c r="G58" s="137" t="s">
        <v>52</v>
      </c>
    </row>
    <row r="59" spans="1:11">
      <c r="A59" s="137" t="s">
        <v>66</v>
      </c>
      <c r="B59" s="137" t="s">
        <v>52</v>
      </c>
      <c r="C59" s="137" t="s">
        <v>52</v>
      </c>
      <c r="D59" s="137" t="s">
        <v>52</v>
      </c>
      <c r="E59" s="137" t="s">
        <v>52</v>
      </c>
      <c r="F59" s="137" t="s">
        <v>52</v>
      </c>
      <c r="G59" s="138">
        <v>85635</v>
      </c>
    </row>
    <row r="60" spans="1:11">
      <c r="A60" s="137" t="s">
        <v>206</v>
      </c>
      <c r="B60" s="137" t="s">
        <v>52</v>
      </c>
      <c r="C60" s="137" t="s">
        <v>52</v>
      </c>
      <c r="D60" s="137" t="s">
        <v>52</v>
      </c>
      <c r="E60" s="137" t="s">
        <v>52</v>
      </c>
      <c r="F60" s="137" t="s">
        <v>52</v>
      </c>
      <c r="G60" s="136">
        <v>-377</v>
      </c>
    </row>
    <row r="61" spans="1:11">
      <c r="A61" s="137" t="s">
        <v>296</v>
      </c>
      <c r="B61" s="137" t="s">
        <v>52</v>
      </c>
      <c r="C61" s="137" t="s">
        <v>52</v>
      </c>
      <c r="D61" s="137" t="s">
        <v>52</v>
      </c>
      <c r="E61" s="137" t="s">
        <v>52</v>
      </c>
      <c r="F61" s="137" t="s">
        <v>52</v>
      </c>
      <c r="G61" s="138">
        <v>500</v>
      </c>
    </row>
    <row r="62" spans="1:11">
      <c r="A62" s="144" t="s">
        <v>297</v>
      </c>
      <c r="B62" s="143">
        <v>1079</v>
      </c>
      <c r="C62" s="140">
        <v>928015</v>
      </c>
      <c r="D62" s="140">
        <v>1274339</v>
      </c>
      <c r="E62" s="140">
        <v>-1828382</v>
      </c>
      <c r="F62" s="140">
        <v>-1071</v>
      </c>
      <c r="G62" s="143">
        <v>373980</v>
      </c>
    </row>
    <row r="63" spans="1:11">
      <c r="A63" s="137" t="s">
        <v>298</v>
      </c>
      <c r="B63" s="138">
        <v>107917</v>
      </c>
      <c r="C63" s="137" t="s">
        <v>52</v>
      </c>
      <c r="D63" s="137" t="s">
        <v>52</v>
      </c>
      <c r="E63" s="137" t="s">
        <v>52</v>
      </c>
      <c r="F63" s="137" t="s">
        <v>52</v>
      </c>
      <c r="G63" s="137" t="s">
        <v>52</v>
      </c>
    </row>
    <row r="64" spans="1:11">
      <c r="A64" s="137" t="s">
        <v>299</v>
      </c>
      <c r="B64" s="136">
        <v>1079</v>
      </c>
      <c r="C64" s="138">
        <v>921133</v>
      </c>
      <c r="D64" s="138">
        <v>1235666</v>
      </c>
      <c r="E64" s="138">
        <v>-1824493</v>
      </c>
      <c r="F64" s="138">
        <v>-947</v>
      </c>
      <c r="G64" s="140">
        <v>332438</v>
      </c>
    </row>
    <row r="65" spans="1:18">
      <c r="A65" s="137" t="s">
        <v>300</v>
      </c>
      <c r="B65" s="138">
        <v>107875</v>
      </c>
      <c r="C65" s="137" t="s">
        <v>52</v>
      </c>
      <c r="D65" s="137" t="s">
        <v>52</v>
      </c>
      <c r="E65" s="137" t="s">
        <v>52</v>
      </c>
      <c r="F65" s="137" t="s">
        <v>52</v>
      </c>
      <c r="G65" s="137" t="s">
        <v>52</v>
      </c>
    </row>
    <row r="66" spans="1:18">
      <c r="A66" s="144" t="s">
        <v>270</v>
      </c>
      <c r="B66" s="137" t="s">
        <v>52</v>
      </c>
      <c r="C66" s="137" t="s">
        <v>52</v>
      </c>
      <c r="D66" s="137" t="s">
        <v>52</v>
      </c>
      <c r="E66" s="137" t="s">
        <v>52</v>
      </c>
      <c r="F66" s="137" t="s">
        <v>52</v>
      </c>
      <c r="G66" s="137" t="s">
        <v>52</v>
      </c>
    </row>
    <row r="67" spans="1:18">
      <c r="A67" s="222" t="s">
        <v>66</v>
      </c>
      <c r="B67" s="222" t="s">
        <v>52</v>
      </c>
      <c r="C67" s="222" t="s">
        <v>52</v>
      </c>
      <c r="D67" s="229">
        <v>52444</v>
      </c>
      <c r="E67" s="222" t="s">
        <v>52</v>
      </c>
      <c r="F67" s="222" t="s">
        <v>52</v>
      </c>
      <c r="G67" s="229">
        <v>52444</v>
      </c>
      <c r="H67" s="230"/>
      <c r="I67" s="230"/>
      <c r="J67" s="230"/>
      <c r="L67" s="230"/>
      <c r="M67" s="230"/>
      <c r="N67" s="230"/>
      <c r="O67" s="230"/>
      <c r="P67" s="230"/>
      <c r="Q67" s="230"/>
      <c r="R67" s="230"/>
    </row>
    <row r="68" spans="1:18">
      <c r="A68" s="137" t="s">
        <v>206</v>
      </c>
      <c r="B68" s="137" t="s">
        <v>52</v>
      </c>
      <c r="C68" s="137" t="s">
        <v>52</v>
      </c>
      <c r="D68" s="137" t="s">
        <v>52</v>
      </c>
      <c r="E68" s="137" t="s">
        <v>52</v>
      </c>
      <c r="F68" s="138">
        <v>-124</v>
      </c>
      <c r="G68" s="138">
        <v>-124</v>
      </c>
      <c r="R68" s="143">
        <v>373980</v>
      </c>
    </row>
    <row r="69" spans="1:18">
      <c r="A69" s="137" t="s">
        <v>292</v>
      </c>
      <c r="B69" s="137" t="s">
        <v>52</v>
      </c>
      <c r="C69" s="137" t="s">
        <v>52</v>
      </c>
      <c r="D69" s="138">
        <v>-13771</v>
      </c>
      <c r="E69" s="137" t="s">
        <v>52</v>
      </c>
      <c r="F69" s="137" t="s">
        <v>52</v>
      </c>
      <c r="G69" s="138">
        <v>-13771</v>
      </c>
      <c r="R69" s="137" t="s">
        <v>52</v>
      </c>
    </row>
    <row r="70" spans="1:18">
      <c r="A70" s="137" t="s">
        <v>182</v>
      </c>
      <c r="B70" s="136">
        <v>0</v>
      </c>
      <c r="C70" s="138">
        <v>6882</v>
      </c>
      <c r="D70" s="137" t="s">
        <v>52</v>
      </c>
      <c r="E70" s="137" t="s">
        <v>52</v>
      </c>
      <c r="F70" s="137" t="s">
        <v>52</v>
      </c>
      <c r="G70" s="138">
        <v>6882</v>
      </c>
      <c r="R70" s="140">
        <v>332438</v>
      </c>
    </row>
    <row r="71" spans="1:18">
      <c r="A71" s="137" t="s">
        <v>273</v>
      </c>
      <c r="B71" s="138">
        <v>42</v>
      </c>
      <c r="C71" s="137" t="s">
        <v>52</v>
      </c>
      <c r="D71" s="137" t="s">
        <v>52</v>
      </c>
      <c r="E71" s="137" t="s">
        <v>52</v>
      </c>
      <c r="F71" s="137" t="s">
        <v>52</v>
      </c>
      <c r="G71" s="137" t="s">
        <v>52</v>
      </c>
      <c r="R71" s="137" t="s">
        <v>52</v>
      </c>
    </row>
    <row r="72" spans="1:18">
      <c r="A72" s="137" t="s">
        <v>293</v>
      </c>
      <c r="B72" s="137" t="s">
        <v>52</v>
      </c>
      <c r="C72" s="137" t="s">
        <v>52</v>
      </c>
      <c r="D72" s="137" t="s">
        <v>52</v>
      </c>
      <c r="E72" s="138">
        <v>-3889</v>
      </c>
      <c r="F72" s="137" t="s">
        <v>52</v>
      </c>
      <c r="G72" s="136">
        <v>-3889</v>
      </c>
      <c r="R72" s="137" t="s">
        <v>52</v>
      </c>
    </row>
    <row r="73" spans="1:18">
      <c r="A73" s="137" t="s">
        <v>296</v>
      </c>
      <c r="B73" s="137" t="s">
        <v>52</v>
      </c>
      <c r="C73" s="137" t="s">
        <v>52</v>
      </c>
      <c r="D73" s="137" t="s">
        <v>52</v>
      </c>
      <c r="E73" s="137" t="s">
        <v>52</v>
      </c>
      <c r="F73" s="137" t="s">
        <v>52</v>
      </c>
      <c r="G73" s="138">
        <v>100</v>
      </c>
      <c r="R73" s="138">
        <v>52444</v>
      </c>
    </row>
    <row r="74" spans="1:18">
      <c r="A74" s="222" t="s">
        <v>297</v>
      </c>
      <c r="B74" s="231">
        <v>1079</v>
      </c>
      <c r="C74" s="231">
        <v>928015</v>
      </c>
      <c r="D74" s="231">
        <v>1274339</v>
      </c>
      <c r="E74" s="231">
        <v>-1828382</v>
      </c>
      <c r="F74" s="231">
        <v>-1071</v>
      </c>
      <c r="G74" s="231">
        <v>373980</v>
      </c>
      <c r="H74" s="230"/>
      <c r="I74" s="230"/>
      <c r="J74" s="230"/>
      <c r="L74" s="230"/>
      <c r="M74" s="230"/>
      <c r="N74" s="230"/>
      <c r="O74" s="230"/>
      <c r="P74" s="230"/>
      <c r="Q74" s="230"/>
      <c r="R74" s="229">
        <v>-124</v>
      </c>
    </row>
    <row r="75" spans="1:18">
      <c r="A75" s="137" t="s">
        <v>298</v>
      </c>
      <c r="B75" s="138">
        <v>107917</v>
      </c>
      <c r="C75" s="137" t="s">
        <v>52</v>
      </c>
      <c r="D75" s="137" t="s">
        <v>52</v>
      </c>
      <c r="E75" s="137" t="s">
        <v>52</v>
      </c>
      <c r="F75" s="137" t="s">
        <v>52</v>
      </c>
      <c r="G75" s="137" t="s">
        <v>52</v>
      </c>
      <c r="R75" s="138">
        <v>-13771</v>
      </c>
    </row>
    <row r="76" spans="1:18">
      <c r="R76" s="138">
        <v>6882</v>
      </c>
    </row>
    <row r="77" spans="1:18">
      <c r="R77" s="146"/>
    </row>
    <row r="78" spans="1:18">
      <c r="A78" s="144" t="s">
        <v>297</v>
      </c>
      <c r="B78" s="143">
        <v>1079</v>
      </c>
      <c r="C78" s="140">
        <v>928015</v>
      </c>
      <c r="D78" s="140">
        <v>1274339</v>
      </c>
      <c r="E78" s="140">
        <v>-1828382</v>
      </c>
      <c r="F78" s="140">
        <v>-1071</v>
      </c>
    </row>
    <row r="79" spans="1:18">
      <c r="A79" s="137" t="s">
        <v>298</v>
      </c>
      <c r="B79" s="138">
        <v>107917</v>
      </c>
      <c r="C79" s="137" t="s">
        <v>52</v>
      </c>
      <c r="D79" s="137" t="s">
        <v>52</v>
      </c>
      <c r="E79" s="137" t="s">
        <v>52</v>
      </c>
      <c r="F79" s="137" t="s">
        <v>52</v>
      </c>
    </row>
    <row r="80" spans="1:18">
      <c r="A80" s="137" t="s">
        <v>299</v>
      </c>
      <c r="B80" s="136">
        <v>1079</v>
      </c>
      <c r="C80" s="138">
        <v>921133</v>
      </c>
      <c r="D80" s="138">
        <v>1235666</v>
      </c>
      <c r="E80" s="138">
        <v>-1824493</v>
      </c>
      <c r="F80" s="138">
        <v>-947</v>
      </c>
    </row>
    <row r="81" spans="1:7">
      <c r="A81" s="137" t="s">
        <v>300</v>
      </c>
      <c r="B81" s="138">
        <v>107875</v>
      </c>
      <c r="C81" s="137" t="s">
        <v>52</v>
      </c>
      <c r="D81" s="137" t="s">
        <v>52</v>
      </c>
      <c r="E81" s="137" t="s">
        <v>52</v>
      </c>
      <c r="F81" s="137" t="s">
        <v>52</v>
      </c>
    </row>
    <row r="82" spans="1:7">
      <c r="A82" s="144" t="s">
        <v>270</v>
      </c>
      <c r="B82" s="137" t="s">
        <v>52</v>
      </c>
      <c r="C82" s="137" t="s">
        <v>52</v>
      </c>
      <c r="D82" s="137" t="s">
        <v>52</v>
      </c>
      <c r="E82" s="137" t="s">
        <v>52</v>
      </c>
      <c r="F82" s="137" t="s">
        <v>52</v>
      </c>
    </row>
    <row r="83" spans="1:7">
      <c r="A83" s="137" t="s">
        <v>66</v>
      </c>
      <c r="B83" s="137" t="s">
        <v>52</v>
      </c>
      <c r="C83" s="137" t="s">
        <v>52</v>
      </c>
      <c r="D83" s="138">
        <v>52444</v>
      </c>
      <c r="E83" s="137" t="s">
        <v>52</v>
      </c>
      <c r="F83" s="137" t="s">
        <v>52</v>
      </c>
    </row>
    <row r="84" spans="1:7">
      <c r="A84" s="137" t="s">
        <v>206</v>
      </c>
      <c r="B84" s="137" t="s">
        <v>52</v>
      </c>
      <c r="C84" s="137" t="s">
        <v>52</v>
      </c>
      <c r="D84" s="137" t="s">
        <v>52</v>
      </c>
      <c r="E84" s="137" t="s">
        <v>52</v>
      </c>
      <c r="F84" s="138">
        <v>-124</v>
      </c>
    </row>
    <row r="85" spans="1:7">
      <c r="A85" s="137" t="s">
        <v>292</v>
      </c>
      <c r="B85" s="137" t="s">
        <v>52</v>
      </c>
      <c r="C85" s="137" t="s">
        <v>52</v>
      </c>
      <c r="D85" s="138">
        <v>-13771</v>
      </c>
      <c r="E85" s="137" t="s">
        <v>52</v>
      </c>
      <c r="F85" s="137" t="s">
        <v>52</v>
      </c>
    </row>
    <row r="86" spans="1:7">
      <c r="A86" s="137" t="s">
        <v>182</v>
      </c>
      <c r="B86" s="136">
        <v>0</v>
      </c>
      <c r="C86" s="138">
        <v>6882</v>
      </c>
      <c r="D86" s="137" t="s">
        <v>52</v>
      </c>
      <c r="E86" s="137" t="s">
        <v>52</v>
      </c>
      <c r="F86" s="137" t="s">
        <v>52</v>
      </c>
    </row>
    <row r="87" spans="1:7">
      <c r="A87" s="137" t="s">
        <v>273</v>
      </c>
      <c r="B87" s="138">
        <v>42</v>
      </c>
      <c r="C87" s="137" t="s">
        <v>52</v>
      </c>
      <c r="D87" s="137" t="s">
        <v>52</v>
      </c>
      <c r="E87" s="137" t="s">
        <v>52</v>
      </c>
      <c r="F87" s="137" t="s">
        <v>52</v>
      </c>
    </row>
    <row r="88" spans="1:7">
      <c r="A88" s="137" t="s">
        <v>293</v>
      </c>
      <c r="B88" s="137" t="s">
        <v>52</v>
      </c>
      <c r="C88" s="137" t="s">
        <v>52</v>
      </c>
      <c r="D88" s="137" t="s">
        <v>52</v>
      </c>
      <c r="E88" s="138">
        <v>-3889</v>
      </c>
      <c r="F88" s="137" t="s">
        <v>52</v>
      </c>
    </row>
    <row r="89" spans="1:7">
      <c r="A89" s="137" t="s">
        <v>296</v>
      </c>
      <c r="B89" s="137" t="s">
        <v>52</v>
      </c>
      <c r="C89" s="137" t="s">
        <v>52</v>
      </c>
      <c r="D89" s="137" t="s">
        <v>52</v>
      </c>
      <c r="E89" s="137" t="s">
        <v>52</v>
      </c>
      <c r="F89" s="137" t="s">
        <v>52</v>
      </c>
    </row>
    <row r="90" spans="1:7">
      <c r="A90" s="137" t="s">
        <v>297</v>
      </c>
      <c r="B90" s="136">
        <v>1079</v>
      </c>
      <c r="C90" s="136">
        <v>928015</v>
      </c>
      <c r="D90" s="136">
        <v>1274339</v>
      </c>
      <c r="E90" s="136">
        <v>-1828382</v>
      </c>
      <c r="F90" s="136">
        <v>-1071</v>
      </c>
    </row>
    <row r="92" spans="1:7">
      <c r="A92" s="147"/>
      <c r="B92" s="148"/>
      <c r="C92" s="148"/>
      <c r="D92" s="148"/>
      <c r="E92" s="148"/>
      <c r="F92" s="148"/>
    </row>
    <row r="93" spans="1:7" ht="29">
      <c r="A93" s="145" t="s">
        <v>301</v>
      </c>
      <c r="G93" s="137" t="s">
        <v>301</v>
      </c>
    </row>
    <row r="94" spans="1:7">
      <c r="A94" s="137" t="s">
        <v>290</v>
      </c>
      <c r="G94" s="140">
        <v>318062</v>
      </c>
    </row>
    <row r="95" spans="1:7">
      <c r="A95" s="137"/>
    </row>
    <row r="96" spans="1:7">
      <c r="A96" s="144" t="s">
        <v>270</v>
      </c>
    </row>
    <row r="97" spans="1:7">
      <c r="A97" s="137" t="s">
        <v>66</v>
      </c>
      <c r="G97" s="141">
        <v>85635</v>
      </c>
    </row>
    <row r="98" spans="1:7">
      <c r="A98" s="137" t="s">
        <v>206</v>
      </c>
      <c r="G98" s="141">
        <v>-377</v>
      </c>
    </row>
    <row r="99" spans="1:7">
      <c r="A99" s="137" t="s">
        <v>292</v>
      </c>
      <c r="G99" s="141">
        <v>-27535</v>
      </c>
    </row>
    <row r="100" spans="1:7">
      <c r="A100" s="137" t="s">
        <v>182</v>
      </c>
      <c r="G100" s="141">
        <v>14580</v>
      </c>
    </row>
    <row r="101" spans="1:7">
      <c r="A101" s="137" t="s">
        <v>273</v>
      </c>
      <c r="G101" s="141"/>
    </row>
    <row r="102" spans="1:7">
      <c r="A102" s="137" t="s">
        <v>293</v>
      </c>
      <c r="G102" s="141">
        <v>-16385</v>
      </c>
    </row>
    <row r="103" spans="1:7">
      <c r="A103" s="137" t="s">
        <v>296</v>
      </c>
    </row>
    <row r="104" spans="1:7">
      <c r="A104" s="222" t="s">
        <v>297</v>
      </c>
      <c r="B104" s="230"/>
      <c r="C104" s="230"/>
      <c r="D104" s="230"/>
      <c r="E104" s="230"/>
      <c r="F104" s="230"/>
      <c r="G104" s="236">
        <v>373980</v>
      </c>
    </row>
    <row r="105" spans="1:7">
      <c r="A105" s="137" t="s">
        <v>298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3CB22-8287-43D1-89C0-BE12C5838358}">
  <sheetPr codeName="Sheet5">
    <tabColor rgb="FF92D050"/>
  </sheetPr>
  <dimension ref="A1:G49"/>
  <sheetViews>
    <sheetView workbookViewId="0">
      <selection sqref="A1:A2"/>
    </sheetView>
  </sheetViews>
  <sheetFormatPr defaultRowHeight="14.5"/>
  <cols>
    <col min="1" max="1" width="78" customWidth="1"/>
    <col min="2" max="3" width="14" customWidth="1"/>
    <col min="4" max="4" width="16" customWidth="1"/>
    <col min="5" max="5" width="11.08984375" bestFit="1" customWidth="1"/>
  </cols>
  <sheetData>
    <row r="1" spans="1:7">
      <c r="A1" s="458" t="s">
        <v>178</v>
      </c>
      <c r="B1">
        <v>2021</v>
      </c>
      <c r="C1">
        <v>2022</v>
      </c>
      <c r="D1" s="55">
        <v>2023</v>
      </c>
      <c r="E1">
        <v>2024</v>
      </c>
    </row>
    <row r="2" spans="1:7">
      <c r="A2" s="459"/>
      <c r="B2" s="48" t="s">
        <v>69</v>
      </c>
      <c r="C2" s="48" t="s">
        <v>70</v>
      </c>
      <c r="D2" s="48" t="s">
        <v>71</v>
      </c>
      <c r="E2" t="s">
        <v>51</v>
      </c>
    </row>
    <row r="3" spans="1:7" ht="23.5">
      <c r="A3" s="102" t="s">
        <v>179</v>
      </c>
      <c r="B3" s="50" t="s">
        <v>52</v>
      </c>
      <c r="C3" s="50" t="s">
        <v>52</v>
      </c>
      <c r="D3" s="50" t="s">
        <v>52</v>
      </c>
      <c r="F3" s="108"/>
    </row>
    <row r="4" spans="1:7">
      <c r="A4" s="50" t="s">
        <v>66</v>
      </c>
      <c r="B4" s="51">
        <v>72373</v>
      </c>
      <c r="C4" s="51">
        <v>43123</v>
      </c>
      <c r="D4" s="51">
        <v>101351</v>
      </c>
      <c r="E4" s="54">
        <f>VLOOKUP(A4,PrelimCF_24!$A$3:$C$39,2,FALSE)</f>
        <v>85635</v>
      </c>
    </row>
    <row r="5" spans="1:7">
      <c r="A5" s="49" t="s">
        <v>180</v>
      </c>
      <c r="B5" s="50" t="s">
        <v>52</v>
      </c>
      <c r="C5" s="50" t="s">
        <v>52</v>
      </c>
      <c r="D5" s="50" t="s">
        <v>52</v>
      </c>
      <c r="E5" s="54" t="str">
        <f>VLOOKUP(A5,PrelimCF_24!$A$3:$C$39,2,FALSE)</f>
        <v> </v>
      </c>
      <c r="G5" s="108"/>
    </row>
    <row r="6" spans="1:7">
      <c r="A6" s="50" t="s">
        <v>58</v>
      </c>
      <c r="B6" s="52">
        <v>89654</v>
      </c>
      <c r="C6" s="52">
        <v>92380</v>
      </c>
      <c r="D6" s="52">
        <v>93136</v>
      </c>
      <c r="E6" s="54">
        <f>VLOOKUP(A6,PrelimCF_24!$A$3:$C$39,2,FALSE)</f>
        <v>49716</v>
      </c>
    </row>
    <row r="7" spans="1:7">
      <c r="A7" s="50" t="s">
        <v>77</v>
      </c>
      <c r="B7" s="52">
        <v>17937</v>
      </c>
      <c r="C7" s="52">
        <v>31327</v>
      </c>
      <c r="D7" s="52">
        <v>26998</v>
      </c>
      <c r="E7" s="54">
        <v>606</v>
      </c>
    </row>
    <row r="8" spans="1:7">
      <c r="A8" s="50" t="s">
        <v>181</v>
      </c>
      <c r="B8" s="52">
        <v>-20849</v>
      </c>
      <c r="C8" s="52">
        <v>-18646</v>
      </c>
      <c r="D8" s="52">
        <v>-15715</v>
      </c>
      <c r="E8" s="54">
        <f>VLOOKUP(A8,PrelimCF_24!$A$3:$C$39,2,FALSE)</f>
        <v>2511</v>
      </c>
    </row>
    <row r="9" spans="1:7">
      <c r="A9" s="50" t="s">
        <v>182</v>
      </c>
      <c r="B9" s="52">
        <v>22988</v>
      </c>
      <c r="C9" s="52">
        <v>24426</v>
      </c>
      <c r="D9" s="52">
        <v>25781</v>
      </c>
      <c r="E9" s="54">
        <f>VLOOKUP(A9,PrelimCF_24!$A$3:$C$39,2,FALSE)</f>
        <v>14475</v>
      </c>
    </row>
    <row r="10" spans="1:7" ht="14" customHeight="1">
      <c r="A10" s="50" t="s">
        <v>218</v>
      </c>
      <c r="B10" s="52"/>
      <c r="C10" s="52"/>
      <c r="D10" s="52"/>
      <c r="E10" s="52">
        <v>-6506</v>
      </c>
    </row>
    <row r="11" spans="1:7">
      <c r="A11" s="49" t="s">
        <v>183</v>
      </c>
      <c r="B11" s="50" t="s">
        <v>52</v>
      </c>
      <c r="C11" s="50" t="s">
        <v>52</v>
      </c>
      <c r="D11" s="50" t="s">
        <v>52</v>
      </c>
      <c r="E11" s="54" t="str">
        <f>VLOOKUP(A11,PrelimCF_24!$A$3:$C$39,2,FALSE)</f>
        <v> </v>
      </c>
    </row>
    <row r="12" spans="1:7">
      <c r="A12" s="50" t="s">
        <v>114</v>
      </c>
      <c r="B12" s="52">
        <v>-24816</v>
      </c>
      <c r="C12" s="52">
        <v>-12266</v>
      </c>
      <c r="D12" s="52">
        <v>-98</v>
      </c>
      <c r="E12" s="54">
        <f>VLOOKUP(A12,PrelimCF_24!$A$3:$C$39,2,FALSE)</f>
        <v>28462</v>
      </c>
    </row>
    <row r="13" spans="1:7">
      <c r="A13" s="50" t="s">
        <v>184</v>
      </c>
      <c r="B13" s="52">
        <v>715</v>
      </c>
      <c r="C13" s="52">
        <v>14651</v>
      </c>
      <c r="D13" s="52">
        <v>852</v>
      </c>
      <c r="E13" s="54">
        <f>VLOOKUP(A13,PrelimCF_24!$A$3:$C$39,2,FALSE)</f>
        <v>-4185</v>
      </c>
    </row>
    <row r="14" spans="1:7">
      <c r="A14" s="50" t="s">
        <v>116</v>
      </c>
      <c r="B14" s="52">
        <v>-3478</v>
      </c>
      <c r="C14" s="52">
        <v>-12725</v>
      </c>
      <c r="D14" s="52">
        <v>-2092</v>
      </c>
      <c r="E14" s="54">
        <f>VLOOKUP(A14,PrelimCF_24!$A$3:$C$39,2,FALSE)</f>
        <v>-13342</v>
      </c>
    </row>
    <row r="15" spans="1:7">
      <c r="A15" s="50" t="s">
        <v>117</v>
      </c>
      <c r="B15" s="52">
        <v>-1137</v>
      </c>
      <c r="C15" s="52">
        <v>-11960</v>
      </c>
      <c r="D15" s="52">
        <v>-14694</v>
      </c>
      <c r="E15" s="54">
        <f>VLOOKUP(A15,PrelimCF_24!$A$3:$C$39,2,FALSE)</f>
        <v>-5958</v>
      </c>
    </row>
    <row r="16" spans="1:7">
      <c r="A16" s="50" t="s">
        <v>185</v>
      </c>
      <c r="B16" s="52">
        <v>-4106</v>
      </c>
      <c r="C16" s="52">
        <v>-18404</v>
      </c>
      <c r="D16" s="52">
        <v>-27113</v>
      </c>
      <c r="E16" s="54">
        <f>VLOOKUP(A16,PrelimCF_24!$A$3:$C$39,2,FALSE)</f>
        <v>-16729</v>
      </c>
    </row>
    <row r="17" spans="1:7">
      <c r="A17" s="50" t="s">
        <v>11</v>
      </c>
      <c r="B17" s="52">
        <v>-9227</v>
      </c>
      <c r="C17" s="52">
        <v>13739</v>
      </c>
      <c r="D17" s="52">
        <v>-14504</v>
      </c>
      <c r="E17" s="54">
        <f>VLOOKUP(A17,PrelimCF_24!$A$3:$C$39,2,FALSE)</f>
        <v>-8838</v>
      </c>
    </row>
    <row r="18" spans="1:7">
      <c r="A18" s="50" t="s">
        <v>127</v>
      </c>
      <c r="B18" s="52">
        <v>-3678</v>
      </c>
      <c r="C18" s="52">
        <v>17586</v>
      </c>
      <c r="D18" s="52">
        <v>3971</v>
      </c>
      <c r="E18" s="54">
        <f>VLOOKUP(A18,PrelimCF_24!$A$3:$C$39,2,FALSE)</f>
        <v>4351</v>
      </c>
    </row>
    <row r="19" spans="1:7">
      <c r="A19" s="50" t="s">
        <v>128</v>
      </c>
      <c r="B19" s="52">
        <v>26527</v>
      </c>
      <c r="C19" s="52">
        <v>8634</v>
      </c>
      <c r="D19" s="52">
        <v>3104</v>
      </c>
      <c r="E19" s="54">
        <f>VLOOKUP(A19,PrelimCF_24!$A$3:$C$39,2,FALSE)</f>
        <v>-30568</v>
      </c>
    </row>
    <row r="20" spans="1:7">
      <c r="A20" s="50" t="s">
        <v>130</v>
      </c>
      <c r="B20" s="52">
        <v>50103</v>
      </c>
      <c r="C20" s="52">
        <v>-9939</v>
      </c>
      <c r="D20" s="52">
        <v>37424</v>
      </c>
      <c r="E20" s="54">
        <f>VLOOKUP(A20,PrelimCF_24!$A$3:$C$39,2,FALSE)</f>
        <v>-5185</v>
      </c>
    </row>
    <row r="21" spans="1:7">
      <c r="A21" s="49" t="s">
        <v>186</v>
      </c>
      <c r="B21" s="91">
        <v>213006</v>
      </c>
      <c r="C21" s="91">
        <v>161926</v>
      </c>
      <c r="D21" s="91">
        <v>218401</v>
      </c>
      <c r="E21" s="92">
        <f>VLOOKUP(A21,PrelimCF_24!$A$3:$C$39,2,FALSE)</f>
        <v>94445</v>
      </c>
      <c r="F21" s="132"/>
      <c r="G21" s="108"/>
    </row>
    <row r="22" spans="1:7" ht="26">
      <c r="A22" s="103" t="s">
        <v>187</v>
      </c>
      <c r="B22" s="50" t="s">
        <v>52</v>
      </c>
      <c r="C22" s="50" t="s">
        <v>52</v>
      </c>
      <c r="D22" s="50" t="s">
        <v>52</v>
      </c>
      <c r="E22" s="54" t="str">
        <f>VLOOKUP(A22,PrelimCF_24!$A$3:$C$39,2,FALSE)</f>
        <v> </v>
      </c>
    </row>
    <row r="23" spans="1:7">
      <c r="A23" s="49" t="s">
        <v>188</v>
      </c>
      <c r="B23" s="105">
        <v>-66943</v>
      </c>
      <c r="C23" s="105">
        <v>-112464</v>
      </c>
      <c r="D23" s="105">
        <v>-151565</v>
      </c>
      <c r="E23" s="106">
        <f>VLOOKUP(A23,PrelimCF_24!$A$3:$C$39,2,FALSE)</f>
        <v>-66297</v>
      </c>
      <c r="F23" s="107"/>
    </row>
    <row r="24" spans="1:7">
      <c r="A24" s="50" t="s">
        <v>189</v>
      </c>
      <c r="B24" s="52">
        <v>-606</v>
      </c>
      <c r="C24" s="52">
        <v>-680</v>
      </c>
      <c r="D24" s="52">
        <v>-1658</v>
      </c>
      <c r="E24" s="54">
        <f>VLOOKUP(A24,PrelimCF_24!$A$3:$C$39,2,FALSE)</f>
        <v>-680</v>
      </c>
    </row>
    <row r="25" spans="1:7">
      <c r="A25" s="50" t="s">
        <v>123</v>
      </c>
      <c r="B25" s="52">
        <v>-1061</v>
      </c>
      <c r="C25" s="52">
        <v>329</v>
      </c>
      <c r="D25" s="52">
        <v>-274</v>
      </c>
      <c r="E25" s="54">
        <f>VLOOKUP(A25,PrelimCF_24!$A$3:$C$39,2,FALSE)</f>
        <v>173</v>
      </c>
    </row>
    <row r="26" spans="1:7">
      <c r="A26" s="50" t="s">
        <v>190</v>
      </c>
      <c r="B26" s="52">
        <v>-68610</v>
      </c>
      <c r="C26" s="52">
        <v>-112815</v>
      </c>
      <c r="D26" s="52">
        <v>-153497</v>
      </c>
      <c r="E26" s="54">
        <f>VLOOKUP(A26,PrelimCF_24!$A$3:$C$39,2,FALSE)</f>
        <v>-66804</v>
      </c>
      <c r="F26" s="108"/>
      <c r="G26" s="108"/>
    </row>
    <row r="27" spans="1:7" ht="31">
      <c r="A27" s="104" t="s">
        <v>191</v>
      </c>
      <c r="B27" s="50" t="s">
        <v>52</v>
      </c>
      <c r="C27" s="50" t="s">
        <v>52</v>
      </c>
      <c r="D27" s="50" t="s">
        <v>52</v>
      </c>
      <c r="E27" s="54" t="str">
        <f>VLOOKUP(A27,PrelimCF_24!$A$3:$C$39,2,FALSE)</f>
        <v> </v>
      </c>
    </row>
    <row r="28" spans="1:7">
      <c r="A28" s="50" t="s">
        <v>192</v>
      </c>
      <c r="B28" s="52">
        <v>-17000</v>
      </c>
      <c r="C28" s="52">
        <v>-18316</v>
      </c>
      <c r="D28" s="52">
        <v>-24243</v>
      </c>
      <c r="E28" s="54">
        <f>VLOOKUP(A28,PrelimCF_24!$A$3:$C$39,2,FALSE)</f>
        <v>0</v>
      </c>
    </row>
    <row r="29" spans="1:7">
      <c r="A29" s="50" t="s">
        <v>193</v>
      </c>
      <c r="B29" s="50" t="s">
        <v>52</v>
      </c>
      <c r="C29" s="52">
        <v>130000</v>
      </c>
      <c r="D29" s="52">
        <v>15000</v>
      </c>
      <c r="E29" s="54">
        <v>0</v>
      </c>
    </row>
    <row r="30" spans="1:7">
      <c r="A30" s="50" t="s">
        <v>194</v>
      </c>
      <c r="B30" s="52">
        <v>-150000</v>
      </c>
      <c r="C30" s="52">
        <v>-130000</v>
      </c>
      <c r="D30" s="52">
        <v>-15000</v>
      </c>
      <c r="E30" s="54">
        <v>0</v>
      </c>
    </row>
    <row r="31" spans="1:7">
      <c r="A31" s="50" t="s">
        <v>195</v>
      </c>
      <c r="B31" s="52">
        <v>345000</v>
      </c>
      <c r="C31" s="50" t="s">
        <v>52</v>
      </c>
      <c r="D31" s="50" t="s">
        <v>52</v>
      </c>
      <c r="E31" s="54">
        <v>0</v>
      </c>
    </row>
    <row r="32" spans="1:7">
      <c r="A32" s="50" t="s">
        <v>196</v>
      </c>
      <c r="B32" s="52">
        <v>-10074</v>
      </c>
      <c r="C32" s="50" t="s">
        <v>52</v>
      </c>
      <c r="D32" s="50" t="s">
        <v>52</v>
      </c>
      <c r="E32" s="54">
        <v>0</v>
      </c>
    </row>
    <row r="33" spans="1:7">
      <c r="A33" s="50" t="s">
        <v>197</v>
      </c>
      <c r="B33" s="52">
        <v>-443751</v>
      </c>
      <c r="C33" s="50" t="s">
        <v>52</v>
      </c>
      <c r="D33" s="50" t="s">
        <v>52</v>
      </c>
      <c r="E33" s="54">
        <v>0</v>
      </c>
    </row>
    <row r="34" spans="1:7">
      <c r="A34" s="50" t="s">
        <v>198</v>
      </c>
      <c r="B34" s="52">
        <v>-74</v>
      </c>
      <c r="C34" s="50" t="s">
        <v>52</v>
      </c>
      <c r="D34" s="50" t="s">
        <v>52</v>
      </c>
      <c r="E34" s="54">
        <v>0</v>
      </c>
    </row>
    <row r="35" spans="1:7">
      <c r="A35" s="50" t="s">
        <v>199</v>
      </c>
      <c r="B35" s="52">
        <v>-18661</v>
      </c>
      <c r="C35" s="50" t="s">
        <v>52</v>
      </c>
      <c r="D35" s="50" t="s">
        <v>52</v>
      </c>
      <c r="E35" s="54">
        <v>0</v>
      </c>
    </row>
    <row r="36" spans="1:7">
      <c r="A36" s="50" t="s">
        <v>200</v>
      </c>
      <c r="B36" s="52">
        <v>175000</v>
      </c>
      <c r="C36" s="50" t="s">
        <v>52</v>
      </c>
      <c r="D36" s="50" t="s">
        <v>52</v>
      </c>
      <c r="E36" s="54">
        <v>0</v>
      </c>
    </row>
    <row r="37" spans="1:7">
      <c r="A37" s="50" t="s">
        <v>201</v>
      </c>
      <c r="B37" s="52">
        <v>-7950</v>
      </c>
      <c r="C37" s="50" t="s">
        <v>52</v>
      </c>
      <c r="D37" s="50" t="s">
        <v>52</v>
      </c>
      <c r="E37" s="54">
        <v>0</v>
      </c>
    </row>
    <row r="38" spans="1:7">
      <c r="A38" s="50" t="s">
        <v>202</v>
      </c>
      <c r="B38" s="52">
        <v>24786</v>
      </c>
      <c r="C38" s="52">
        <v>84</v>
      </c>
      <c r="D38" s="50" t="s">
        <v>52</v>
      </c>
      <c r="E38" s="54">
        <v>0</v>
      </c>
    </row>
    <row r="39" spans="1:7">
      <c r="A39" s="50" t="s">
        <v>203</v>
      </c>
      <c r="B39" s="52">
        <v>-337</v>
      </c>
      <c r="C39" s="52">
        <v>-42272</v>
      </c>
      <c r="D39" s="52">
        <v>-53207</v>
      </c>
      <c r="E39" s="54">
        <f>VLOOKUP(A39,PrelimCF_24!$A$3:$C$39,2,FALSE)</f>
        <v>-26693</v>
      </c>
    </row>
    <row r="40" spans="1:7">
      <c r="A40" s="50" t="s">
        <v>204</v>
      </c>
      <c r="B40" s="52">
        <v>-5766</v>
      </c>
      <c r="C40" s="52">
        <v>-63132</v>
      </c>
      <c r="D40" s="52">
        <v>-46085</v>
      </c>
      <c r="E40" s="54">
        <f>VLOOKUP(A40,PrelimCF_24!$A$3:$C$39,2,FALSE)</f>
        <v>-16365</v>
      </c>
    </row>
    <row r="41" spans="1:7" ht="18.5">
      <c r="A41" s="180" t="s">
        <v>205</v>
      </c>
      <c r="B41" s="91">
        <v>-108827</v>
      </c>
      <c r="C41" s="91">
        <v>-123636</v>
      </c>
      <c r="D41" s="91">
        <v>-123535</v>
      </c>
      <c r="E41" s="92">
        <f>VLOOKUP(A41,PrelimCF_24!$A$3:$C$39,2,FALSE)</f>
        <v>-43058</v>
      </c>
      <c r="F41" s="108"/>
      <c r="G41" s="108"/>
    </row>
    <row r="42" spans="1:7">
      <c r="A42" s="50" t="s">
        <v>206</v>
      </c>
      <c r="B42" s="52">
        <v>-27</v>
      </c>
      <c r="C42" s="52">
        <v>-325</v>
      </c>
      <c r="D42" s="52">
        <v>144</v>
      </c>
      <c r="E42" s="54">
        <f>VLOOKUP(A42,PrelimCF_24!$A$3:$C$39,2,FALSE)</f>
        <v>-219</v>
      </c>
    </row>
    <row r="43" spans="1:7">
      <c r="A43" s="50" t="s">
        <v>207</v>
      </c>
      <c r="B43" s="52">
        <v>35542</v>
      </c>
      <c r="C43" s="52">
        <v>-74850</v>
      </c>
      <c r="D43" s="52">
        <v>-58487</v>
      </c>
      <c r="E43" s="54">
        <f>VLOOKUP(A43,PrelimCF_24!$A$3:$C$39,2,FALSE)</f>
        <v>-15636</v>
      </c>
    </row>
    <row r="44" spans="1:7">
      <c r="A44" s="50" t="s">
        <v>208</v>
      </c>
      <c r="B44" s="52">
        <v>154085</v>
      </c>
      <c r="C44" s="52">
        <v>189627</v>
      </c>
      <c r="D44" s="52">
        <v>114777</v>
      </c>
      <c r="E44" s="54">
        <f>VLOOKUP(A44,PrelimCF_24!$A$3:$C$39,2,FALSE)</f>
        <v>56290</v>
      </c>
    </row>
    <row r="45" spans="1:7">
      <c r="A45" s="50" t="s">
        <v>209</v>
      </c>
      <c r="B45" s="105">
        <v>189627</v>
      </c>
      <c r="C45" s="105">
        <v>114777</v>
      </c>
      <c r="D45" s="105">
        <v>56290</v>
      </c>
      <c r="E45" s="106">
        <f>VLOOKUP(A45,PrelimCF_24!$A$3:$C$39,2,FALSE)</f>
        <v>40654</v>
      </c>
    </row>
    <row r="46" spans="1:7">
      <c r="A46" s="49" t="s">
        <v>210</v>
      </c>
      <c r="B46" s="50" t="s">
        <v>52</v>
      </c>
      <c r="C46" s="50" t="s">
        <v>52</v>
      </c>
      <c r="D46" s="50" t="s">
        <v>52</v>
      </c>
      <c r="E46" s="54" t="str">
        <f>VLOOKUP(A46,PrelimCF_24!$A$3:$C$39,2,FALSE)</f>
        <v> </v>
      </c>
    </row>
    <row r="47" spans="1:7">
      <c r="A47" s="50" t="s">
        <v>211</v>
      </c>
      <c r="B47" s="52">
        <v>9586</v>
      </c>
      <c r="C47" s="52">
        <v>7233</v>
      </c>
      <c r="D47" s="52">
        <v>9764</v>
      </c>
      <c r="E47" s="54">
        <f>VLOOKUP(A47,PrelimCF_24!$A$3:$C$39,2,FALSE)</f>
        <v>7348</v>
      </c>
    </row>
    <row r="48" spans="1:7">
      <c r="A48" s="50" t="s">
        <v>212</v>
      </c>
      <c r="B48" s="52">
        <v>13031</v>
      </c>
      <c r="C48" s="52">
        <v>14688</v>
      </c>
      <c r="D48" s="52">
        <v>14473</v>
      </c>
      <c r="E48" s="54">
        <f>VLOOKUP(A48,PrelimCF_24!$A$3:$C$39,2,FALSE)</f>
        <v>11122</v>
      </c>
    </row>
    <row r="49" spans="1:5">
      <c r="A49" s="50" t="s">
        <v>213</v>
      </c>
      <c r="B49" s="51">
        <v>4343</v>
      </c>
      <c r="C49" s="51">
        <v>9346</v>
      </c>
      <c r="D49" s="51">
        <v>16815</v>
      </c>
      <c r="E49" s="54">
        <f>VLOOKUP(A49,PrelimCF_24!$A$3:$C$39,2,FALSE)</f>
        <v>17965</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35080-02E8-4516-9EE4-CF9DD449F423}">
  <sheetPr codeName="Sheet4">
    <tabColor rgb="FF92D050"/>
  </sheetPr>
  <dimension ref="A1:C39"/>
  <sheetViews>
    <sheetView workbookViewId="0">
      <selection sqref="A1:A2"/>
    </sheetView>
  </sheetViews>
  <sheetFormatPr defaultRowHeight="14.5"/>
  <cols>
    <col min="1" max="1" width="80" customWidth="1"/>
    <col min="2" max="2" width="14" customWidth="1"/>
    <col min="3" max="3" width="14" hidden="1" customWidth="1"/>
  </cols>
  <sheetData>
    <row r="1" spans="1:3">
      <c r="A1" s="458" t="s">
        <v>214</v>
      </c>
      <c r="B1" s="473" t="s">
        <v>215</v>
      </c>
      <c r="C1" s="459"/>
    </row>
    <row r="2" spans="1:3">
      <c r="A2" s="459"/>
      <c r="B2" s="48" t="s">
        <v>51</v>
      </c>
      <c r="C2" s="48" t="s">
        <v>216</v>
      </c>
    </row>
    <row r="3" spans="1:3">
      <c r="A3" s="49" t="s">
        <v>179</v>
      </c>
      <c r="B3" s="50" t="s">
        <v>52</v>
      </c>
      <c r="C3" s="50" t="s">
        <v>52</v>
      </c>
    </row>
    <row r="4" spans="1:3">
      <c r="A4" s="50" t="s">
        <v>66</v>
      </c>
      <c r="B4" s="51">
        <v>85635</v>
      </c>
      <c r="C4" s="51">
        <v>70725</v>
      </c>
    </row>
    <row r="5" spans="1:3">
      <c r="A5" s="49" t="s">
        <v>180</v>
      </c>
      <c r="B5" s="50" t="s">
        <v>52</v>
      </c>
      <c r="C5" s="50" t="s">
        <v>52</v>
      </c>
    </row>
    <row r="6" spans="1:3">
      <c r="A6" s="50" t="s">
        <v>58</v>
      </c>
      <c r="B6" s="52">
        <v>49716</v>
      </c>
      <c r="C6" s="52">
        <v>46287</v>
      </c>
    </row>
    <row r="7" spans="1:3">
      <c r="A7" s="50" t="s">
        <v>217</v>
      </c>
      <c r="B7" s="52">
        <v>606</v>
      </c>
      <c r="C7" s="52">
        <v>-768</v>
      </c>
    </row>
    <row r="8" spans="1:3">
      <c r="A8" s="50" t="s">
        <v>181</v>
      </c>
      <c r="B8" s="52">
        <v>2511</v>
      </c>
      <c r="C8" s="52">
        <v>2469</v>
      </c>
    </row>
    <row r="9" spans="1:3">
      <c r="A9" s="50" t="s">
        <v>182</v>
      </c>
      <c r="B9" s="52">
        <v>14475</v>
      </c>
      <c r="C9" s="52">
        <v>12227</v>
      </c>
    </row>
    <row r="10" spans="1:3">
      <c r="A10" s="50" t="s">
        <v>218</v>
      </c>
      <c r="B10" s="52">
        <v>-6506</v>
      </c>
      <c r="C10" s="50" t="s">
        <v>52</v>
      </c>
    </row>
    <row r="11" spans="1:3">
      <c r="A11" s="49" t="s">
        <v>183</v>
      </c>
      <c r="B11" s="50" t="s">
        <v>52</v>
      </c>
      <c r="C11" s="50" t="s">
        <v>52</v>
      </c>
    </row>
    <row r="12" spans="1:3">
      <c r="A12" s="50" t="s">
        <v>114</v>
      </c>
      <c r="B12" s="52">
        <v>28462</v>
      </c>
      <c r="C12" s="52">
        <v>31740</v>
      </c>
    </row>
    <row r="13" spans="1:3">
      <c r="A13" s="50" t="s">
        <v>184</v>
      </c>
      <c r="B13" s="52">
        <v>-4185</v>
      </c>
      <c r="C13" s="52">
        <v>-1216</v>
      </c>
    </row>
    <row r="14" spans="1:3">
      <c r="A14" s="50" t="s">
        <v>116</v>
      </c>
      <c r="B14" s="52">
        <v>-13342</v>
      </c>
      <c r="C14" s="52">
        <v>-5306</v>
      </c>
    </row>
    <row r="15" spans="1:3">
      <c r="A15" s="50" t="s">
        <v>117</v>
      </c>
      <c r="B15" s="52">
        <v>-5958</v>
      </c>
      <c r="C15" s="52">
        <v>-4240</v>
      </c>
    </row>
    <row r="16" spans="1:3">
      <c r="A16" s="50" t="s">
        <v>185</v>
      </c>
      <c r="B16" s="52">
        <v>-16729</v>
      </c>
      <c r="C16" s="52">
        <v>-12218</v>
      </c>
    </row>
    <row r="17" spans="1:3">
      <c r="A17" s="50" t="s">
        <v>11</v>
      </c>
      <c r="B17" s="52">
        <v>-8838</v>
      </c>
      <c r="C17" s="52">
        <v>-7107</v>
      </c>
    </row>
    <row r="18" spans="1:3">
      <c r="A18" s="50" t="s">
        <v>127</v>
      </c>
      <c r="B18" s="52">
        <v>4351</v>
      </c>
      <c r="C18" s="52">
        <v>627</v>
      </c>
    </row>
    <row r="19" spans="1:3">
      <c r="A19" s="50" t="s">
        <v>128</v>
      </c>
      <c r="B19" s="52">
        <v>-30568</v>
      </c>
      <c r="C19" s="52">
        <v>-32328</v>
      </c>
    </row>
    <row r="20" spans="1:3">
      <c r="A20" s="50" t="s">
        <v>130</v>
      </c>
      <c r="B20" s="52">
        <v>-5185</v>
      </c>
      <c r="C20" s="52">
        <v>624</v>
      </c>
    </row>
    <row r="21" spans="1:3">
      <c r="A21" s="176" t="s">
        <v>186</v>
      </c>
      <c r="B21" s="91">
        <v>94445</v>
      </c>
      <c r="C21" s="52">
        <v>101516</v>
      </c>
    </row>
    <row r="22" spans="1:3">
      <c r="A22" s="49" t="s">
        <v>187</v>
      </c>
      <c r="B22" s="50" t="s">
        <v>52</v>
      </c>
      <c r="C22" s="50" t="s">
        <v>52</v>
      </c>
    </row>
    <row r="23" spans="1:3">
      <c r="A23" s="50" t="s">
        <v>188</v>
      </c>
      <c r="B23" s="52">
        <v>-66297</v>
      </c>
      <c r="C23" s="52">
        <v>-62660</v>
      </c>
    </row>
    <row r="24" spans="1:3">
      <c r="A24" s="50" t="s">
        <v>189</v>
      </c>
      <c r="B24" s="52">
        <v>-680</v>
      </c>
      <c r="C24" s="52">
        <v>-392</v>
      </c>
    </row>
    <row r="25" spans="1:3">
      <c r="A25" s="50" t="s">
        <v>123</v>
      </c>
      <c r="B25" s="52">
        <v>173</v>
      </c>
      <c r="C25" s="52">
        <v>-156</v>
      </c>
    </row>
    <row r="26" spans="1:3">
      <c r="A26" s="50" t="s">
        <v>190</v>
      </c>
      <c r="B26" s="52">
        <v>-66804</v>
      </c>
      <c r="C26" s="52">
        <v>-63208</v>
      </c>
    </row>
    <row r="27" spans="1:3">
      <c r="A27" s="49" t="s">
        <v>191</v>
      </c>
      <c r="B27" s="50" t="s">
        <v>52</v>
      </c>
      <c r="C27" s="50" t="s">
        <v>52</v>
      </c>
    </row>
    <row r="28" spans="1:3">
      <c r="A28" s="50" t="s">
        <v>192</v>
      </c>
      <c r="B28" s="50">
        <v>0</v>
      </c>
      <c r="C28" s="52">
        <v>-12994</v>
      </c>
    </row>
    <row r="29" spans="1:3">
      <c r="A29" s="50" t="s">
        <v>203</v>
      </c>
      <c r="B29" s="52">
        <v>-26693</v>
      </c>
      <c r="C29" s="52">
        <v>-26998</v>
      </c>
    </row>
    <row r="30" spans="1:3">
      <c r="A30" s="50" t="s">
        <v>204</v>
      </c>
      <c r="B30" s="52">
        <v>-16365</v>
      </c>
      <c r="C30" s="52">
        <v>-21695</v>
      </c>
    </row>
    <row r="31" spans="1:3">
      <c r="A31" s="50" t="s">
        <v>205</v>
      </c>
      <c r="B31" s="52">
        <v>-43058</v>
      </c>
      <c r="C31" s="52">
        <v>-61687</v>
      </c>
    </row>
    <row r="32" spans="1:3">
      <c r="A32" s="50" t="s">
        <v>206</v>
      </c>
      <c r="B32" s="52">
        <v>-219</v>
      </c>
      <c r="C32" s="52">
        <v>159</v>
      </c>
    </row>
    <row r="33" spans="1:3">
      <c r="A33" s="50" t="s">
        <v>207</v>
      </c>
      <c r="B33" s="52">
        <v>-15636</v>
      </c>
      <c r="C33" s="52">
        <v>-23220</v>
      </c>
    </row>
    <row r="34" spans="1:3">
      <c r="A34" s="50" t="s">
        <v>208</v>
      </c>
      <c r="B34" s="52">
        <v>56290</v>
      </c>
      <c r="C34" s="52">
        <v>114777</v>
      </c>
    </row>
    <row r="35" spans="1:3">
      <c r="A35" s="50" t="s">
        <v>209</v>
      </c>
      <c r="B35" s="52">
        <v>40654</v>
      </c>
      <c r="C35" s="52">
        <v>91557</v>
      </c>
    </row>
    <row r="36" spans="1:3">
      <c r="A36" s="49" t="s">
        <v>210</v>
      </c>
      <c r="B36" s="50" t="s">
        <v>52</v>
      </c>
      <c r="C36" s="50" t="s">
        <v>52</v>
      </c>
    </row>
    <row r="37" spans="1:3">
      <c r="A37" s="50" t="s">
        <v>211</v>
      </c>
      <c r="B37" s="52">
        <v>7348</v>
      </c>
      <c r="C37" s="52">
        <v>5308</v>
      </c>
    </row>
    <row r="38" spans="1:3">
      <c r="A38" s="50" t="s">
        <v>212</v>
      </c>
      <c r="B38" s="52">
        <v>11122</v>
      </c>
      <c r="C38" s="52">
        <v>5175</v>
      </c>
    </row>
    <row r="39" spans="1:3">
      <c r="A39" s="50" t="s">
        <v>213</v>
      </c>
      <c r="B39" s="51">
        <v>17965</v>
      </c>
      <c r="C39" s="51">
        <v>14752</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COVER</vt:lpstr>
      <vt:lpstr>Preliminary ---&gt;</vt:lpstr>
      <vt:lpstr>PrelimPL_21-23</vt:lpstr>
      <vt:lpstr>PrelimSE_21_22</vt:lpstr>
      <vt:lpstr>PrelimSE_23-24</vt:lpstr>
      <vt:lpstr>PrelimBS21-24</vt:lpstr>
      <vt:lpstr>PrelimSE_20-24</vt:lpstr>
      <vt:lpstr>PrelimCF_21-24</vt:lpstr>
      <vt:lpstr>PrelimCF_24</vt:lpstr>
      <vt:lpstr>1.Sources --&gt;</vt:lpstr>
      <vt:lpstr>P&amp;L source</vt:lpstr>
      <vt:lpstr>BS source</vt:lpstr>
      <vt:lpstr>CF source</vt:lpstr>
      <vt:lpstr>2.Output --&gt;</vt:lpstr>
      <vt:lpstr>P&amp;L</vt:lpstr>
      <vt:lpstr>BS</vt:lpstr>
      <vt:lpstr>CF</vt:lpstr>
      <vt:lpstr>2.1 Schedules --&gt;</vt:lpstr>
      <vt:lpstr>PrelimSE24</vt:lpstr>
      <vt:lpstr>PrelimSE2024</vt:lpstr>
      <vt:lpstr>Equity</vt:lpstr>
      <vt:lpstr>WC</vt:lpstr>
      <vt:lpstr>Depreciation</vt:lpstr>
      <vt:lpstr>Other Long-term</vt:lpstr>
      <vt:lpstr>Debt and Interest</vt:lpstr>
      <vt:lpstr>Shares</vt:lpstr>
      <vt:lpstr>CashFlow_CF</vt:lpstr>
      <vt:lpstr>4.Valuation --&gt;</vt:lpstr>
      <vt:lpstr>UnleveredCF</vt:lpstr>
      <vt:lpstr>DCF 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2024-12-31T00:39:11Z</dcterms:modified>
</cp:coreProperties>
</file>